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K:\Energia\REDE AEREA\PCDS\Monitoramento dos Alarmes\"/>
    </mc:Choice>
  </mc:AlternateContent>
  <xr:revisionPtr revIDLastSave="0" documentId="13_ncr:1_{BDA4FD32-2127-43C5-BB1E-110F7B54DB9A}" xr6:coauthVersionLast="47" xr6:coauthVersionMax="47" xr10:uidLastSave="{00000000-0000-0000-0000-000000000000}"/>
  <bookViews>
    <workbookView xWindow="-24120" yWindow="-120" windowWidth="24240" windowHeight="13140" tabRatio="881" activeTab="8" xr2:uid="{00000000-000D-0000-FFFF-FFFF00000000}"/>
  </bookViews>
  <sheets>
    <sheet name="Alertas PCDS" sheetId="1" r:id="rId1"/>
    <sheet name="Controle" sheetId="17" r:id="rId2"/>
    <sheet name="Painel_Operacional" sheetId="15" r:id="rId3"/>
    <sheet name="Painel" sheetId="11" r:id="rId4"/>
    <sheet name="Planilha2" sheetId="18" r:id="rId5"/>
    <sheet name="Hora" sheetId="10" r:id="rId6"/>
    <sheet name="DIN - PO" sheetId="12" r:id="rId7"/>
    <sheet name="Alarme-Ramal" sheetId="6" r:id="rId8"/>
    <sheet name="Mapa" sheetId="16" r:id="rId9"/>
    <sheet name="Planilha1" sheetId="7" r:id="rId10"/>
    <sheet name="Painel (2)" sheetId="19" r:id="rId11"/>
    <sheet name="Meta Semanal" sheetId="5" state="hidden" r:id="rId12"/>
    <sheet name="Alarmes Mensais" sheetId="3" state="hidden" r:id="rId13"/>
    <sheet name="Qtd.Críticos" sheetId="2" state="hidden" r:id="rId14"/>
    <sheet name="Melhorias Realizadas" sheetId="4" state="hidden" r:id="rId15"/>
    <sheet name="Processo" sheetId="8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7" hidden="1">'Alarme-Ramal'!$A$1:$B$1</definedName>
    <definedName name="_xlnm._FilterDatabase" localSheetId="3" hidden="1">Painel!#REF!</definedName>
    <definedName name="_xlnm._FilterDatabase" localSheetId="10" hidden="1">'Painel (2)'!#REF!</definedName>
    <definedName name="_xlchart.v1.0" hidden="1">'Alarme-Ramal'!$A$2:$A$6</definedName>
    <definedName name="_xlchart.v1.1" hidden="1">'Alarme-Ramal'!$B$1</definedName>
    <definedName name="_xlchart.v1.2" hidden="1">'Alarme-Ramal'!$B$2:$B$6</definedName>
    <definedName name="_xlcn.WorksheetConnection_ControledeAlarmesPCDSRecuperadoAutomaticamente.xlsxTabela11" hidden="1">Tabela1[]</definedName>
    <definedName name="_xlnm.Print_Area" localSheetId="3">Painel!$A$1:$AG$20</definedName>
    <definedName name="_xlnm.Print_Area" localSheetId="10">'Painel (2)'!$A$1:$AG$4</definedName>
    <definedName name="_xlnm.Print_Area" localSheetId="2">Painel_Operacional!$A$1:$P$70</definedName>
    <definedName name="brasil">[1]Plan1!$C$2:$C$37+#REF!</definedName>
    <definedName name="BVO" localSheetId="3">#REF!</definedName>
    <definedName name="BVO" localSheetId="10">#REF!</definedName>
    <definedName name="BVO">#REF!</definedName>
    <definedName name="BVR" localSheetId="3">#REF!</definedName>
    <definedName name="BVR" localSheetId="10">#REF!</definedName>
    <definedName name="BVR">#REF!</definedName>
    <definedName name="devers2">[2]MêsBase!$A$2:$Q$64</definedName>
    <definedName name="dffhs">#REF!</definedName>
    <definedName name="dfh">#REF!</definedName>
    <definedName name="Divers">[3]MêsBase!$A$2:$Q$64</definedName>
    <definedName name="fff">#REF!</definedName>
    <definedName name="ffff">[4]sispecabr99!#REF!</definedName>
    <definedName name="Fisicos" localSheetId="3">#REF!</definedName>
    <definedName name="Fisicos" localSheetId="10">#REF!</definedName>
    <definedName name="Fisicos">#REF!</definedName>
    <definedName name="g">[5]CEARA!#REF!</definedName>
    <definedName name="gestores" localSheetId="3">[1]Plan1!$C$2:$C$37+#REF!</definedName>
    <definedName name="gestores" localSheetId="10">[1]Plan1!$C$2:$C$37+#REF!</definedName>
    <definedName name="gestores">[1]Plan1!$C$2:$C$37+#REF!</definedName>
    <definedName name="gghjsfj">#REF!</definedName>
    <definedName name="HTML_CodePage" hidden="1">1252</definedName>
    <definedName name="HTML_Control" localSheetId="3" hidden="1">{"'RR'!$A$2:$E$81"}</definedName>
    <definedName name="HTML_Control" localSheetId="10" hidden="1">{"'RR'!$A$2:$E$81"}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mpMdb" localSheetId="3">[4]sispecabr99!#REF!</definedName>
    <definedName name="ImpMdb" localSheetId="10">[4]sispecabr99!#REF!</definedName>
    <definedName name="ImpMdb">[4]sispecabr99!#REF!</definedName>
    <definedName name="inclusão_de_novos_campos" localSheetId="3">#REF!</definedName>
    <definedName name="inclusão_de_novos_campos" localSheetId="10">#REF!</definedName>
    <definedName name="inclusão_de_novos_campos">#REF!</definedName>
    <definedName name="localidades" localSheetId="3">[5]CEARA!#REF!</definedName>
    <definedName name="localidades" localSheetId="10">[5]CEARA!#REF!</definedName>
    <definedName name="localidades">[5]CEARA!#REF!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plan1">#REF!</definedName>
    <definedName name="plan5">#REF!</definedName>
    <definedName name="plan6">#REF!</definedName>
    <definedName name="s">#REF!</definedName>
    <definedName name="sd">#REF!</definedName>
    <definedName name="SegmentaçãodeDados_Ativo">#N/A</definedName>
    <definedName name="SegmentaçãodeDados_Km">#N/A</definedName>
    <definedName name="SegmentaçãodeDados_Linha">#N/A</definedName>
    <definedName name="SegmentaçãodeDados_Ramal">#N/A</definedName>
    <definedName name="sffh">#REF!</definedName>
    <definedName name="Sispec">[6]Sispec!$A$1:$M$65536</definedName>
    <definedName name="Sispec00" localSheetId="3">#REF!</definedName>
    <definedName name="Sispec00" localSheetId="10">#REF!</definedName>
    <definedName name="Sispec00">#REF!</definedName>
    <definedName name="Sispec98" localSheetId="3">#REF!</definedName>
    <definedName name="Sispec98" localSheetId="10">#REF!</definedName>
    <definedName name="Sispec98">#REF!</definedName>
    <definedName name="Sispec99">[7]Sispec99!$A$1:$M$65536</definedName>
    <definedName name="SispecPSAP">[8]SispecPSAP!$A$1:$M$65536</definedName>
    <definedName name="TabEmp">[7]Tabelas!$A$1:$C$74</definedName>
    <definedName name="TabImport" localSheetId="3">#REF!</definedName>
    <definedName name="TabImport" localSheetId="10">#REF!</definedName>
    <definedName name="TabImport">#REF!</definedName>
    <definedName name="TabPer" localSheetId="3">#REF!</definedName>
    <definedName name="TabPer" localSheetId="10">#REF!</definedName>
    <definedName name="TabPer">#REF!</definedName>
    <definedName name="TabUF" localSheetId="3">#REF!</definedName>
    <definedName name="TabUF" localSheetId="10">#REF!</definedName>
    <definedName name="TabUF">#REF!</definedName>
    <definedName name="Todas_as_pendencias" localSheetId="3">#REF!</definedName>
    <definedName name="Todas_as_pendencias" localSheetId="10">#REF!</definedName>
    <definedName name="Todas_as_pendencias">#REF!</definedName>
  </definedNames>
  <calcPr calcId="181029"/>
  <pivotCaches>
    <pivotCache cacheId="0" r:id="rId25"/>
    <pivotCache cacheId="1" r:id="rId26"/>
  </pivotCaches>
  <extLst>
    <ext xmlns:x14="http://schemas.microsoft.com/office/spreadsheetml/2009/9/main" uri="{BBE1A952-AA13-448e-AADC-164F8A28A991}">
      <x14:slicerCaches>
        <x14:slicerCache r:id="rId27"/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Controle de Alarmes PCDS(Recuperado Automaticamente)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5" i="1" l="1"/>
  <c r="V185" i="1"/>
  <c r="W185" i="1"/>
  <c r="Y185" i="1"/>
  <c r="Z185" i="1"/>
  <c r="AC185" i="1"/>
  <c r="AD185" i="1"/>
  <c r="AE185" i="1"/>
  <c r="B184" i="1"/>
  <c r="V184" i="1"/>
  <c r="W184" i="1"/>
  <c r="Y184" i="1"/>
  <c r="Z184" i="1"/>
  <c r="AC184" i="1"/>
  <c r="AD184" i="1"/>
  <c r="AE184" i="1" s="1"/>
  <c r="B183" i="1"/>
  <c r="V183" i="1"/>
  <c r="W183" i="1"/>
  <c r="Y183" i="1"/>
  <c r="Z183" i="1"/>
  <c r="AC183" i="1"/>
  <c r="AD183" i="1"/>
  <c r="AE183" i="1" s="1"/>
  <c r="B182" i="1"/>
  <c r="V182" i="1"/>
  <c r="W182" i="1"/>
  <c r="Y182" i="1"/>
  <c r="Z182" i="1"/>
  <c r="AC182" i="1"/>
  <c r="AD182" i="1"/>
  <c r="AE182" i="1" s="1"/>
  <c r="B181" i="1"/>
  <c r="V181" i="1"/>
  <c r="W181" i="1"/>
  <c r="Y181" i="1"/>
  <c r="Z181" i="1"/>
  <c r="AC181" i="1"/>
  <c r="AD181" i="1"/>
  <c r="AE181" i="1" s="1"/>
  <c r="B180" i="1"/>
  <c r="V180" i="1"/>
  <c r="W180" i="1"/>
  <c r="Y180" i="1"/>
  <c r="Z180" i="1"/>
  <c r="AC180" i="1"/>
  <c r="AD180" i="1"/>
  <c r="AE180" i="1" s="1"/>
  <c r="E8" i="19"/>
  <c r="G8" i="19" s="1"/>
  <c r="E62" i="11"/>
  <c r="G62" i="11" s="1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12" i="19"/>
  <c r="Z8" i="19"/>
  <c r="X8" i="19"/>
  <c r="V8" i="19"/>
  <c r="T8" i="19"/>
  <c r="Q8" i="19"/>
  <c r="O8" i="19"/>
  <c r="M8" i="19"/>
  <c r="J8" i="19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A66" i="11"/>
  <c r="Z62" i="11"/>
  <c r="X62" i="11"/>
  <c r="V62" i="11"/>
  <c r="T62" i="11"/>
  <c r="Q62" i="11"/>
  <c r="O62" i="11"/>
  <c r="M62" i="11"/>
  <c r="J62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C48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D12" i="11"/>
  <c r="A48" i="11"/>
  <c r="B179" i="1"/>
  <c r="V179" i="1"/>
  <c r="W179" i="1"/>
  <c r="Y179" i="1"/>
  <c r="Z179" i="1"/>
  <c r="AC179" i="1"/>
  <c r="AD179" i="1"/>
  <c r="AE179" i="1" s="1"/>
  <c r="B178" i="1"/>
  <c r="V178" i="1"/>
  <c r="W178" i="1"/>
  <c r="Y178" i="1"/>
  <c r="Z178" i="1"/>
  <c r="AC178" i="1"/>
  <c r="AD178" i="1"/>
  <c r="AE178" i="1" s="1"/>
  <c r="B177" i="1"/>
  <c r="V177" i="1"/>
  <c r="W177" i="1"/>
  <c r="Y177" i="1"/>
  <c r="Z177" i="1"/>
  <c r="AC177" i="1"/>
  <c r="AD177" i="1"/>
  <c r="AE177" i="1" s="1"/>
  <c r="B176" i="1"/>
  <c r="V176" i="1"/>
  <c r="W176" i="1"/>
  <c r="Y176" i="1"/>
  <c r="Z176" i="1"/>
  <c r="AC176" i="1"/>
  <c r="AD176" i="1"/>
  <c r="AE176" i="1" s="1"/>
  <c r="B175" i="1"/>
  <c r="V175" i="1"/>
  <c r="W175" i="1"/>
  <c r="Y175" i="1"/>
  <c r="Z175" i="1"/>
  <c r="AC175" i="1"/>
  <c r="AD175" i="1"/>
  <c r="AE175" i="1" s="1"/>
  <c r="B174" i="1"/>
  <c r="V174" i="1"/>
  <c r="W174" i="1"/>
  <c r="Y174" i="1"/>
  <c r="Z174" i="1"/>
  <c r="AC174" i="1"/>
  <c r="AD174" i="1"/>
  <c r="AE174" i="1" s="1"/>
  <c r="B173" i="1"/>
  <c r="V173" i="1"/>
  <c r="W173" i="1"/>
  <c r="Y173" i="1"/>
  <c r="Z173" i="1"/>
  <c r="AC173" i="1"/>
  <c r="AD173" i="1"/>
  <c r="AE173" i="1" s="1"/>
  <c r="B172" i="1"/>
  <c r="V172" i="1"/>
  <c r="W172" i="1"/>
  <c r="Y172" i="1"/>
  <c r="Z172" i="1"/>
  <c r="AC172" i="1"/>
  <c r="AD172" i="1"/>
  <c r="AE172" i="1" s="1"/>
  <c r="B171" i="1"/>
  <c r="V171" i="1"/>
  <c r="W171" i="1"/>
  <c r="Y171" i="1"/>
  <c r="Z171" i="1"/>
  <c r="AC171" i="1"/>
  <c r="AD171" i="1"/>
  <c r="AE171" i="1" s="1"/>
  <c r="B170" i="1"/>
  <c r="V170" i="1"/>
  <c r="W170" i="1"/>
  <c r="Y170" i="1"/>
  <c r="Z170" i="1"/>
  <c r="AC170" i="1"/>
  <c r="AD170" i="1"/>
  <c r="AE170" i="1" s="1"/>
  <c r="V169" i="1"/>
  <c r="W169" i="1"/>
  <c r="Y169" i="1"/>
  <c r="Z169" i="1"/>
  <c r="AC169" i="1"/>
  <c r="AD169" i="1"/>
  <c r="AE169" i="1" s="1"/>
  <c r="AB8" i="19" l="1"/>
  <c r="AB62" i="11"/>
  <c r="B167" i="1"/>
  <c r="V167" i="1"/>
  <c r="W167" i="1"/>
  <c r="Y167" i="1"/>
  <c r="Z167" i="1"/>
  <c r="AC167" i="1"/>
  <c r="AD167" i="1"/>
  <c r="AE167" i="1" s="1"/>
  <c r="B168" i="1"/>
  <c r="V168" i="1"/>
  <c r="W168" i="1"/>
  <c r="Y168" i="1"/>
  <c r="Z168" i="1"/>
  <c r="AC168" i="1"/>
  <c r="AD168" i="1"/>
  <c r="AE168" i="1" s="1"/>
  <c r="B166" i="1"/>
  <c r="V166" i="1"/>
  <c r="W166" i="1"/>
  <c r="Y166" i="1"/>
  <c r="Z166" i="1"/>
  <c r="AC166" i="1"/>
  <c r="AD166" i="1"/>
  <c r="AE166" i="1" s="1"/>
  <c r="B165" i="1"/>
  <c r="V165" i="1"/>
  <c r="W165" i="1"/>
  <c r="Y165" i="1"/>
  <c r="Z165" i="1"/>
  <c r="AC165" i="1"/>
  <c r="AD165" i="1"/>
  <c r="AE165" i="1" s="1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X44" i="11" l="1"/>
  <c r="V44" i="11"/>
  <c r="T44" i="11"/>
  <c r="M44" i="11"/>
  <c r="O44" i="11"/>
  <c r="Z44" i="11"/>
  <c r="Q44" i="11"/>
  <c r="J44" i="11"/>
  <c r="G44" i="11"/>
  <c r="B164" i="1"/>
  <c r="V164" i="1"/>
  <c r="W164" i="1"/>
  <c r="Y164" i="1"/>
  <c r="Z164" i="1"/>
  <c r="AC164" i="1"/>
  <c r="AD164" i="1"/>
  <c r="AE164" i="1" s="1"/>
  <c r="B163" i="1"/>
  <c r="V163" i="1"/>
  <c r="W163" i="1"/>
  <c r="Y163" i="1"/>
  <c r="Z163" i="1"/>
  <c r="AC163" i="1"/>
  <c r="AD163" i="1"/>
  <c r="AE163" i="1" s="1"/>
  <c r="B162" i="1"/>
  <c r="V162" i="1"/>
  <c r="W162" i="1"/>
  <c r="Y162" i="1"/>
  <c r="Z162" i="1"/>
  <c r="AC162" i="1"/>
  <c r="AD162" i="1"/>
  <c r="AE162" i="1" s="1"/>
  <c r="B161" i="1"/>
  <c r="V161" i="1"/>
  <c r="W161" i="1"/>
  <c r="Y161" i="1"/>
  <c r="Z161" i="1"/>
  <c r="AC161" i="1"/>
  <c r="AD161" i="1"/>
  <c r="AE161" i="1" s="1"/>
  <c r="B160" i="1"/>
  <c r="V160" i="1"/>
  <c r="W160" i="1"/>
  <c r="Y160" i="1"/>
  <c r="Z160" i="1"/>
  <c r="AC160" i="1"/>
  <c r="AD160" i="1"/>
  <c r="AE160" i="1" s="1"/>
  <c r="B158" i="1"/>
  <c r="V158" i="1"/>
  <c r="W158" i="1"/>
  <c r="Y158" i="1"/>
  <c r="Z158" i="1"/>
  <c r="AC158" i="1"/>
  <c r="AD158" i="1"/>
  <c r="AE158" i="1" s="1"/>
  <c r="B159" i="1"/>
  <c r="V159" i="1"/>
  <c r="W159" i="1"/>
  <c r="Y159" i="1"/>
  <c r="Z159" i="1"/>
  <c r="AC159" i="1"/>
  <c r="AD159" i="1"/>
  <c r="AE159" i="1" s="1"/>
  <c r="B156" i="1"/>
  <c r="V156" i="1"/>
  <c r="W156" i="1"/>
  <c r="Y156" i="1"/>
  <c r="Z156" i="1"/>
  <c r="AC156" i="1"/>
  <c r="AD156" i="1"/>
  <c r="AE156" i="1" s="1"/>
  <c r="B157" i="1"/>
  <c r="V157" i="1"/>
  <c r="W157" i="1"/>
  <c r="Y157" i="1"/>
  <c r="Z157" i="1"/>
  <c r="AC157" i="1"/>
  <c r="AD157" i="1"/>
  <c r="AE157" i="1" s="1"/>
  <c r="B154" i="1"/>
  <c r="B155" i="1"/>
  <c r="V155" i="1"/>
  <c r="W155" i="1"/>
  <c r="Y155" i="1"/>
  <c r="Z155" i="1"/>
  <c r="AC155" i="1"/>
  <c r="AD155" i="1"/>
  <c r="AE155" i="1" s="1"/>
  <c r="V154" i="1"/>
  <c r="W154" i="1"/>
  <c r="Y154" i="1"/>
  <c r="Z154" i="1"/>
  <c r="AC154" i="1"/>
  <c r="AD154" i="1"/>
  <c r="AE154" i="1" s="1"/>
  <c r="B153" i="1"/>
  <c r="V153" i="1"/>
  <c r="W153" i="1"/>
  <c r="Y153" i="1"/>
  <c r="Z153" i="1"/>
  <c r="AC153" i="1"/>
  <c r="AD153" i="1"/>
  <c r="AE153" i="1" s="1"/>
  <c r="B152" i="1"/>
  <c r="V152" i="1"/>
  <c r="W152" i="1"/>
  <c r="Y152" i="1"/>
  <c r="Z152" i="1"/>
  <c r="AC152" i="1"/>
  <c r="AD152" i="1"/>
  <c r="AE152" i="1" s="1"/>
  <c r="B151" i="1"/>
  <c r="V151" i="1"/>
  <c r="W151" i="1"/>
  <c r="Y151" i="1"/>
  <c r="Z151" i="1"/>
  <c r="AC151" i="1"/>
  <c r="AD151" i="1"/>
  <c r="AE151" i="1" s="1"/>
  <c r="B150" i="1"/>
  <c r="V150" i="1"/>
  <c r="W150" i="1"/>
  <c r="Y150" i="1"/>
  <c r="Z150" i="1"/>
  <c r="AC150" i="1"/>
  <c r="AD150" i="1"/>
  <c r="AE150" i="1" s="1"/>
  <c r="B149" i="1"/>
  <c r="V149" i="1"/>
  <c r="W149" i="1"/>
  <c r="Y149" i="1"/>
  <c r="Z149" i="1"/>
  <c r="AC149" i="1"/>
  <c r="AD149" i="1"/>
  <c r="AE149" i="1" s="1"/>
  <c r="AB44" i="11" l="1"/>
  <c r="B148" i="1"/>
  <c r="V148" i="1"/>
  <c r="W148" i="1"/>
  <c r="Y148" i="1"/>
  <c r="Z148" i="1"/>
  <c r="AC148" i="1"/>
  <c r="AD148" i="1"/>
  <c r="AE148" i="1" s="1"/>
  <c r="B147" i="1"/>
  <c r="V147" i="1"/>
  <c r="W147" i="1"/>
  <c r="Y147" i="1"/>
  <c r="Z147" i="1"/>
  <c r="AC147" i="1"/>
  <c r="AD147" i="1"/>
  <c r="AE147" i="1" s="1"/>
  <c r="B146" i="1"/>
  <c r="V146" i="1"/>
  <c r="W146" i="1"/>
  <c r="Y146" i="1"/>
  <c r="Z146" i="1"/>
  <c r="AC146" i="1"/>
  <c r="AD146" i="1"/>
  <c r="AE146" i="1" s="1"/>
  <c r="B145" i="1" l="1"/>
  <c r="V145" i="1"/>
  <c r="W145" i="1"/>
  <c r="Y145" i="1"/>
  <c r="Z145" i="1"/>
  <c r="AC145" i="1"/>
  <c r="AD145" i="1"/>
  <c r="AE145" i="1" s="1"/>
  <c r="B144" i="1"/>
  <c r="V144" i="1"/>
  <c r="W144" i="1"/>
  <c r="Y144" i="1"/>
  <c r="Z144" i="1"/>
  <c r="AC144" i="1"/>
  <c r="AD144" i="1"/>
  <c r="AE144" i="1" s="1"/>
  <c r="B6" i="1"/>
  <c r="V6" i="1"/>
  <c r="W6" i="1"/>
  <c r="Y6" i="1"/>
  <c r="Z6" i="1"/>
  <c r="AC6" i="1"/>
  <c r="AD6" i="1"/>
  <c r="AE6" i="1" s="1"/>
  <c r="G8" i="11"/>
  <c r="J8" i="11"/>
  <c r="B143" i="1"/>
  <c r="V143" i="1"/>
  <c r="W143" i="1"/>
  <c r="Y143" i="1"/>
  <c r="Z143" i="1"/>
  <c r="AC143" i="1"/>
  <c r="AD143" i="1"/>
  <c r="AE143" i="1" s="1"/>
  <c r="B142" i="1"/>
  <c r="V142" i="1"/>
  <c r="W142" i="1"/>
  <c r="Y142" i="1"/>
  <c r="Z142" i="1"/>
  <c r="AC142" i="1"/>
  <c r="AD142" i="1"/>
  <c r="AE142" i="1" s="1"/>
  <c r="B141" i="1"/>
  <c r="V141" i="1"/>
  <c r="W141" i="1"/>
  <c r="Y141" i="1"/>
  <c r="Z141" i="1"/>
  <c r="AC141" i="1"/>
  <c r="AD141" i="1"/>
  <c r="AE141" i="1" s="1"/>
  <c r="B140" i="1"/>
  <c r="V140" i="1"/>
  <c r="W140" i="1"/>
  <c r="Y140" i="1"/>
  <c r="Z140" i="1"/>
  <c r="AC140" i="1"/>
  <c r="AD140" i="1"/>
  <c r="AE140" i="1" s="1"/>
  <c r="B139" i="1"/>
  <c r="V139" i="1"/>
  <c r="W139" i="1"/>
  <c r="Y139" i="1"/>
  <c r="Z139" i="1"/>
  <c r="AC139" i="1"/>
  <c r="AD139" i="1"/>
  <c r="AE139" i="1" s="1"/>
  <c r="B138" i="1"/>
  <c r="V138" i="1"/>
  <c r="W138" i="1"/>
  <c r="Y138" i="1"/>
  <c r="Z138" i="1"/>
  <c r="AC138" i="1"/>
  <c r="AD138" i="1"/>
  <c r="AE138" i="1" s="1"/>
  <c r="B137" i="1"/>
  <c r="V137" i="1"/>
  <c r="W137" i="1"/>
  <c r="Y137" i="1"/>
  <c r="Z137" i="1"/>
  <c r="AC137" i="1"/>
  <c r="AD137" i="1"/>
  <c r="AE137" i="1" s="1"/>
  <c r="Z26" i="11"/>
  <c r="X26" i="11"/>
  <c r="V26" i="11"/>
  <c r="T26" i="11"/>
  <c r="Q26" i="11"/>
  <c r="O26" i="11"/>
  <c r="M26" i="11"/>
  <c r="J26" i="11"/>
  <c r="E26" i="11"/>
  <c r="G26" i="11" s="1"/>
  <c r="B136" i="1"/>
  <c r="V136" i="1"/>
  <c r="W136" i="1"/>
  <c r="Y136" i="1"/>
  <c r="Z136" i="1"/>
  <c r="AC136" i="1"/>
  <c r="AD136" i="1"/>
  <c r="AE136" i="1" s="1"/>
  <c r="AB26" i="11" l="1"/>
  <c r="B135" i="1"/>
  <c r="V135" i="1"/>
  <c r="W135" i="1"/>
  <c r="Y135" i="1"/>
  <c r="Z135" i="1"/>
  <c r="AC135" i="1"/>
  <c r="AD135" i="1"/>
  <c r="AE135" i="1" s="1"/>
  <c r="B134" i="1"/>
  <c r="V134" i="1"/>
  <c r="W134" i="1"/>
  <c r="Y134" i="1"/>
  <c r="Z134" i="1"/>
  <c r="AC134" i="1"/>
  <c r="AD134" i="1"/>
  <c r="AE134" i="1" s="1"/>
  <c r="B133" i="1"/>
  <c r="V133" i="1"/>
  <c r="W133" i="1"/>
  <c r="Y133" i="1"/>
  <c r="Z133" i="1"/>
  <c r="AC133" i="1"/>
  <c r="AD133" i="1"/>
  <c r="AE133" i="1" s="1"/>
  <c r="T19" i="12"/>
  <c r="R16" i="12"/>
  <c r="U16" i="12"/>
  <c r="Q30" i="12"/>
  <c r="M30" i="12"/>
  <c r="N29" i="12"/>
  <c r="O31" i="12"/>
  <c r="P27" i="12"/>
  <c r="M29" i="12"/>
  <c r="P31" i="12"/>
  <c r="P32" i="15"/>
  <c r="M32" i="12"/>
  <c r="M16" i="12"/>
  <c r="M18" i="12"/>
  <c r="U15" i="12"/>
  <c r="N32" i="12"/>
  <c r="T21" i="12"/>
  <c r="M20" i="12"/>
  <c r="L30" i="12"/>
  <c r="N28" i="12"/>
  <c r="M27" i="12"/>
  <c r="Q33" i="12"/>
  <c r="U21" i="12"/>
  <c r="N33" i="12"/>
  <c r="O32" i="12"/>
  <c r="M28" i="12"/>
  <c r="R19" i="12"/>
  <c r="O27" i="12"/>
  <c r="P32" i="12"/>
  <c r="R27" i="12"/>
  <c r="M17" i="12"/>
  <c r="L33" i="12"/>
  <c r="O29" i="12"/>
  <c r="T20" i="12"/>
  <c r="M21" i="12"/>
  <c r="L32" i="12"/>
  <c r="U18" i="12"/>
  <c r="X17" i="12"/>
  <c r="L29" i="12"/>
  <c r="L31" i="12"/>
  <c r="Q32" i="12"/>
  <c r="P30" i="12"/>
  <c r="R15" i="12"/>
  <c r="T15" i="12"/>
  <c r="T16" i="12"/>
  <c r="U20" i="12"/>
  <c r="L28" i="12"/>
  <c r="Q27" i="12"/>
  <c r="O30" i="12"/>
  <c r="L27" i="12"/>
  <c r="P29" i="12"/>
  <c r="R33" i="12"/>
  <c r="R17" i="12"/>
  <c r="P28" i="12"/>
  <c r="N31" i="12"/>
  <c r="R29" i="12"/>
  <c r="Q29" i="12"/>
  <c r="R20" i="12"/>
  <c r="R32" i="12"/>
  <c r="M33" i="12"/>
  <c r="T18" i="12"/>
  <c r="Q28" i="12"/>
  <c r="U19" i="12"/>
  <c r="M19" i="12"/>
  <c r="N30" i="12"/>
  <c r="R30" i="12"/>
  <c r="M31" i="12"/>
  <c r="Q31" i="12"/>
  <c r="R18" i="12"/>
  <c r="X16" i="12"/>
  <c r="P33" i="12"/>
  <c r="R21" i="12"/>
  <c r="O33" i="12"/>
  <c r="N27" i="12"/>
  <c r="O28" i="12"/>
  <c r="R31" i="12"/>
  <c r="R28" i="12"/>
  <c r="S16" i="12" l="1"/>
  <c r="U22" i="12"/>
  <c r="S11" i="12" s="1"/>
  <c r="S21" i="12"/>
  <c r="S20" i="12"/>
  <c r="T22" i="12"/>
  <c r="S10" i="12" s="1"/>
  <c r="S15" i="12"/>
  <c r="R22" i="12"/>
  <c r="S8" i="12" s="1"/>
  <c r="S18" i="12"/>
  <c r="S19" i="12"/>
  <c r="S17" i="12"/>
  <c r="Z122" i="1"/>
  <c r="Z130" i="1"/>
  <c r="Z95" i="1"/>
  <c r="Z9" i="1"/>
  <c r="Z119" i="1"/>
  <c r="Z10" i="1"/>
  <c r="Z39" i="1"/>
  <c r="Z11" i="1"/>
  <c r="Z63" i="1"/>
  <c r="Z118" i="1"/>
  <c r="Z96" i="1"/>
  <c r="Z120" i="1"/>
  <c r="Z125" i="1"/>
  <c r="Z97" i="1"/>
  <c r="Z80" i="1"/>
  <c r="Z49" i="1"/>
  <c r="Z82" i="1"/>
  <c r="Z98" i="1"/>
  <c r="Z74" i="1"/>
  <c r="Z40" i="1"/>
  <c r="Z70" i="1"/>
  <c r="Z14" i="1"/>
  <c r="Z22" i="1"/>
  <c r="Z29" i="1"/>
  <c r="Z41" i="1"/>
  <c r="Z71" i="1"/>
  <c r="Z57" i="1"/>
  <c r="Z123" i="1"/>
  <c r="Z36" i="1"/>
  <c r="Z51" i="1"/>
  <c r="Z64" i="1"/>
  <c r="Z127" i="1"/>
  <c r="Z81" i="1"/>
  <c r="Z99" i="1"/>
  <c r="Z100" i="1"/>
  <c r="Z111" i="1"/>
  <c r="Z25" i="1"/>
  <c r="Z128" i="1"/>
  <c r="Z18" i="1"/>
  <c r="Z58" i="1"/>
  <c r="Z66" i="1"/>
  <c r="Z101" i="1"/>
  <c r="Z102" i="1"/>
  <c r="Z112" i="1"/>
  <c r="Z16" i="1"/>
  <c r="Z83" i="1"/>
  <c r="Z103" i="1"/>
  <c r="Z113" i="1"/>
  <c r="Z132" i="1"/>
  <c r="Z15" i="1"/>
  <c r="Z54" i="1"/>
  <c r="Z84" i="1"/>
  <c r="Z104" i="1"/>
  <c r="Z105" i="1"/>
  <c r="Z114" i="1"/>
  <c r="Z37" i="1"/>
  <c r="Z38" i="1"/>
  <c r="Z106" i="1"/>
  <c r="Z107" i="1"/>
  <c r="Z67" i="1"/>
  <c r="Z75" i="1"/>
  <c r="Z115" i="1"/>
  <c r="Z23" i="1"/>
  <c r="Z26" i="1"/>
  <c r="Z116" i="1"/>
  <c r="Z121" i="1"/>
  <c r="Z24" i="1"/>
  <c r="Z28" i="1"/>
  <c r="Z126" i="1"/>
  <c r="Z43" i="1"/>
  <c r="Z68" i="1"/>
  <c r="Z108" i="1"/>
  <c r="Z69" i="1"/>
  <c r="Z76" i="1"/>
  <c r="Z117" i="1"/>
  <c r="Z12" i="1"/>
  <c r="Z17" i="1"/>
  <c r="Z30" i="1"/>
  <c r="Z31" i="1"/>
  <c r="Z32" i="1"/>
  <c r="Z7" i="1"/>
  <c r="Z48" i="1"/>
  <c r="Z131" i="1"/>
  <c r="Z52" i="1"/>
  <c r="Z8" i="1"/>
  <c r="Z27" i="1"/>
  <c r="Z77" i="1"/>
  <c r="Z78" i="1"/>
  <c r="Z42" i="1"/>
  <c r="Z34" i="1"/>
  <c r="Z44" i="1"/>
  <c r="Z55" i="1"/>
  <c r="Z53" i="1"/>
  <c r="Z59" i="1"/>
  <c r="Z60" i="1"/>
  <c r="Z85" i="1"/>
  <c r="Z33" i="1"/>
  <c r="Z50" i="1"/>
  <c r="Z72" i="1"/>
  <c r="Z35" i="1"/>
  <c r="Z45" i="1"/>
  <c r="Z61" i="1"/>
  <c r="Z62" i="1"/>
  <c r="Z73" i="1"/>
  <c r="Z124" i="1"/>
  <c r="Z19" i="1"/>
  <c r="Z20" i="1"/>
  <c r="Z21" i="1"/>
  <c r="Z65" i="1"/>
  <c r="Z86" i="1"/>
  <c r="Z46" i="1"/>
  <c r="Z47" i="1"/>
  <c r="Z56" i="1"/>
  <c r="Z13" i="1"/>
  <c r="Z79" i="1"/>
  <c r="Z129" i="1"/>
  <c r="Z91" i="1"/>
  <c r="Z92" i="1"/>
  <c r="Z109" i="1"/>
  <c r="Z110" i="1"/>
  <c r="Z87" i="1"/>
  <c r="Z89" i="1"/>
  <c r="Z90" i="1"/>
  <c r="Z93" i="1"/>
  <c r="Z94" i="1"/>
  <c r="Z88" i="1"/>
  <c r="I24" i="15"/>
  <c r="O29" i="15"/>
  <c r="D27" i="15"/>
  <c r="M27" i="15"/>
  <c r="B25" i="15"/>
  <c r="P28" i="15"/>
  <c r="H26" i="15"/>
  <c r="O27" i="15"/>
  <c r="K24" i="15"/>
  <c r="M23" i="15"/>
  <c r="P26" i="15"/>
  <c r="J26" i="15"/>
  <c r="E26" i="15"/>
  <c r="K25" i="15"/>
  <c r="J27" i="15"/>
  <c r="H29" i="15"/>
  <c r="M29" i="15"/>
  <c r="C28" i="15"/>
  <c r="F23" i="15"/>
  <c r="O26" i="15"/>
  <c r="M24" i="15"/>
  <c r="K28" i="15"/>
  <c r="B23" i="15"/>
  <c r="I26" i="15"/>
  <c r="K26" i="15"/>
  <c r="I27" i="15"/>
  <c r="L29" i="15"/>
  <c r="J28" i="15"/>
  <c r="L23" i="15"/>
  <c r="E24" i="15"/>
  <c r="H24" i="15"/>
  <c r="M28" i="15"/>
  <c r="L28" i="15"/>
  <c r="D23" i="15"/>
  <c r="D25" i="15"/>
  <c r="K29" i="15"/>
  <c r="O25" i="15"/>
  <c r="D26" i="15"/>
  <c r="G28" i="15"/>
  <c r="D24" i="15"/>
  <c r="I23" i="15"/>
  <c r="G25" i="15"/>
  <c r="L26" i="15"/>
  <c r="B24" i="15"/>
  <c r="H23" i="15"/>
  <c r="F25" i="15"/>
  <c r="C25" i="15"/>
  <c r="K27" i="15"/>
  <c r="P23" i="15"/>
  <c r="J23" i="15"/>
  <c r="K23" i="15"/>
  <c r="E27" i="15"/>
  <c r="O23" i="15"/>
  <c r="P27" i="15"/>
  <c r="G23" i="15"/>
  <c r="I29" i="15"/>
  <c r="D29" i="15"/>
  <c r="B29" i="15"/>
  <c r="O24" i="15"/>
  <c r="O28" i="15"/>
  <c r="E29" i="15"/>
  <c r="G26" i="15"/>
  <c r="L27" i="15"/>
  <c r="F29" i="15"/>
  <c r="J25" i="15"/>
  <c r="P24" i="15"/>
  <c r="D28" i="15"/>
  <c r="L24" i="15"/>
  <c r="C24" i="15"/>
  <c r="E28" i="15"/>
  <c r="J24" i="15"/>
  <c r="I28" i="15"/>
  <c r="E25" i="15"/>
  <c r="I25" i="15"/>
  <c r="C23" i="15"/>
  <c r="H27" i="15"/>
  <c r="C26" i="15"/>
  <c r="F27" i="15"/>
  <c r="F26" i="15"/>
  <c r="C29" i="15"/>
  <c r="B27" i="15"/>
  <c r="H25" i="15"/>
  <c r="F24" i="15"/>
  <c r="P25" i="15"/>
  <c r="M25" i="15"/>
  <c r="M26" i="15"/>
  <c r="G27" i="15"/>
  <c r="J29" i="15"/>
  <c r="E23" i="15"/>
  <c r="L25" i="15"/>
  <c r="F28" i="15"/>
  <c r="G24" i="15"/>
  <c r="C27" i="15"/>
  <c r="B28" i="15"/>
  <c r="H28" i="15"/>
  <c r="P29" i="15"/>
  <c r="B26" i="15"/>
  <c r="G29" i="15"/>
  <c r="S22" i="12" l="1"/>
  <c r="S9" i="12" s="1"/>
  <c r="P30" i="15"/>
  <c r="O30" i="15"/>
  <c r="H30" i="15"/>
  <c r="I30" i="15"/>
  <c r="J30" i="15"/>
  <c r="K30" i="15"/>
  <c r="L30" i="15"/>
  <c r="M30" i="15"/>
  <c r="G30" i="15"/>
  <c r="F30" i="15"/>
  <c r="E30" i="15"/>
  <c r="D30" i="15"/>
  <c r="C30" i="15"/>
  <c r="B30" i="15"/>
  <c r="B122" i="1" l="1"/>
  <c r="B130" i="1"/>
  <c r="B95" i="1"/>
  <c r="B9" i="1"/>
  <c r="B119" i="1"/>
  <c r="B10" i="1"/>
  <c r="B39" i="1"/>
  <c r="B11" i="1"/>
  <c r="B63" i="1"/>
  <c r="B118" i="1"/>
  <c r="B96" i="1"/>
  <c r="B120" i="1"/>
  <c r="B125" i="1"/>
  <c r="B97" i="1"/>
  <c r="B80" i="1"/>
  <c r="B49" i="1"/>
  <c r="B82" i="1"/>
  <c r="B98" i="1"/>
  <c r="B74" i="1"/>
  <c r="B40" i="1"/>
  <c r="B70" i="1"/>
  <c r="B14" i="1"/>
  <c r="B22" i="1"/>
  <c r="B29" i="1"/>
  <c r="B41" i="1"/>
  <c r="B71" i="1"/>
  <c r="B57" i="1"/>
  <c r="B123" i="1"/>
  <c r="B36" i="1"/>
  <c r="B51" i="1"/>
  <c r="B64" i="1"/>
  <c r="B127" i="1"/>
  <c r="B81" i="1"/>
  <c r="B99" i="1"/>
  <c r="B100" i="1"/>
  <c r="B111" i="1"/>
  <c r="B25" i="1"/>
  <c r="B128" i="1"/>
  <c r="B18" i="1"/>
  <c r="B58" i="1"/>
  <c r="B66" i="1"/>
  <c r="B101" i="1"/>
  <c r="B102" i="1"/>
  <c r="B112" i="1"/>
  <c r="B16" i="1"/>
  <c r="B83" i="1"/>
  <c r="B103" i="1"/>
  <c r="B113" i="1"/>
  <c r="B132" i="1"/>
  <c r="B15" i="1"/>
  <c r="B54" i="1"/>
  <c r="B84" i="1"/>
  <c r="B104" i="1"/>
  <c r="B105" i="1"/>
  <c r="B114" i="1"/>
  <c r="B37" i="1"/>
  <c r="B38" i="1"/>
  <c r="B106" i="1"/>
  <c r="B107" i="1"/>
  <c r="B67" i="1"/>
  <c r="B75" i="1"/>
  <c r="B115" i="1"/>
  <c r="B23" i="1"/>
  <c r="B26" i="1"/>
  <c r="B116" i="1"/>
  <c r="B121" i="1"/>
  <c r="B24" i="1"/>
  <c r="B28" i="1"/>
  <c r="B126" i="1"/>
  <c r="B43" i="1"/>
  <c r="B68" i="1"/>
  <c r="B108" i="1"/>
  <c r="B69" i="1"/>
  <c r="B76" i="1"/>
  <c r="B117" i="1"/>
  <c r="B12" i="1"/>
  <c r="B17" i="1"/>
  <c r="B30" i="1"/>
  <c r="B31" i="1"/>
  <c r="B32" i="1"/>
  <c r="B7" i="1"/>
  <c r="B48" i="1"/>
  <c r="B131" i="1"/>
  <c r="B52" i="1"/>
  <c r="B8" i="1"/>
  <c r="B27" i="1"/>
  <c r="B77" i="1"/>
  <c r="B78" i="1"/>
  <c r="B42" i="1"/>
  <c r="B34" i="1"/>
  <c r="B44" i="1"/>
  <c r="B55" i="1"/>
  <c r="B53" i="1"/>
  <c r="B59" i="1"/>
  <c r="B60" i="1"/>
  <c r="B85" i="1"/>
  <c r="B33" i="1"/>
  <c r="B50" i="1"/>
  <c r="B72" i="1"/>
  <c r="B35" i="1"/>
  <c r="B45" i="1"/>
  <c r="B61" i="1"/>
  <c r="B62" i="1"/>
  <c r="B73" i="1"/>
  <c r="B124" i="1"/>
  <c r="B19" i="1"/>
  <c r="B20" i="1"/>
  <c r="B21" i="1"/>
  <c r="B65" i="1"/>
  <c r="B86" i="1"/>
  <c r="B46" i="1"/>
  <c r="B47" i="1"/>
  <c r="B56" i="1"/>
  <c r="B13" i="1"/>
  <c r="B79" i="1"/>
  <c r="B129" i="1"/>
  <c r="B91" i="1"/>
  <c r="B92" i="1"/>
  <c r="B109" i="1"/>
  <c r="B110" i="1"/>
  <c r="B87" i="1"/>
  <c r="B89" i="1"/>
  <c r="B90" i="1"/>
  <c r="B93" i="1"/>
  <c r="B94" i="1"/>
  <c r="B88" i="1"/>
  <c r="Y7" i="1"/>
  <c r="Y8" i="1"/>
  <c r="Y11" i="1"/>
  <c r="Y9" i="1"/>
  <c r="Y12" i="1"/>
  <c r="Y10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6" i="1"/>
  <c r="Y28" i="1"/>
  <c r="Y30" i="1"/>
  <c r="Y29" i="1"/>
  <c r="Y31" i="1"/>
  <c r="Y32" i="1"/>
  <c r="Y33" i="1"/>
  <c r="Y34" i="1"/>
  <c r="Y35" i="1"/>
  <c r="Y36" i="1"/>
  <c r="Y37" i="1"/>
  <c r="Y38" i="1"/>
  <c r="Y42" i="1"/>
  <c r="Y39" i="1"/>
  <c r="Y40" i="1"/>
  <c r="Y41" i="1"/>
  <c r="Y43" i="1"/>
  <c r="Y44" i="1"/>
  <c r="Y45" i="1"/>
  <c r="Y46" i="1"/>
  <c r="Y47" i="1"/>
  <c r="Y48" i="1"/>
  <c r="Y49" i="1"/>
  <c r="Y50" i="1"/>
  <c r="Y53" i="1"/>
  <c r="Y52" i="1"/>
  <c r="Y51" i="1"/>
  <c r="Y54" i="1"/>
  <c r="Y55" i="1"/>
  <c r="Y56" i="1"/>
  <c r="Y59" i="1"/>
  <c r="Y57" i="1"/>
  <c r="Y58" i="1"/>
  <c r="Y60" i="1"/>
  <c r="Y61" i="1"/>
  <c r="Y62" i="1"/>
  <c r="Y63" i="1"/>
  <c r="Y64" i="1"/>
  <c r="Y65" i="1"/>
  <c r="Y68" i="1"/>
  <c r="Y66" i="1"/>
  <c r="Y67" i="1"/>
  <c r="Y69" i="1"/>
  <c r="Y70" i="1"/>
  <c r="Y71" i="1"/>
  <c r="Y73" i="1"/>
  <c r="Y72" i="1"/>
  <c r="Y75" i="1"/>
  <c r="Y77" i="1"/>
  <c r="Y76" i="1"/>
  <c r="Y74" i="1"/>
  <c r="Y78" i="1"/>
  <c r="Y79" i="1"/>
  <c r="Y80" i="1"/>
  <c r="Y81" i="1"/>
  <c r="Y85" i="1"/>
  <c r="Y82" i="1"/>
  <c r="Y84" i="1"/>
  <c r="Y83" i="1"/>
  <c r="Y86" i="1"/>
  <c r="Y88" i="1"/>
  <c r="Y87" i="1"/>
  <c r="Y89" i="1"/>
  <c r="Y90" i="1"/>
  <c r="Y91" i="1"/>
  <c r="Y92" i="1"/>
  <c r="Y93" i="1"/>
  <c r="Y94" i="1"/>
  <c r="Y109" i="1"/>
  <c r="Y104" i="1"/>
  <c r="Y105" i="1"/>
  <c r="Y96" i="1"/>
  <c r="Y101" i="1"/>
  <c r="Y99" i="1"/>
  <c r="Y97" i="1"/>
  <c r="Y98" i="1"/>
  <c r="Y106" i="1"/>
  <c r="Y102" i="1"/>
  <c r="Y103" i="1"/>
  <c r="Y107" i="1"/>
  <c r="Y100" i="1"/>
  <c r="Y95" i="1"/>
  <c r="Y108" i="1"/>
  <c r="Y110" i="1"/>
  <c r="Y116" i="1"/>
  <c r="Y114" i="1"/>
  <c r="Y112" i="1"/>
  <c r="Y111" i="1"/>
  <c r="Y113" i="1"/>
  <c r="Y115" i="1"/>
  <c r="Y117" i="1"/>
  <c r="Y118" i="1"/>
  <c r="Y119" i="1"/>
  <c r="Y121" i="1"/>
  <c r="Y120" i="1"/>
  <c r="Y122" i="1"/>
  <c r="Y123" i="1"/>
  <c r="Y124" i="1"/>
  <c r="Y125" i="1"/>
  <c r="Y126" i="1"/>
  <c r="Y127" i="1"/>
  <c r="Y128" i="1"/>
  <c r="Y129" i="1"/>
  <c r="Y130" i="1"/>
  <c r="Y131" i="1"/>
  <c r="Y132" i="1"/>
  <c r="AF12" i="11" l="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C12" i="11"/>
  <c r="Z8" i="11"/>
  <c r="X8" i="11"/>
  <c r="V8" i="11"/>
  <c r="T8" i="11"/>
  <c r="Q8" i="11"/>
  <c r="O8" i="11"/>
  <c r="M8" i="11"/>
  <c r="AB8" i="11" l="1"/>
  <c r="V132" i="1"/>
  <c r="W132" i="1"/>
  <c r="AC132" i="1"/>
  <c r="AD132" i="1"/>
  <c r="AE132" i="1" s="1"/>
  <c r="V131" i="1"/>
  <c r="W131" i="1"/>
  <c r="AC131" i="1"/>
  <c r="AD131" i="1"/>
  <c r="AE131" i="1" s="1"/>
  <c r="V130" i="1"/>
  <c r="W130" i="1"/>
  <c r="AC130" i="1"/>
  <c r="AD130" i="1"/>
  <c r="AE130" i="1" s="1"/>
  <c r="V129" i="1"/>
  <c r="W129" i="1"/>
  <c r="AC129" i="1"/>
  <c r="AD129" i="1"/>
  <c r="AE129" i="1" s="1"/>
  <c r="V128" i="1"/>
  <c r="W128" i="1"/>
  <c r="AC128" i="1"/>
  <c r="AD128" i="1"/>
  <c r="AE128" i="1" s="1"/>
  <c r="V127" i="1"/>
  <c r="W127" i="1"/>
  <c r="AC127" i="1"/>
  <c r="AD127" i="1"/>
  <c r="AE127" i="1" s="1"/>
  <c r="V126" i="1"/>
  <c r="W126" i="1"/>
  <c r="AC126" i="1"/>
  <c r="AD126" i="1"/>
  <c r="AE126" i="1" s="1"/>
  <c r="V125" i="1"/>
  <c r="W125" i="1"/>
  <c r="AC125" i="1"/>
  <c r="AD125" i="1"/>
  <c r="AE125" i="1" s="1"/>
  <c r="V124" i="1"/>
  <c r="W124" i="1"/>
  <c r="AC124" i="1"/>
  <c r="AD124" i="1"/>
  <c r="AE124" i="1" s="1"/>
  <c r="V123" i="1"/>
  <c r="W123" i="1"/>
  <c r="AC123" i="1"/>
  <c r="AD123" i="1"/>
  <c r="AE123" i="1" s="1"/>
  <c r="V122" i="1" l="1"/>
  <c r="W122" i="1"/>
  <c r="AC122" i="1"/>
  <c r="AD122" i="1"/>
  <c r="AE122" i="1" s="1"/>
  <c r="V120" i="1"/>
  <c r="W120" i="1"/>
  <c r="AC120" i="1"/>
  <c r="AD120" i="1"/>
  <c r="AE120" i="1" s="1"/>
  <c r="V121" i="1"/>
  <c r="W121" i="1"/>
  <c r="AC121" i="1"/>
  <c r="AD121" i="1"/>
  <c r="AE121" i="1" s="1"/>
  <c r="V119" i="1"/>
  <c r="W119" i="1"/>
  <c r="AC119" i="1"/>
  <c r="AD119" i="1"/>
  <c r="AE119" i="1" s="1"/>
  <c r="V118" i="1"/>
  <c r="W118" i="1"/>
  <c r="AC118" i="1"/>
  <c r="AD118" i="1"/>
  <c r="AE118" i="1" s="1"/>
  <c r="V117" i="1"/>
  <c r="W117" i="1"/>
  <c r="AC117" i="1"/>
  <c r="AD117" i="1"/>
  <c r="AE117" i="1" s="1"/>
  <c r="V113" i="1"/>
  <c r="W113" i="1"/>
  <c r="AC113" i="1"/>
  <c r="AD113" i="1"/>
  <c r="AE113" i="1" s="1"/>
  <c r="V111" i="1"/>
  <c r="W111" i="1"/>
  <c r="AC111" i="1"/>
  <c r="AD111" i="1"/>
  <c r="AE111" i="1" s="1"/>
  <c r="V112" i="1"/>
  <c r="W112" i="1"/>
  <c r="AC112" i="1"/>
  <c r="AD112" i="1"/>
  <c r="AE112" i="1" s="1"/>
  <c r="V114" i="1"/>
  <c r="W114" i="1"/>
  <c r="AC114" i="1"/>
  <c r="AD114" i="1"/>
  <c r="AE114" i="1" s="1"/>
  <c r="V116" i="1"/>
  <c r="W116" i="1"/>
  <c r="AC116" i="1"/>
  <c r="AD116" i="1"/>
  <c r="AE116" i="1" s="1"/>
  <c r="V115" i="1"/>
  <c r="W115" i="1"/>
  <c r="AC115" i="1"/>
  <c r="AD115" i="1"/>
  <c r="AE115" i="1" s="1"/>
  <c r="V108" i="1"/>
  <c r="W108" i="1"/>
  <c r="AC108" i="1"/>
  <c r="AD108" i="1"/>
  <c r="AE108" i="1" s="1"/>
  <c r="V95" i="1"/>
  <c r="W95" i="1"/>
  <c r="AC95" i="1"/>
  <c r="AD95" i="1"/>
  <c r="AE95" i="1" s="1"/>
  <c r="V100" i="1"/>
  <c r="W100" i="1"/>
  <c r="AC100" i="1"/>
  <c r="AD100" i="1"/>
  <c r="AE100" i="1" s="1"/>
  <c r="V107" i="1"/>
  <c r="W107" i="1"/>
  <c r="AC107" i="1"/>
  <c r="AD107" i="1"/>
  <c r="AE107" i="1" s="1"/>
  <c r="V103" i="1"/>
  <c r="W103" i="1"/>
  <c r="AC103" i="1"/>
  <c r="AD103" i="1"/>
  <c r="AE103" i="1" s="1"/>
  <c r="V102" i="1"/>
  <c r="W102" i="1"/>
  <c r="AC102" i="1"/>
  <c r="AD102" i="1"/>
  <c r="AE102" i="1" s="1"/>
  <c r="V106" i="1"/>
  <c r="W106" i="1"/>
  <c r="AC106" i="1"/>
  <c r="AD106" i="1"/>
  <c r="AE106" i="1" s="1"/>
  <c r="V98" i="1"/>
  <c r="W98" i="1"/>
  <c r="AC98" i="1"/>
  <c r="AD98" i="1"/>
  <c r="AE98" i="1" s="1"/>
  <c r="V97" i="1"/>
  <c r="W97" i="1"/>
  <c r="AC97" i="1"/>
  <c r="AD97" i="1"/>
  <c r="AE97" i="1" s="1"/>
  <c r="V99" i="1"/>
  <c r="W99" i="1"/>
  <c r="AC99" i="1"/>
  <c r="AD99" i="1"/>
  <c r="AE99" i="1" s="1"/>
  <c r="V101" i="1"/>
  <c r="W101" i="1"/>
  <c r="AC101" i="1"/>
  <c r="AD101" i="1"/>
  <c r="AE101" i="1" s="1"/>
  <c r="V96" i="1"/>
  <c r="W96" i="1"/>
  <c r="AC96" i="1"/>
  <c r="AD96" i="1"/>
  <c r="AE96" i="1" s="1"/>
  <c r="V105" i="1"/>
  <c r="W105" i="1"/>
  <c r="AC105" i="1"/>
  <c r="AD105" i="1"/>
  <c r="AE105" i="1" s="1"/>
  <c r="V104" i="1"/>
  <c r="W104" i="1"/>
  <c r="AC104" i="1"/>
  <c r="AD104" i="1"/>
  <c r="AE104" i="1" s="1"/>
  <c r="V109" i="1"/>
  <c r="W109" i="1"/>
  <c r="AC109" i="1"/>
  <c r="AD109" i="1"/>
  <c r="AE109" i="1" s="1"/>
  <c r="I25" i="10"/>
  <c r="I5" i="10"/>
  <c r="I22" i="10"/>
  <c r="I8" i="10"/>
  <c r="I4" i="10"/>
  <c r="I3" i="10"/>
  <c r="I10" i="10"/>
  <c r="I13" i="10"/>
  <c r="I12" i="10"/>
  <c r="I20" i="10"/>
  <c r="I11" i="10"/>
  <c r="I24" i="10"/>
  <c r="I9" i="10"/>
  <c r="I19" i="10"/>
  <c r="I15" i="10"/>
  <c r="I6" i="10"/>
  <c r="I18" i="10"/>
  <c r="I26" i="10"/>
  <c r="I16" i="10"/>
  <c r="I14" i="10"/>
  <c r="I7" i="10"/>
  <c r="I21" i="10"/>
  <c r="I23" i="10"/>
  <c r="I17" i="10"/>
  <c r="R22" i="7" l="1"/>
  <c r="V110" i="1"/>
  <c r="W110" i="1"/>
  <c r="AC110" i="1"/>
  <c r="AD110" i="1"/>
  <c r="AE110" i="1" s="1"/>
  <c r="V94" i="1"/>
  <c r="W94" i="1"/>
  <c r="AC94" i="1"/>
  <c r="AD94" i="1"/>
  <c r="AE94" i="1" s="1"/>
  <c r="V93" i="1"/>
  <c r="W93" i="1"/>
  <c r="AC93" i="1"/>
  <c r="AD93" i="1"/>
  <c r="AE93" i="1" s="1"/>
  <c r="S22" i="7" l="1"/>
  <c r="Q26" i="7" s="1"/>
  <c r="V92" i="1"/>
  <c r="W92" i="1"/>
  <c r="AC92" i="1"/>
  <c r="AD92" i="1"/>
  <c r="AE92" i="1" s="1"/>
  <c r="V91" i="1"/>
  <c r="W91" i="1"/>
  <c r="AC91" i="1"/>
  <c r="AD91" i="1"/>
  <c r="AE91" i="1" s="1"/>
  <c r="V90" i="1"/>
  <c r="W90" i="1"/>
  <c r="AC90" i="1"/>
  <c r="AD90" i="1"/>
  <c r="AE90" i="1" s="1"/>
  <c r="V89" i="1"/>
  <c r="W89" i="1"/>
  <c r="AC89" i="1"/>
  <c r="AD89" i="1"/>
  <c r="AE89" i="1" s="1"/>
  <c r="V87" i="1"/>
  <c r="W87" i="1"/>
  <c r="AC87" i="1"/>
  <c r="AD87" i="1"/>
  <c r="AE87" i="1" s="1"/>
  <c r="V88" i="1"/>
  <c r="W88" i="1"/>
  <c r="AC88" i="1"/>
  <c r="AD88" i="1"/>
  <c r="AE88" i="1" s="1"/>
  <c r="V86" i="1"/>
  <c r="W86" i="1"/>
  <c r="AC86" i="1"/>
  <c r="AD86" i="1"/>
  <c r="AE86" i="1" s="1"/>
  <c r="V85" i="1"/>
  <c r="W85" i="1"/>
  <c r="AC85" i="1"/>
  <c r="AD85" i="1"/>
  <c r="AE85" i="1" s="1"/>
  <c r="V82" i="1"/>
  <c r="W82" i="1"/>
  <c r="AC82" i="1"/>
  <c r="AD82" i="1"/>
  <c r="AE82" i="1" s="1"/>
  <c r="V84" i="1"/>
  <c r="W84" i="1"/>
  <c r="AC84" i="1"/>
  <c r="AD84" i="1"/>
  <c r="AE84" i="1" s="1"/>
  <c r="V83" i="1"/>
  <c r="W83" i="1"/>
  <c r="AC83" i="1"/>
  <c r="AD83" i="1"/>
  <c r="AE83" i="1" s="1"/>
  <c r="R9" i="7"/>
  <c r="S9" i="7" s="1"/>
  <c r="Q15" i="7" s="1"/>
  <c r="V81" i="1"/>
  <c r="W81" i="1"/>
  <c r="AC81" i="1"/>
  <c r="AD81" i="1"/>
  <c r="AE81" i="1" s="1"/>
  <c r="V80" i="1"/>
  <c r="W80" i="1"/>
  <c r="AC80" i="1"/>
  <c r="AD80" i="1"/>
  <c r="AE80" i="1" s="1"/>
  <c r="V79" i="1"/>
  <c r="W79" i="1"/>
  <c r="AC79" i="1"/>
  <c r="AD79" i="1"/>
  <c r="AE79" i="1" s="1"/>
  <c r="V78" i="1"/>
  <c r="W78" i="1"/>
  <c r="AC78" i="1"/>
  <c r="AD78" i="1"/>
  <c r="AE78" i="1" s="1"/>
  <c r="V77" i="1"/>
  <c r="W77" i="1"/>
  <c r="AC77" i="1"/>
  <c r="AD77" i="1"/>
  <c r="AE77" i="1" s="1"/>
  <c r="V75" i="1"/>
  <c r="W75" i="1"/>
  <c r="AC75" i="1"/>
  <c r="AD75" i="1"/>
  <c r="AE75" i="1" s="1"/>
  <c r="V76" i="1"/>
  <c r="W76" i="1"/>
  <c r="AC76" i="1"/>
  <c r="AD76" i="1"/>
  <c r="AE76" i="1" s="1"/>
  <c r="V74" i="1"/>
  <c r="W74" i="1"/>
  <c r="AC74" i="1"/>
  <c r="AD74" i="1"/>
  <c r="AE74" i="1" s="1"/>
  <c r="V71" i="1"/>
  <c r="W71" i="1"/>
  <c r="AC71" i="1"/>
  <c r="AD71" i="1"/>
  <c r="AE71" i="1" s="1"/>
  <c r="V70" i="1"/>
  <c r="W70" i="1"/>
  <c r="AC70" i="1"/>
  <c r="AD70" i="1"/>
  <c r="AE70" i="1" s="1"/>
  <c r="V73" i="1"/>
  <c r="W73" i="1"/>
  <c r="AC73" i="1"/>
  <c r="AD73" i="1"/>
  <c r="AE73" i="1" s="1"/>
  <c r="V72" i="1"/>
  <c r="W72" i="1"/>
  <c r="AC72" i="1"/>
  <c r="AD72" i="1"/>
  <c r="AE72" i="1" s="1"/>
  <c r="V68" i="1"/>
  <c r="W68" i="1"/>
  <c r="AC68" i="1"/>
  <c r="AD68" i="1"/>
  <c r="AE68" i="1" s="1"/>
  <c r="V67" i="1"/>
  <c r="W67" i="1"/>
  <c r="AC67" i="1"/>
  <c r="AD67" i="1"/>
  <c r="AE67" i="1" s="1"/>
  <c r="V69" i="1"/>
  <c r="W69" i="1"/>
  <c r="AC69" i="1"/>
  <c r="AD69" i="1"/>
  <c r="AE69" i="1" s="1"/>
  <c r="V66" i="1"/>
  <c r="W66" i="1"/>
  <c r="AC66" i="1"/>
  <c r="AD66" i="1"/>
  <c r="AE66" i="1" s="1"/>
  <c r="V65" i="1"/>
  <c r="W65" i="1"/>
  <c r="AC65" i="1"/>
  <c r="AD65" i="1"/>
  <c r="AE65" i="1" s="1"/>
  <c r="V64" i="1"/>
  <c r="W64" i="1"/>
  <c r="AC64" i="1"/>
  <c r="AD64" i="1"/>
  <c r="AE64" i="1" s="1"/>
  <c r="V63" i="1"/>
  <c r="W63" i="1"/>
  <c r="AC63" i="1"/>
  <c r="AD63" i="1"/>
  <c r="AE63" i="1" s="1"/>
  <c r="V61" i="1"/>
  <c r="W61" i="1"/>
  <c r="AC61" i="1"/>
  <c r="AD61" i="1"/>
  <c r="AE61" i="1" s="1"/>
  <c r="V62" i="1"/>
  <c r="W62" i="1"/>
  <c r="AC62" i="1"/>
  <c r="AD62" i="1"/>
  <c r="AE62" i="1" s="1"/>
  <c r="V58" i="1"/>
  <c r="W58" i="1"/>
  <c r="AC58" i="1"/>
  <c r="AD58" i="1"/>
  <c r="AE58" i="1" s="1"/>
  <c r="V57" i="1"/>
  <c r="W57" i="1"/>
  <c r="AC57" i="1"/>
  <c r="AD57" i="1"/>
  <c r="AE57" i="1" s="1"/>
  <c r="V59" i="1"/>
  <c r="W59" i="1"/>
  <c r="AC59" i="1"/>
  <c r="AD59" i="1"/>
  <c r="AE59" i="1" s="1"/>
  <c r="V60" i="1"/>
  <c r="W60" i="1"/>
  <c r="AC60" i="1"/>
  <c r="AD60" i="1"/>
  <c r="AE60" i="1" s="1"/>
  <c r="V56" i="1"/>
  <c r="W56" i="1"/>
  <c r="AC56" i="1"/>
  <c r="AD56" i="1"/>
  <c r="AE56" i="1" s="1"/>
  <c r="V55" i="1"/>
  <c r="W55" i="1"/>
  <c r="AC55" i="1"/>
  <c r="AD55" i="1"/>
  <c r="AE55" i="1" s="1"/>
  <c r="V54" i="1"/>
  <c r="W54" i="1"/>
  <c r="AC54" i="1"/>
  <c r="AD54" i="1"/>
  <c r="AE54" i="1" s="1"/>
  <c r="V53" i="1"/>
  <c r="W53" i="1"/>
  <c r="AC53" i="1"/>
  <c r="AD53" i="1"/>
  <c r="AE53" i="1" s="1"/>
  <c r="V52" i="1"/>
  <c r="W52" i="1"/>
  <c r="AC52" i="1"/>
  <c r="AD52" i="1"/>
  <c r="AE52" i="1" s="1"/>
  <c r="V51" i="1"/>
  <c r="W51" i="1"/>
  <c r="AC51" i="1"/>
  <c r="AD51" i="1"/>
  <c r="AE51" i="1" s="1"/>
  <c r="V50" i="1"/>
  <c r="W50" i="1"/>
  <c r="AC50" i="1"/>
  <c r="AD50" i="1"/>
  <c r="AE50" i="1" s="1"/>
  <c r="V49" i="1"/>
  <c r="W49" i="1"/>
  <c r="AC49" i="1"/>
  <c r="AD49" i="1"/>
  <c r="AE49" i="1" s="1"/>
  <c r="V48" i="1"/>
  <c r="W48" i="1"/>
  <c r="AC48" i="1"/>
  <c r="AD48" i="1"/>
  <c r="AE48" i="1" s="1"/>
  <c r="B5" i="6"/>
  <c r="B2" i="6"/>
  <c r="C2" i="6" s="1"/>
  <c r="B4" i="6"/>
  <c r="B6" i="6"/>
  <c r="B3" i="6"/>
  <c r="V46" i="1"/>
  <c r="W46" i="1"/>
  <c r="AC46" i="1"/>
  <c r="AD46" i="1"/>
  <c r="AE46" i="1" s="1"/>
  <c r="V47" i="1"/>
  <c r="W47" i="1"/>
  <c r="AC47" i="1"/>
  <c r="AD47" i="1"/>
  <c r="AE47" i="1" s="1"/>
  <c r="V45" i="1"/>
  <c r="W45" i="1"/>
  <c r="AC45" i="1"/>
  <c r="AD45" i="1"/>
  <c r="AE45" i="1" s="1"/>
  <c r="V44" i="1"/>
  <c r="W44" i="1"/>
  <c r="AC44" i="1"/>
  <c r="AD44" i="1"/>
  <c r="AE44" i="1" s="1"/>
  <c r="AD7" i="1"/>
  <c r="AE7" i="1" s="1"/>
  <c r="AD8" i="1"/>
  <c r="AE8" i="1" s="1"/>
  <c r="AD11" i="1"/>
  <c r="AE11" i="1" s="1"/>
  <c r="AD9" i="1"/>
  <c r="AE9" i="1" s="1"/>
  <c r="AD12" i="1"/>
  <c r="AE12" i="1" s="1"/>
  <c r="AD10" i="1"/>
  <c r="AE10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7" i="1"/>
  <c r="AE27" i="1" s="1"/>
  <c r="AD26" i="1"/>
  <c r="AE26" i="1" s="1"/>
  <c r="AD28" i="1"/>
  <c r="AE28" i="1" s="1"/>
  <c r="AD30" i="1"/>
  <c r="AE30" i="1" s="1"/>
  <c r="AD29" i="1"/>
  <c r="AE29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42" i="1"/>
  <c r="AE42" i="1" s="1"/>
  <c r="AD39" i="1"/>
  <c r="AE39" i="1" s="1"/>
  <c r="AD40" i="1"/>
  <c r="AE40" i="1" s="1"/>
  <c r="AD41" i="1"/>
  <c r="AE41" i="1" s="1"/>
  <c r="AD43" i="1"/>
  <c r="AE43" i="1" s="1"/>
  <c r="V43" i="1"/>
  <c r="W43" i="1"/>
  <c r="AC43" i="1"/>
  <c r="V40" i="1"/>
  <c r="W40" i="1"/>
  <c r="AC40" i="1"/>
  <c r="V42" i="1"/>
  <c r="W42" i="1"/>
  <c r="AC42" i="1"/>
  <c r="V39" i="1"/>
  <c r="W39" i="1"/>
  <c r="AC39" i="1"/>
  <c r="V41" i="1"/>
  <c r="W41" i="1"/>
  <c r="AC41" i="1"/>
  <c r="V38" i="1"/>
  <c r="W38" i="1"/>
  <c r="AC38" i="1"/>
  <c r="V36" i="1"/>
  <c r="W36" i="1"/>
  <c r="AC36" i="1"/>
  <c r="V37" i="1"/>
  <c r="W37" i="1"/>
  <c r="AC37" i="1"/>
  <c r="V34" i="1"/>
  <c r="W34" i="1"/>
  <c r="AC34" i="1"/>
  <c r="V35" i="1"/>
  <c r="W35" i="1"/>
  <c r="AC35" i="1"/>
  <c r="V32" i="1"/>
  <c r="W32" i="1"/>
  <c r="AC32" i="1"/>
  <c r="V33" i="1"/>
  <c r="W33" i="1"/>
  <c r="AC33" i="1"/>
  <c r="V31" i="1"/>
  <c r="W31" i="1"/>
  <c r="AC31" i="1"/>
  <c r="V30" i="1"/>
  <c r="W30" i="1"/>
  <c r="AC30" i="1"/>
  <c r="V28" i="1"/>
  <c r="W28" i="1"/>
  <c r="AC28" i="1"/>
  <c r="V29" i="1"/>
  <c r="W29" i="1"/>
  <c r="AC29" i="1"/>
  <c r="W8" i="1"/>
  <c r="W13" i="1"/>
  <c r="W10" i="1"/>
  <c r="W12" i="1"/>
  <c r="W11" i="1"/>
  <c r="W9" i="1"/>
  <c r="W14" i="1"/>
  <c r="W15" i="1"/>
  <c r="W16" i="1"/>
  <c r="W18" i="1"/>
  <c r="W19" i="1"/>
  <c r="W21" i="1"/>
  <c r="W22" i="1"/>
  <c r="W23" i="1"/>
  <c r="W24" i="1"/>
  <c r="W27" i="1"/>
  <c r="W26" i="1"/>
  <c r="W25" i="1"/>
  <c r="W7" i="1"/>
  <c r="C10" i="4"/>
  <c r="V27" i="1"/>
  <c r="AC27" i="1"/>
  <c r="V26" i="1"/>
  <c r="AC26" i="1"/>
  <c r="V25" i="1"/>
  <c r="AC25" i="1"/>
  <c r="F10" i="4"/>
  <c r="V7" i="1"/>
  <c r="V8" i="1"/>
  <c r="V13" i="1"/>
  <c r="V10" i="1"/>
  <c r="V12" i="1"/>
  <c r="V11" i="1"/>
  <c r="V9" i="1"/>
  <c r="V14" i="1"/>
  <c r="V15" i="1"/>
  <c r="V16" i="1"/>
  <c r="V17" i="1"/>
  <c r="V18" i="1"/>
  <c r="V19" i="1"/>
  <c r="V21" i="1"/>
  <c r="V22" i="1"/>
  <c r="V24" i="1"/>
  <c r="V23" i="1"/>
  <c r="AC24" i="1"/>
  <c r="AC23" i="1"/>
  <c r="AC22" i="1"/>
  <c r="AC7" i="1"/>
  <c r="AC13" i="1"/>
  <c r="AC10" i="1"/>
  <c r="AC16" i="1"/>
  <c r="AC17" i="1"/>
  <c r="AC18" i="1"/>
  <c r="AC15" i="1"/>
  <c r="AC14" i="1"/>
  <c r="AC12" i="1"/>
  <c r="AC11" i="1"/>
  <c r="AC9" i="1"/>
  <c r="AC8" i="1"/>
  <c r="AC19" i="1"/>
  <c r="AC20" i="1"/>
  <c r="AC21" i="1"/>
  <c r="C3" i="6" l="1"/>
  <c r="C4" i="6" s="1"/>
  <c r="C5" i="6" s="1"/>
  <c r="H8" i="5"/>
  <c r="E17" i="5"/>
  <c r="H11" i="5"/>
  <c r="B11" i="5"/>
  <c r="H14" i="5"/>
  <c r="B8" i="5"/>
  <c r="H17" i="5"/>
  <c r="E8" i="5"/>
  <c r="E11" i="5"/>
  <c r="E14" i="5"/>
  <c r="J11" i="3"/>
  <c r="C7" i="2"/>
  <c r="D11" i="3"/>
  <c r="C5" i="2"/>
  <c r="C6" i="2"/>
  <c r="F11" i="3"/>
  <c r="H11" i="3"/>
  <c r="I10" i="4"/>
  <c r="C6" i="6" l="1"/>
  <c r="D4" i="6" s="1"/>
  <c r="D3" i="6" l="1"/>
  <c r="D6" i="6"/>
  <c r="D2" i="6"/>
  <c r="D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Cláudio Riccio Junior</author>
  </authors>
  <commentList>
    <comment ref="K11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Registro impacto emenda na linha 1 inf. Pedreira próx. Rua Braúna em frente ao campo de Futebol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C4127-95B8-429D-974B-4F7ED3180D7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19398C0-1F23-41F4-B61D-DE4ED7F8923A}" name="WorksheetConnection_Controle de Alarmes PCDS(Recuperado Automaticamente)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ControledeAlarmesPCDSRecuperadoAutomaticamente.xlsxTabela11"/>
        </x15:connection>
      </ext>
    </extLst>
  </connection>
</connections>
</file>

<file path=xl/sharedStrings.xml><?xml version="1.0" encoding="utf-8"?>
<sst xmlns="http://schemas.openxmlformats.org/spreadsheetml/2006/main" count="3049" uniqueCount="891">
  <si>
    <t>Data</t>
  </si>
  <si>
    <t>Hora</t>
  </si>
  <si>
    <t>Severidade</t>
  </si>
  <si>
    <t>Velocidade</t>
  </si>
  <si>
    <t>TUE</t>
  </si>
  <si>
    <t>Local</t>
  </si>
  <si>
    <t>URL Plataforma Web PCDS</t>
  </si>
  <si>
    <t>Não</t>
  </si>
  <si>
    <t>5011-5012</t>
  </si>
  <si>
    <t>Melhoria feita?</t>
  </si>
  <si>
    <t>Data da melhoria</t>
  </si>
  <si>
    <t>Falha</t>
  </si>
  <si>
    <t>Sim</t>
  </si>
  <si>
    <t>Emenda</t>
  </si>
  <si>
    <t>Criticidade</t>
  </si>
  <si>
    <t>Baixa</t>
  </si>
  <si>
    <t>Média</t>
  </si>
  <si>
    <t>Alta</t>
  </si>
  <si>
    <t>Qtd. Alarmes</t>
  </si>
  <si>
    <t>Número de ocorrências mensais</t>
  </si>
  <si>
    <t>Ocorrências</t>
  </si>
  <si>
    <t>mês</t>
  </si>
  <si>
    <t>Mês</t>
  </si>
  <si>
    <t>Junho</t>
  </si>
  <si>
    <t>Julho</t>
  </si>
  <si>
    <t>Agosto</t>
  </si>
  <si>
    <t>Setembro</t>
  </si>
  <si>
    <t>Quantidade de Alarmes por Criticidade</t>
  </si>
  <si>
    <t>Melhorias Realizadas</t>
  </si>
  <si>
    <t>Qtd total de alarmes</t>
  </si>
  <si>
    <t>Porcentagem</t>
  </si>
  <si>
    <t>Meta Semanal de PCDS realizados</t>
  </si>
  <si>
    <t>Semana 3 - junho</t>
  </si>
  <si>
    <t>Semana 4 - junho</t>
  </si>
  <si>
    <t>Semana 1 - julho</t>
  </si>
  <si>
    <t>Semana 3 - julho</t>
  </si>
  <si>
    <t>Semana 2 - julho</t>
  </si>
  <si>
    <t>mês melhoria</t>
  </si>
  <si>
    <t>Semana 4 - julho</t>
  </si>
  <si>
    <t>Semana 1 - Agosto</t>
  </si>
  <si>
    <t>Semana 2 - Agosto</t>
  </si>
  <si>
    <t>Semana 3 - Agosto</t>
  </si>
  <si>
    <t>Semana 4 - Agosto</t>
  </si>
  <si>
    <t>N/A</t>
  </si>
  <si>
    <t>Calo no fio de contato</t>
  </si>
  <si>
    <t>Criticidade Real</t>
  </si>
  <si>
    <t>-</t>
  </si>
  <si>
    <t>Engenho de dentro Travessao 3</t>
  </si>
  <si>
    <t>Semana</t>
  </si>
  <si>
    <t>Emergencial</t>
  </si>
  <si>
    <t>OS-GSE-21630</t>
  </si>
  <si>
    <t>OS-GSE-21631</t>
  </si>
  <si>
    <t>OS-GSE-21623</t>
  </si>
  <si>
    <t>OS-GSE-21622</t>
  </si>
  <si>
    <t>OS-GSE-21620</t>
  </si>
  <si>
    <t>Latitude</t>
  </si>
  <si>
    <t>Longitude</t>
  </si>
  <si>
    <t>-43.2967702</t>
  </si>
  <si>
    <t>-43.4685708</t>
  </si>
  <si>
    <t>-43.5760423</t>
  </si>
  <si>
    <t>-43.3125395</t>
  </si>
  <si>
    <t>-43.4829473</t>
  </si>
  <si>
    <t>-43.496644</t>
  </si>
  <si>
    <t>-43.4614771</t>
  </si>
  <si>
    <t>-43.2426029</t>
  </si>
  <si>
    <t>-43.27155</t>
  </si>
  <si>
    <t>-43.3093139</t>
  </si>
  <si>
    <t>-43.5760043</t>
  </si>
  <si>
    <t>-43.5346007</t>
  </si>
  <si>
    <t>-43.5331706</t>
  </si>
  <si>
    <t>-43.4065802</t>
  </si>
  <si>
    <t>-43.2962724</t>
  </si>
  <si>
    <t>-43.3960346</t>
  </si>
  <si>
    <t>-43.597188</t>
  </si>
  <si>
    <t>-43.5345527</t>
  </si>
  <si>
    <t>-43.6386746</t>
  </si>
  <si>
    <t>-43.2715041</t>
  </si>
  <si>
    <t>-43.2876184</t>
  </si>
  <si>
    <t>-43.3079725</t>
  </si>
  <si>
    <t>-43.2964277</t>
  </si>
  <si>
    <t>-43.6386711</t>
  </si>
  <si>
    <t>-43.4601465</t>
  </si>
  <si>
    <t>-43.597275</t>
  </si>
  <si>
    <t>-43.6746528</t>
  </si>
  <si>
    <t>-43.4979339</t>
  </si>
  <si>
    <t>-43.6747987</t>
  </si>
  <si>
    <t xml:space="preserve"> -43.4614393</t>
  </si>
  <si>
    <t>-43.576081</t>
  </si>
  <si>
    <t>-22.9152233</t>
  </si>
  <si>
    <t>-43.6747651</t>
  </si>
  <si>
    <t>-22.8757348</t>
  </si>
  <si>
    <t xml:space="preserve"> -43.4818783</t>
  </si>
  <si>
    <t>Ramal</t>
  </si>
  <si>
    <t>Santa Cruz</t>
  </si>
  <si>
    <t>Deodoro</t>
  </si>
  <si>
    <t>Japeri</t>
  </si>
  <si>
    <t>Saracuruna</t>
  </si>
  <si>
    <t>Gramacho</t>
  </si>
  <si>
    <t>Turno</t>
  </si>
  <si>
    <t>Horainteiro</t>
  </si>
  <si>
    <t>-22.9152022</t>
  </si>
  <si>
    <t>-43.6748373</t>
  </si>
  <si>
    <t>OS-GSE-21850</t>
  </si>
  <si>
    <t>OS-GSE-21849</t>
  </si>
  <si>
    <t>-22.895763</t>
  </si>
  <si>
    <t>-43.295021</t>
  </si>
  <si>
    <t>-22.8955972</t>
  </si>
  <si>
    <t>-43.2967887</t>
  </si>
  <si>
    <t>-22.903418</t>
  </si>
  <si>
    <t xml:space="preserve"> -43.5662963</t>
  </si>
  <si>
    <t>Qtd Alarmes</t>
  </si>
  <si>
    <t>Acumulado</t>
  </si>
  <si>
    <t>%</t>
  </si>
  <si>
    <t>-22.9153863</t>
  </si>
  <si>
    <t>-43.6279469</t>
  </si>
  <si>
    <t>-22.8891677</t>
  </si>
  <si>
    <t xml:space="preserve"> -43.5331835</t>
  </si>
  <si>
    <t>-22.6536472</t>
  </si>
  <si>
    <t>-43.6361089</t>
  </si>
  <si>
    <t>-22.9187514</t>
  </si>
  <si>
    <t>-43.6503204</t>
  </si>
  <si>
    <t xml:space="preserve"> -22.7564222</t>
  </si>
  <si>
    <t>-43.4600786</t>
  </si>
  <si>
    <t>-22.653764</t>
  </si>
  <si>
    <t>-43.6360145</t>
  </si>
  <si>
    <t>-22.648934</t>
  </si>
  <si>
    <t xml:space="preserve"> -43.6408722</t>
  </si>
  <si>
    <t>OS-GSE-21670</t>
  </si>
  <si>
    <t>-22.7376513</t>
  </si>
  <si>
    <t>-43.4980614</t>
  </si>
  <si>
    <t>-22.7358337</t>
  </si>
  <si>
    <t>-43.4995414</t>
  </si>
  <si>
    <t>-22.650421</t>
  </si>
  <si>
    <t>-43.6385371</t>
  </si>
  <si>
    <t>-22.6503567</t>
  </si>
  <si>
    <t>-43.6385759</t>
  </si>
  <si>
    <t>-22.6472953</t>
  </si>
  <si>
    <t>-43.6452488</t>
  </si>
  <si>
    <t>-22.9039928</t>
  </si>
  <si>
    <t>-43.2755752</t>
  </si>
  <si>
    <t>-22.6488501</t>
  </si>
  <si>
    <t>-43.6411444</t>
  </si>
  <si>
    <t>-22.8668359</t>
  </si>
  <si>
    <t xml:space="preserve"> -43.3539861</t>
  </si>
  <si>
    <t>-22.647225</t>
  </si>
  <si>
    <t>-43.6454127</t>
  </si>
  <si>
    <t>Taxa de Aderência</t>
  </si>
  <si>
    <t>Dia</t>
  </si>
  <si>
    <t>Trecho</t>
  </si>
  <si>
    <t>Sábado</t>
  </si>
  <si>
    <t>Domingo</t>
  </si>
  <si>
    <t>Paracambi</t>
  </si>
  <si>
    <t>Belford Roxo</t>
  </si>
  <si>
    <t>Planejado</t>
  </si>
  <si>
    <t>Realizado</t>
  </si>
  <si>
    <t>Semana 1</t>
  </si>
  <si>
    <t>Semana 2</t>
  </si>
  <si>
    <t>Semana 3</t>
  </si>
  <si>
    <t>Semana 4</t>
  </si>
  <si>
    <t>-22.9100982</t>
  </si>
  <si>
    <t>-43.2185867</t>
  </si>
  <si>
    <t>-22.8878029</t>
  </si>
  <si>
    <t>-43.3227726</t>
  </si>
  <si>
    <t>-22.648908</t>
  </si>
  <si>
    <t>-43.6409787</t>
  </si>
  <si>
    <t xml:space="preserve"> -22.786918</t>
  </si>
  <si>
    <t xml:space="preserve"> -43.4267986</t>
  </si>
  <si>
    <t>-22.9017272</t>
  </si>
  <si>
    <t>-43.2602176</t>
  </si>
  <si>
    <t>-22.7190431</t>
  </si>
  <si>
    <t>-43.5331369</t>
  </si>
  <si>
    <t>-22.7663675</t>
  </si>
  <si>
    <t xml:space="preserve"> -43.4369616</t>
  </si>
  <si>
    <t>-22.6668878</t>
  </si>
  <si>
    <t>-43.6266495</t>
  </si>
  <si>
    <t>-22.863733</t>
  </si>
  <si>
    <t>-43.3640781</t>
  </si>
  <si>
    <t>-22.757341</t>
  </si>
  <si>
    <t>-43.4579835</t>
  </si>
  <si>
    <t>-22.7234538</t>
  </si>
  <si>
    <t>-43.2956314</t>
  </si>
  <si>
    <t>-22.7233945</t>
  </si>
  <si>
    <t>-43.2956069</t>
  </si>
  <si>
    <t>-22.7445687</t>
  </si>
  <si>
    <t>-43.3072317</t>
  </si>
  <si>
    <t>-22.8760158</t>
  </si>
  <si>
    <t>-43.4969905</t>
  </si>
  <si>
    <t xml:space="preserve"> -22.8759757</t>
  </si>
  <si>
    <t>-43.498182</t>
  </si>
  <si>
    <t>-22.8668063</t>
  </si>
  <si>
    <t>-43.3539856</t>
  </si>
  <si>
    <t>Aderência</t>
  </si>
  <si>
    <t xml:space="preserve"> -22.8891303</t>
  </si>
  <si>
    <t>-43.5331481</t>
  </si>
  <si>
    <t>Case ID</t>
  </si>
  <si>
    <t>Activity name</t>
  </si>
  <si>
    <t>Time Stamp</t>
  </si>
  <si>
    <t xml:space="preserve">Abrir tellematica </t>
  </si>
  <si>
    <t>Tabular novos alarmes</t>
  </si>
  <si>
    <t xml:space="preserve">Identificar locais </t>
  </si>
  <si>
    <t>Pedir OS das ocorrências</t>
  </si>
  <si>
    <t>Fazer Relatório de Manutenções Realizadas</t>
  </si>
  <si>
    <t>Monitorar e alterar  Indicadores</t>
  </si>
  <si>
    <t>Indicar Número da OS na planilha</t>
  </si>
  <si>
    <t>-22.9100697</t>
  </si>
  <si>
    <t>-43.2186327</t>
  </si>
  <si>
    <t>Data inicial</t>
  </si>
  <si>
    <t>Data atual</t>
  </si>
  <si>
    <t>Contagem (dias)</t>
  </si>
  <si>
    <t>-22.7329078</t>
  </si>
  <si>
    <t xml:space="preserve"> -43.3008066</t>
  </si>
  <si>
    <t>-22.6961604</t>
  </si>
  <si>
    <t>-43.2715883</t>
  </si>
  <si>
    <t>-22.9100928</t>
  </si>
  <si>
    <t>-43.2186025</t>
  </si>
  <si>
    <t>-22.8929153</t>
  </si>
  <si>
    <t>-43.3061426</t>
  </si>
  <si>
    <t>-22.8885016</t>
  </si>
  <si>
    <t>-43.3125868</t>
  </si>
  <si>
    <t>76 Km/h</t>
  </si>
  <si>
    <t>-22.6536288</t>
  </si>
  <si>
    <t>-43.636168</t>
  </si>
  <si>
    <t>64 Km/h</t>
  </si>
  <si>
    <t>-22.9086618</t>
  </si>
  <si>
    <t>-43.23607</t>
  </si>
  <si>
    <t>Não identificado</t>
  </si>
  <si>
    <t>OS</t>
  </si>
  <si>
    <t>70 Km/h</t>
  </si>
  <si>
    <t>-22.677182</t>
  </si>
  <si>
    <t>-43.6084857</t>
  </si>
  <si>
    <t>71 Km/h</t>
  </si>
  <si>
    <t>-22.864165</t>
  </si>
  <si>
    <t>-43.3618111</t>
  </si>
  <si>
    <t>49 Km/h</t>
  </si>
  <si>
    <t>-22.8890981</t>
  </si>
  <si>
    <t>-43.5332026</t>
  </si>
  <si>
    <t>-22.8974885</t>
  </si>
  <si>
    <t> -43.2426707</t>
  </si>
  <si>
    <t>73 Km/h</t>
  </si>
  <si>
    <t>-22.8885224</t>
  </si>
  <si>
    <t>-43.3124907</t>
  </si>
  <si>
    <t>74 Km/h</t>
  </si>
  <si>
    <t>-22.6502499</t>
  </si>
  <si>
    <t>-43.6387006</t>
  </si>
  <si>
    <t>Semana 5</t>
  </si>
  <si>
    <t>Segunda-Feira</t>
  </si>
  <si>
    <t>Terça-Feira</t>
  </si>
  <si>
    <t>Quarta-Feira</t>
  </si>
  <si>
    <t>Quinta-Feira</t>
  </si>
  <si>
    <t>Sexta-Feira</t>
  </si>
  <si>
    <t>A</t>
  </si>
  <si>
    <t>Calendário</t>
  </si>
  <si>
    <t>05</t>
  </si>
  <si>
    <t>06</t>
  </si>
  <si>
    <t>07</t>
  </si>
  <si>
    <t>08</t>
  </si>
  <si>
    <t>09</t>
  </si>
  <si>
    <t>10</t>
  </si>
  <si>
    <t>11</t>
  </si>
  <si>
    <t>01</t>
  </si>
  <si>
    <t>02</t>
  </si>
  <si>
    <t>03</t>
  </si>
  <si>
    <t>04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</si>
  <si>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</si>
  <si>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</si>
  <si>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</si>
  <si>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</si>
  <si>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</si>
  <si>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</si>
  <si>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</si>
  <si>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</si>
  <si>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</si>
  <si>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</si>
  <si>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</si>
  <si>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</si>
  <si>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</si>
  <si>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</si>
  <si>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</si>
  <si>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</si>
  <si>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</si>
  <si>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63 Km/h</t>
  </si>
  <si>
    <t> -22.6961515</t>
  </si>
  <si>
    <t>-43.2716135</t>
  </si>
  <si>
    <t>59 Km/h</t>
  </si>
  <si>
    <t>-22.6961762</t>
  </si>
  <si>
    <t>-43.2715908</t>
  </si>
  <si>
    <t>-22.7234473</t>
  </si>
  <si>
    <t>-43.2956501</t>
  </si>
  <si>
    <t>-22.7439326</t>
  </si>
  <si>
    <t>-43.3069162</t>
  </si>
  <si>
    <t>-22.7471116</t>
  </si>
  <si>
    <t>-43.3073323</t>
  </si>
  <si>
    <t>-22.7329105</t>
  </si>
  <si>
    <t>-43.3007786</t>
  </si>
  <si>
    <t>-22.6961565</t>
  </si>
  <si>
    <t>-43.2715529</t>
  </si>
  <si>
    <t>-22.6990829</t>
  </si>
  <si>
    <t>-43.2741481</t>
  </si>
  <si>
    <t>-22.7439432</t>
  </si>
  <si>
    <t>-43.306884</t>
  </si>
  <si>
    <t>-22.7328316</t>
  </si>
  <si>
    <t>-43.3007656</t>
  </si>
  <si>
    <t>-22.6961576</t>
  </si>
  <si>
    <t> -43.2716218</t>
  </si>
  <si>
    <t>-22.7439396</t>
  </si>
  <si>
    <t>-43.3069296</t>
  </si>
  <si>
    <t>-22.7296467</t>
  </si>
  <si>
    <t>-43.2989984</t>
  </si>
  <si>
    <t>-22.7439373</t>
  </si>
  <si>
    <t>-43.3069149</t>
  </si>
  <si>
    <t>-22.6461772</t>
  </si>
  <si>
    <t> -43.64851</t>
  </si>
  <si>
    <t>-22.7683297</t>
  </si>
  <si>
    <t>-43.4351471</t>
  </si>
  <si>
    <t> -22.7328407</t>
  </si>
  <si>
    <t>-43.3007619</t>
  </si>
  <si>
    <t>-22.7287123</t>
  </si>
  <si>
    <t>-43.2985036</t>
  </si>
  <si>
    <t>-22.7438727</t>
  </si>
  <si>
    <t>-43.3069012</t>
  </si>
  <si>
    <t>-22.6961457</t>
  </si>
  <si>
    <t>-43.2716153</t>
  </si>
  <si>
    <t>-22.7440165</t>
  </si>
  <si>
    <t>-43.306947</t>
  </si>
  <si>
    <t>-22.7439121</t>
  </si>
  <si>
    <t>-43.3069064</t>
  </si>
  <si>
    <t>Estruturas</t>
  </si>
  <si>
    <t>Linha</t>
  </si>
  <si>
    <t>Km</t>
  </si>
  <si>
    <t xml:space="preserve">Singela </t>
  </si>
  <si>
    <t>Ativo</t>
  </si>
  <si>
    <t>RA.SR.GMO.CAT1-24/01-25/01</t>
  </si>
  <si>
    <t>Controle de alarmes PCDS</t>
  </si>
  <si>
    <t>RA.DD.MER.CAT2-09/01-10/01</t>
  </si>
  <si>
    <t>RA.DD.OCZ.CAT4-18/02-19/04</t>
  </si>
  <si>
    <t>OS-GSE-22988</t>
  </si>
  <si>
    <t>RA.DD.SPO.CAT4-07/02-08/04</t>
  </si>
  <si>
    <t>RA.DD.BRO.CAT4-19/04-20/02</t>
  </si>
  <si>
    <t>OS-GSE-22990</t>
  </si>
  <si>
    <t>OS-GSE-22991</t>
  </si>
  <si>
    <t>RA.DD.QTO.CAT4-14/02-15/02</t>
  </si>
  <si>
    <t>OS-GSE-22992</t>
  </si>
  <si>
    <t>RA.JP.CSS.CAT1-40/01-41/01</t>
  </si>
  <si>
    <t>OS-GSE-22993</t>
  </si>
  <si>
    <t>RA.JP.EPA.CAT1-59/01-60/01</t>
  </si>
  <si>
    <t>OS-GSE-22994</t>
  </si>
  <si>
    <t>-22.9100816</t>
  </si>
  <si>
    <t>-43.2186603</t>
  </si>
  <si>
    <t>OS-GSE-24004</t>
  </si>
  <si>
    <t>Rótulos de Linha</t>
  </si>
  <si>
    <t>Total Geral</t>
  </si>
  <si>
    <t>jun</t>
  </si>
  <si>
    <t>jul</t>
  </si>
  <si>
    <t>ago</t>
  </si>
  <si>
    <t>set</t>
  </si>
  <si>
    <t>Contagem de Data</t>
  </si>
  <si>
    <t>Contagem de Hora</t>
  </si>
  <si>
    <t>Total</t>
  </si>
  <si>
    <t>-43.2513437</t>
  </si>
  <si>
    <t>B. Roxo</t>
  </si>
  <si>
    <t>-22.6461314</t>
  </si>
  <si>
    <t>-43.6485506</t>
  </si>
  <si>
    <t>-22.9094212</t>
  </si>
  <si>
    <t>-43.5972184</t>
  </si>
  <si>
    <t>-22.8891807</t>
  </si>
  <si>
    <t>-43.5331786</t>
  </si>
  <si>
    <t>-22.9063556</t>
  </si>
  <si>
    <t>-43.2034535</t>
  </si>
  <si>
    <t>-22.8627541</t>
  </si>
  <si>
    <t>-43.2570045</t>
  </si>
  <si>
    <t>SDO</t>
  </si>
  <si>
    <t>RA.JP.PJO.CAT1-33/01-34/01</t>
  </si>
  <si>
    <t>OS-GSE-22997</t>
  </si>
  <si>
    <t>RA.SC.PCA.CAT2-48/02-49/02</t>
  </si>
  <si>
    <t>OS-GSE-23005</t>
  </si>
  <si>
    <t>RA.SC.TNS.CAT1-50/01-51/01</t>
  </si>
  <si>
    <t>RA.SC.SCA.CAT2-34/02-35/04</t>
  </si>
  <si>
    <t>OS-GSE-23008</t>
  </si>
  <si>
    <t>RA.SC.SCA.CAT1-33/01-34/01</t>
  </si>
  <si>
    <t>OS-GSE-23009</t>
  </si>
  <si>
    <t>RA.JP.NIU.CAT2-36/02-37/04</t>
  </si>
  <si>
    <t>OS-GSE-23011</t>
  </si>
  <si>
    <t>RA.SC.TNS.CAT1-53/01-54/01</t>
  </si>
  <si>
    <t>RA.JP.JRI.CAT1-60/01-61/03</t>
  </si>
  <si>
    <t>OS-GSE-23015</t>
  </si>
  <si>
    <t>RA.JP.ATN.CAT1-45/01-46/01</t>
  </si>
  <si>
    <t>RA.JP.NIU.CAT1-36/01-37/01</t>
  </si>
  <si>
    <t> -22.8955882</t>
  </si>
  <si>
    <t>-43.2969583</t>
  </si>
  <si>
    <t>-22.8891728</t>
  </si>
  <si>
    <t>-43.5332414</t>
  </si>
  <si>
    <t>S. Cruz</t>
  </si>
  <si>
    <t>-22.8161779</t>
  </si>
  <si>
    <t>-43.410595</t>
  </si>
  <si>
    <t>-43.6360964</t>
  </si>
  <si>
    <t>-22.6536929</t>
  </si>
  <si>
    <t>Alarme reconhecido</t>
  </si>
  <si>
    <t>-22.9094075</t>
  </si>
  <si>
    <t>59/25 a 59/31</t>
  </si>
  <si>
    <t>11/18 a 11/22</t>
  </si>
  <si>
    <t>T. Neves (Plataforma)</t>
  </si>
  <si>
    <t>-22.7165775</t>
  </si>
  <si>
    <t>-43.5392728</t>
  </si>
  <si>
    <t>-22.6961338</t>
  </si>
  <si>
    <t>-43.2714913</t>
  </si>
  <si>
    <t>-22.7328345</t>
  </si>
  <si>
    <t>-43.3007623</t>
  </si>
  <si>
    <t>-22.8760318</t>
  </si>
  <si>
    <t>-43.4981137</t>
  </si>
  <si>
    <t>S. Freire (Plat.)</t>
  </si>
  <si>
    <t>B. Ribeiro (Plat.)</t>
  </si>
  <si>
    <t>Japeri (Pátio)</t>
  </si>
  <si>
    <t>-22.6961256</t>
  </si>
  <si>
    <t>-43.6484585</t>
  </si>
  <si>
    <t>-22.7633359</t>
  </si>
  <si>
    <t>-43.304133</t>
  </si>
  <si>
    <t>Calo no fio de contato.</t>
  </si>
  <si>
    <t> -22.7746902</t>
  </si>
  <si>
    <t>-43.3071793</t>
  </si>
  <si>
    <t>DIRETORIA DE MANUTENÇÃO</t>
  </si>
  <si>
    <t>GERÊNCIA DE SISTEMAS ELÉTRICOS</t>
  </si>
  <si>
    <t>COORDENADORIA DE REDE AÉREA</t>
  </si>
  <si>
    <t xml:space="preserve">PAINEL DE ADERENCIA </t>
  </si>
  <si>
    <t>MAPEAMENTO DE CIRCULAÇÃO</t>
  </si>
  <si>
    <t>Data inícial</t>
  </si>
  <si>
    <t>Aderencia</t>
  </si>
  <si>
    <t>Total de viagens</t>
  </si>
  <si>
    <t>REALIZADO</t>
  </si>
  <si>
    <t>SETEMBRO</t>
  </si>
  <si>
    <t>Encaminhado ao PCM ?</t>
  </si>
  <si>
    <t>RA.DD.EDO.CAT3-11/02-12/02</t>
  </si>
  <si>
    <t>RA.DD.MGA.CAT3-04/02-05/02</t>
  </si>
  <si>
    <t>RA.DD.PIE.CAT3-13/02-14/02</t>
  </si>
  <si>
    <t>RA.DD.EDO.CAT5-11/02-12/02</t>
  </si>
  <si>
    <t>OS-GSE-21669</t>
  </si>
  <si>
    <t>OS-GSE-21888</t>
  </si>
  <si>
    <t>RA.DD.PDB.CAT4-02/02-03/02</t>
  </si>
  <si>
    <t>OS-GSE-21455</t>
  </si>
  <si>
    <t>RA.JP.DDO.CAT2-23/02-24/02</t>
  </si>
  <si>
    <t>RA.JP.MQA.CATB-31/02-32/02</t>
  </si>
  <si>
    <t>RA.SC.BGU.CAT1-32/01-33/01</t>
  </si>
  <si>
    <t>OS-GSE-21173</t>
  </si>
  <si>
    <t>RA.SC.BGU.CATC-31/02-32/02</t>
  </si>
  <si>
    <t>RA.SC.GSA.CATC-30/02-31/02</t>
  </si>
  <si>
    <t>RA.SC.AVS.CAT1-38/01-39/01</t>
  </si>
  <si>
    <t>RA.SC.IBA.CAT2-45/02-46/02</t>
  </si>
  <si>
    <t>RA.SC.BME.CATA-43/01-44/01</t>
  </si>
  <si>
    <t>OS-GSE-21897</t>
  </si>
  <si>
    <t>RA.SR.CEO.CAT1-29/01-30/01</t>
  </si>
  <si>
    <t>RA.SR.VGL.CAT2-18/01-19/04</t>
  </si>
  <si>
    <t>Senador Camará (INF)</t>
  </si>
  <si>
    <t>Jardim Primavera (INF)</t>
  </si>
  <si>
    <t>Japeri (INF)</t>
  </si>
  <si>
    <t>Mesquita (INF)</t>
  </si>
  <si>
    <t>S. Camará (INF)</t>
  </si>
  <si>
    <t>A. Vasconcelos (INF)</t>
  </si>
  <si>
    <t>Piedade (INF)</t>
  </si>
  <si>
    <t>J. Primavera (INF)</t>
  </si>
  <si>
    <t>Gramacho (INF)</t>
  </si>
  <si>
    <t>Corte 8 (INF)</t>
  </si>
  <si>
    <t>Bangu (INF)
(Entre os trav. 1 &amp; 2)</t>
  </si>
  <si>
    <t>Bangu (INF)</t>
  </si>
  <si>
    <t xml:space="preserve">Triagem (INF) </t>
  </si>
  <si>
    <t>Maracanã (INF)</t>
  </si>
  <si>
    <t>Deodoro (INF)</t>
  </si>
  <si>
    <t>E. Dentro (INF)</t>
  </si>
  <si>
    <t>D. Caxias (INF)</t>
  </si>
  <si>
    <t>Santa Cruz (INF)</t>
  </si>
  <si>
    <t>N. Iguaçu (SUP)</t>
  </si>
  <si>
    <t>Comendador Soares (SUP)</t>
  </si>
  <si>
    <t>Oswaldo Cruz
(SUP)</t>
  </si>
  <si>
    <t>P. da Bandeira (SUP)</t>
  </si>
  <si>
    <t>Quintino (SUP)</t>
  </si>
  <si>
    <t>Riachuelo (SUP)</t>
  </si>
  <si>
    <t>Oswaldo Cruz (SUP)</t>
  </si>
  <si>
    <t>Piedade (SUP)</t>
  </si>
  <si>
    <t>Maracanã (SUP)</t>
  </si>
  <si>
    <t>Eng. Pedreira (SUP)</t>
  </si>
  <si>
    <t>Gramacho (SUP)</t>
  </si>
  <si>
    <t>Campos Elíseos
(SUP)</t>
  </si>
  <si>
    <t>P. Juscelino (SUP)</t>
  </si>
  <si>
    <t>Triagem (SUP)</t>
  </si>
  <si>
    <t>Senador Camará 
(SUP)</t>
  </si>
  <si>
    <t>Austin (SUP)</t>
  </si>
  <si>
    <t>Inhoaiba (SUP)</t>
  </si>
  <si>
    <t>A. Vasconcelos (SUP)</t>
  </si>
  <si>
    <t>E. Dentro (SUP)</t>
  </si>
  <si>
    <t>Campo Grande (SUP)</t>
  </si>
  <si>
    <t>Olinda (SUP)</t>
  </si>
  <si>
    <t>Jardim Primavera (SUP)</t>
  </si>
  <si>
    <t>S. Camará (SUP)</t>
  </si>
  <si>
    <t>B. Monte (INF)</t>
  </si>
  <si>
    <t xml:space="preserve">Japeri (INF) </t>
  </si>
  <si>
    <t>Paciência (INF)</t>
  </si>
  <si>
    <t>Nivel</t>
  </si>
  <si>
    <t>30/18 AO 30/22</t>
  </si>
  <si>
    <t>30/18 AO 30/24</t>
  </si>
  <si>
    <t>27/40A AO 28/02</t>
  </si>
  <si>
    <t>24/09 AO 24/13</t>
  </si>
  <si>
    <t>26/27 AO 26/29</t>
  </si>
  <si>
    <t>53/16 AO 53/20</t>
  </si>
  <si>
    <t>11/22A AO 11/24A</t>
  </si>
  <si>
    <t>29/35 AO 29/45</t>
  </si>
  <si>
    <t>36/15 AO 36/23</t>
  </si>
  <si>
    <t>50/31 AO 51/05</t>
  </si>
  <si>
    <t>59/25 AO 59/27</t>
  </si>
  <si>
    <t>38/29 AO 38/33</t>
  </si>
  <si>
    <t>09/07 AO 09/03</t>
  </si>
  <si>
    <t>04/08 AO 04/12</t>
  </si>
  <si>
    <t>60/35 AO 60/37</t>
  </si>
  <si>
    <t>45/17 AO 45/19</t>
  </si>
  <si>
    <t>34/10 AO 34/20</t>
  </si>
  <si>
    <t>23/13 AO 23/19</t>
  </si>
  <si>
    <t>32/29 AO 32/35</t>
  </si>
  <si>
    <t>45/21 AO 45/23</t>
  </si>
  <si>
    <t>31/10 AO 31/14</t>
  </si>
  <si>
    <t>31/12 AO 31/16</t>
  </si>
  <si>
    <t>18/30 AO 18/34</t>
  </si>
  <si>
    <t>11/20A AO 11/24A</t>
  </si>
  <si>
    <t>48/22 AO 48/24</t>
  </si>
  <si>
    <t>36/16 AO 36/24</t>
  </si>
  <si>
    <t>13/15 AO 13/17</t>
  </si>
  <si>
    <t>10/22A AO 10/24A</t>
  </si>
  <si>
    <t>33/21 AO 33/23T</t>
  </si>
  <si>
    <t>53/15 AO 53/19</t>
  </si>
  <si>
    <t>60/09 AO 60/11</t>
  </si>
  <si>
    <t>12/18A AO 12/20A</t>
  </si>
  <si>
    <t>11/13 AO 11/17</t>
  </si>
  <si>
    <t>11/20 AO 11/24</t>
  </si>
  <si>
    <t>18/14 AO 18/20</t>
  </si>
  <si>
    <t>19/18 AO 19/22</t>
  </si>
  <si>
    <t>14/12 AO 14/16</t>
  </si>
  <si>
    <t>13/16A AO 13/14A</t>
  </si>
  <si>
    <t>34/17 AO 34/23</t>
  </si>
  <si>
    <t>19/12 AO 19/14</t>
  </si>
  <si>
    <t>04/31 AO 04/34</t>
  </si>
  <si>
    <t>Rótulos de Coluna</t>
  </si>
  <si>
    <t xml:space="preserve">Melhoria feita </t>
  </si>
  <si>
    <t>Ramal mês</t>
  </si>
  <si>
    <t xml:space="preserve">Dia de semana </t>
  </si>
  <si>
    <t>Dia da semana</t>
  </si>
  <si>
    <t>Contagem de Melhoria feita?</t>
  </si>
  <si>
    <t>OS pendente</t>
  </si>
  <si>
    <t>Melhoria</t>
  </si>
  <si>
    <t>Contagem de Falha</t>
  </si>
  <si>
    <t>Falha identificada</t>
  </si>
  <si>
    <t>PCDS - Pantograph Collision Detection System</t>
  </si>
  <si>
    <t>ACOMPANHAMENTO MENSAL - PCDS</t>
  </si>
  <si>
    <t>JAN</t>
  </si>
  <si>
    <t>FER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</si>
  <si>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</si>
  <si>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</si>
  <si>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</si>
  <si>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</si>
  <si>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</si>
  <si>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</si>
  <si>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</si>
  <si>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</si>
  <si>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</si>
  <si>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</si>
  <si>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Ramal/Mês</t>
  </si>
  <si>
    <t>+500</t>
  </si>
  <si>
    <t>-500</t>
  </si>
  <si>
    <t>-22.6461622</t>
  </si>
  <si>
    <t>-43.648539</t>
  </si>
  <si>
    <t>60/33 AO 60/35</t>
  </si>
  <si>
    <t>-22.6462261</t>
  </si>
  <si>
    <t>-43.6484426</t>
  </si>
  <si>
    <t>-22.7747346</t>
  </si>
  <si>
    <t>-43.3071669</t>
  </si>
  <si>
    <t>out</t>
  </si>
  <si>
    <t>SEG</t>
  </si>
  <si>
    <t>TER</t>
  </si>
  <si>
    <t>QUA</t>
  </si>
  <si>
    <t>QUI</t>
  </si>
  <si>
    <t>SEX</t>
  </si>
  <si>
    <t>SÁB</t>
  </si>
  <si>
    <t>DOM</t>
  </si>
  <si>
    <t xml:space="preserve">Dia da semana </t>
  </si>
  <si>
    <t>APONTAMENTO DIA DE SEMANA/HORÁRIO</t>
  </si>
  <si>
    <t>Contagem de OS</t>
  </si>
  <si>
    <t>Alarme</t>
  </si>
  <si>
    <t>OS Atendida</t>
  </si>
  <si>
    <t>Melhoria realizada</t>
  </si>
  <si>
    <t xml:space="preserve">OS Pendente </t>
  </si>
  <si>
    <t>ORDEM DE SERVIÇO</t>
  </si>
  <si>
    <t>Alarmes</t>
  </si>
  <si>
    <t>Atendido</t>
  </si>
  <si>
    <t>Pendente</t>
  </si>
  <si>
    <t>Severidade +500 solucionada</t>
  </si>
  <si>
    <t xml:space="preserve">GSE - GERÊNCIA DE SISTEMAS ELÉTRICOS
</t>
  </si>
  <si>
    <t>-22.7748468</t>
  </si>
  <si>
    <t>-43.3071979</t>
  </si>
  <si>
    <t>OUTUBRO</t>
  </si>
  <si>
    <t>-22.7328092</t>
  </si>
  <si>
    <t>-43.3007918</t>
  </si>
  <si>
    <t>-22.7445588</t>
  </si>
  <si>
    <t>-43.3072124</t>
  </si>
  <si>
    <t>-22.6923297</t>
  </si>
  <si>
    <t>-43.2644187</t>
  </si>
  <si>
    <t>-22.9050942</t>
  </si>
  <si>
    <t>-43.2409585</t>
  </si>
  <si>
    <t>Mangueira (SUP)</t>
  </si>
  <si>
    <t>Nivelamento dos fios de contato</t>
  </si>
  <si>
    <t>05/15P AO A5/18</t>
  </si>
  <si>
    <t>02/30 AO 02/31</t>
  </si>
  <si>
    <t>06/18 AO 06/18T</t>
  </si>
  <si>
    <t>Bonsucesso (SUP)</t>
  </si>
  <si>
    <t>OS-GSE-25415</t>
  </si>
  <si>
    <t>RA.SR.TGM.CAT1-05/01-06/01</t>
  </si>
  <si>
    <t>RA.BX.MGA.CAT5-05/02-06/02</t>
  </si>
  <si>
    <t>OS-GSE-25414</t>
  </si>
  <si>
    <t>-22.6462052</t>
  </si>
  <si>
    <t>-43.6485315</t>
  </si>
  <si>
    <t>-22.64616</t>
  </si>
  <si>
    <t>-43.6485794</t>
  </si>
  <si>
    <t>-22.6462014</t>
  </si>
  <si>
    <t>-43.6484933</t>
  </si>
  <si>
    <t>34/08 AO 34/12</t>
  </si>
  <si>
    <t>38/18 AO 38/20</t>
  </si>
  <si>
    <t>-22.8904951</t>
  </si>
  <si>
    <t>38/29 AO 38/31</t>
  </si>
  <si>
    <t>34/13T AO 34/17</t>
  </si>
  <si>
    <t>57/18A AO 57/20A</t>
  </si>
  <si>
    <t>59/09 AO 59/11</t>
  </si>
  <si>
    <t>55/07U AO 55/09U</t>
  </si>
  <si>
    <t>-22.7563588</t>
  </si>
  <si>
    <t>36/20A AO 36/22A</t>
  </si>
  <si>
    <t>20/21 AO 20/23</t>
  </si>
  <si>
    <t>20/19 AO 20/21</t>
  </si>
  <si>
    <t>60/16 AO 60/18</t>
  </si>
  <si>
    <t>60/01 AO 60/18</t>
  </si>
  <si>
    <t>41/18 AO 41/22</t>
  </si>
  <si>
    <t>-22.8161934</t>
  </si>
  <si>
    <t>-43.41062</t>
  </si>
  <si>
    <t>Travessão desnivelado</t>
  </si>
  <si>
    <t>60/18 AO 60/20</t>
  </si>
  <si>
    <t>60/01 AO 60/03</t>
  </si>
  <si>
    <t>46/08 AO 46/10</t>
  </si>
  <si>
    <t>-22.9053257</t>
  </si>
  <si>
    <t>43/05 AO 43/07</t>
  </si>
  <si>
    <t>-22.9053226</t>
  </si>
  <si>
    <t>45/18 AO 48/16</t>
  </si>
  <si>
    <t>-22.8647529</t>
  </si>
  <si>
    <t>V. Militar (SUP)</t>
  </si>
  <si>
    <t>-22.8420912</t>
  </si>
  <si>
    <t>-43.398268</t>
  </si>
  <si>
    <t>R. Albuquerque</t>
  </si>
  <si>
    <t>33/18A AO 33/22A</t>
  </si>
  <si>
    <t>42/14 AO 42/16</t>
  </si>
  <si>
    <t>-22.905337</t>
  </si>
  <si>
    <t>OS-GSE-25069</t>
  </si>
  <si>
    <t>OS-GSE-12962</t>
  </si>
  <si>
    <t>3</t>
  </si>
  <si>
    <t>11/20A AO 11/22A</t>
  </si>
  <si>
    <t>OS-GSE-23018</t>
  </si>
  <si>
    <t>Campos Elísio 
(Sobre o Pontillhão)</t>
  </si>
  <si>
    <t>-22.8891955</t>
  </si>
  <si>
    <t>-43.3184941</t>
  </si>
  <si>
    <t>Quintino (INF)</t>
  </si>
  <si>
    <t>14/04A AO 14/06</t>
  </si>
  <si>
    <t>-22.7190721</t>
  </si>
  <si>
    <t>-43.5330734</t>
  </si>
  <si>
    <t>45/23 AO 45/23P</t>
  </si>
  <si>
    <t>Link</t>
  </si>
  <si>
    <t>-22.8586127</t>
  </si>
  <si>
    <t>-43.375293</t>
  </si>
  <si>
    <t>20/30A AO 20/32A</t>
  </si>
  <si>
    <t>-43.6393482</t>
  </si>
  <si>
    <t>75km/h</t>
  </si>
  <si>
    <t xml:space="preserve"> -22.6497381</t>
  </si>
  <si>
    <t>59/20 AO 59/31</t>
  </si>
  <si>
    <t>-22.763422</t>
  </si>
  <si>
    <t>-43.3041414</t>
  </si>
  <si>
    <t>21/33 AO 21/31</t>
  </si>
  <si>
    <t>Corte 8 (SUP)</t>
  </si>
  <si>
    <t>-22.9094041</t>
  </si>
  <si>
    <t>-22.875307</t>
  </si>
  <si>
    <t>-22.8759862</t>
  </si>
  <si>
    <t>-22.8975226</t>
  </si>
  <si>
    <t>-22.8955323</t>
  </si>
  <si>
    <t>-22.6503138</t>
  </si>
  <si>
    <t>-22.8905111</t>
  </si>
  <si>
    <t>-22.7899833</t>
  </si>
  <si>
    <t>-22.7378484</t>
  </si>
  <si>
    <t>-22.8470038</t>
  </si>
  <si>
    <t>-22.8754161</t>
  </si>
  <si>
    <t>-22.7912175</t>
  </si>
  <si>
    <t>-22.8955756</t>
  </si>
  <si>
    <t>-22.8885816</t>
  </si>
  <si>
    <t>-22.8967136</t>
  </si>
  <si>
    <t>-22.7190687</t>
  </si>
  <si>
    <t>-22.8753106</t>
  </si>
  <si>
    <t>-22.6961126</t>
  </si>
  <si>
    <t>-22.9152889</t>
  </si>
  <si>
    <t>-22.9152637</t>
  </si>
  <si>
    <t xml:space="preserve">-22.6503036 </t>
  </si>
  <si>
    <t>-22.8955402</t>
  </si>
  <si>
    <t>-22.8757303</t>
  </si>
  <si>
    <t>CONTROLE DE MANUTENÇÃO</t>
  </si>
  <si>
    <t>Melhoria realizada x Não realizada</t>
  </si>
  <si>
    <t>Filtro</t>
  </si>
  <si>
    <t>4</t>
  </si>
  <si>
    <t>OS-GSE-22989</t>
  </si>
  <si>
    <t>07/12 AO 07/18</t>
  </si>
  <si>
    <t>-22.8421111</t>
  </si>
  <si>
    <t>-43.3982626</t>
  </si>
  <si>
    <t>-22.7748055</t>
  </si>
  <si>
    <t>-43.3071401</t>
  </si>
  <si>
    <t>-22.7747252</t>
  </si>
  <si>
    <t>-43.3072232</t>
  </si>
  <si>
    <t>-22.7747636</t>
  </si>
  <si>
    <t>-43.3071906</t>
  </si>
  <si>
    <t>nov</t>
  </si>
  <si>
    <t>Temperatura</t>
  </si>
  <si>
    <t>-43.3071856</t>
  </si>
  <si>
    <t>-22.7746784</t>
  </si>
  <si>
    <t>-22.7747496</t>
  </si>
  <si>
    <t>-43.3071589</t>
  </si>
  <si>
    <t>-22.8941479</t>
  </si>
  <si>
    <t>-43.3039318</t>
  </si>
  <si>
    <t>-22.7747086</t>
  </si>
  <si>
    <t xml:space="preserve"> -43.3071386</t>
  </si>
  <si>
    <t>-22.7634079</t>
  </si>
  <si>
    <t>-43.3041769</t>
  </si>
  <si>
    <t>-22.7747425</t>
  </si>
  <si>
    <t>-43.3071982</t>
  </si>
  <si>
    <t>-22.8076865</t>
  </si>
  <si>
    <t>-43.3040792</t>
  </si>
  <si>
    <t xml:space="preserve"> -22.8760373</t>
  </si>
  <si>
    <t xml:space="preserve"> -43.3386377</t>
  </si>
  <si>
    <t>-22.8887628</t>
  </si>
  <si>
    <t>-43.3200322</t>
  </si>
  <si>
    <t>-22.8760475</t>
  </si>
  <si>
    <t xml:space="preserve"> -43.4981586</t>
  </si>
  <si>
    <t>OS-GSE-25802</t>
  </si>
  <si>
    <t>OS-GSE-23017</t>
  </si>
  <si>
    <t>Ordem de Servico</t>
  </si>
  <si>
    <t>Numero do Ativo</t>
  </si>
  <si>
    <t>Descricao da Ordem de Servico</t>
  </si>
  <si>
    <t>OS-GSE-21265</t>
  </si>
  <si>
    <t>RA.SC.VMR.CATB-24/01-25/01</t>
  </si>
  <si>
    <t>ATENDIMENTO AO ALARME IDENTIFICADO NO PCDS (SEVERIDADE 65) NA EST.24/19</t>
  </si>
  <si>
    <t>ATENDIMENTO AO ALARME IDENTIFICADO NO PCDS (SEVERIADADE 52) ENTRE AS EST.: 13/12 E 13/18</t>
  </si>
  <si>
    <t>ATENDIMENTO AO ALARME IDENTIFICADO NO PCDS (SEVERIADADE 86) ENTRE AS EST.: 31/12 E 31/16</t>
  </si>
  <si>
    <t>ATENDIMENTO AO ALARME IDENTIFICADO NO PCDS (SEVERIADADE 64) ENTRE AS EST.: 30/18 E 30/22</t>
  </si>
  <si>
    <t>OS-GSE-21624</t>
  </si>
  <si>
    <t>RA.SR.MGA.CAT7-04/01-05/01</t>
  </si>
  <si>
    <t>ATENDIMENTO AO ALARME IDENTIFICADO NO PCDS (SEVERIADADE 56) ENTRE AS EST.: 04/15 E 04/17</t>
  </si>
  <si>
    <t>OS-GSE-21625</t>
  </si>
  <si>
    <t>ATENDIMENTO AO ALARME IDENTIFICADO NO PCDS (SEVERIADADE 169) ENTRE AS EST.: 29/35 E 29/45</t>
  </si>
  <si>
    <t>OS-GSE-21626</t>
  </si>
  <si>
    <t>ATENDIMENTO AO ALARME IDENTIFICADO NO PCDS (SEVERIADADE 80) ENTRE AS EST.: 38/29 E 38/33</t>
  </si>
  <si>
    <t>OS-GSE-21627</t>
  </si>
  <si>
    <t>ATENDIMENTO AO ALARME IDENTIFICADO NO PCDS (SEVERIADADE 54) ENTRE AS EST.: 59/01 E 60/01</t>
  </si>
  <si>
    <t>OS-GSE-21628</t>
  </si>
  <si>
    <t>ATENDIMENTO AO ALARME IDENTIFICADO NO PCDS (SEVERIADADE 94) ENTRE AS EST.: 45/17 E 45/19</t>
  </si>
  <si>
    <t>OS-GSE-21629</t>
  </si>
  <si>
    <t>ATENDIMENTO AO ALARME IDENTIFICADO NO PCDS (SEVERIADADE 56) ENTRE AS EST.: 23/14 E 23/20</t>
  </si>
  <si>
    <t>RA.DD.SEED.OVER3I/3S</t>
  </si>
  <si>
    <t>ATENDIMENTO AO ALARME IDENTIFICADO NO PCDS (SEVERIDADE 70) ENTRE AS EST.: 11/22A E 11/24A</t>
  </si>
  <si>
    <t>ATENDIMENTO AO ALARME IDENTIFICADO NO PCDS (SEVERIDADE 65) ENTRE AS EST.: 11/20 E 11/24</t>
  </si>
  <si>
    <t>ATENDIMENTO AO ALARME IDENTIFICADO NO PCDS (SEVERIDADE 50) ENTRE AS EST.: 59/25 E 59/31</t>
  </si>
  <si>
    <t>OS-GSE-21847</t>
  </si>
  <si>
    <t>ATENDIMENTO AO ALARME IDENTIFICADO NO PCDS (SEVERIDADE 77) ENTRE AS EST.: 40/43 E 40/39</t>
  </si>
  <si>
    <t>OS-GSE-21848</t>
  </si>
  <si>
    <t>ATENDIMENTO AO ALARME IDENTIFICADO NO PCDS (SEVERIDADE 80) ENTRE AS EST.: 45/18 E 45/24</t>
  </si>
  <si>
    <t>ATENDIMENTO AO ALARME IDENTIFICADO NO PCDS (SEVERIDADE 81) ENTRE AS EST.: 30/18 E 30/24</t>
  </si>
  <si>
    <t>OS-GSE-21851</t>
  </si>
  <si>
    <t>ATENDIMENTO AO ALARME IDENTIFICADO NO PCDS (SEVERIDADE 112) ENTRE AS EST.: 32/29 E 32/35</t>
  </si>
  <si>
    <t>OS-GSE-22986</t>
  </si>
  <si>
    <t>ATENDIMENTO AO ALARME IDENTIFICADO NO PCDS (SEVERIDADE 127) ENTRE AS EST.: 11/18 E 11/22</t>
  </si>
  <si>
    <t>OS-GSE-22987</t>
  </si>
  <si>
    <t>ATENDIMENTO AO ALARME IDENTIFICADO NO PCDS (SEVERIDADE 59) ENTRE AS EST.: 09/03 E 09/07</t>
  </si>
  <si>
    <t>ATENDIMENTO AO ALARME IDENTIFICADO NO PCDS (SEVERIDADE 120/64) ENTRE AS EST.: 18/14 E 18/20</t>
  </si>
  <si>
    <t>ATENDIMENTO AO ALARME IDENTIFICADO NO PCDS (SEVERIDADE 61) ENTRE AS EST.: 07/12 E 07/18</t>
  </si>
  <si>
    <t>ATENDIMENTO AO ALARME IDENTIFICADO NO PCDS (SEVERIDADE 53) ENTRE AS EST.: 19/18 E 19/22</t>
  </si>
  <si>
    <t>ATENDIMENTO AO ALARME IDENTIFICADO NO PCDS (SEVERIDADE 97, 50, 52 e 152) ENTRE AS EST.: 02/02 E 03/02</t>
  </si>
  <si>
    <t>ATENDIMENTO AO ALARME IDENTIFICADO NO PCDS (SEVERIDADE 122) ENTRE AS EST.: 14/12 E 14/16</t>
  </si>
  <si>
    <t>ATENDIMENTO AO ALARME IDENTIFICADO NO PCDS (SEVERIDADE 106) ENTRE AS EST.: 40/49 E 41/05</t>
  </si>
  <si>
    <t>ATENDIMENTO AO ALARME IDENTIFICADO NO PCDS (SEVERIDADE 66/145/85/89) ENTRE AS EST.: 59/01 E 60/01</t>
  </si>
  <si>
    <t>OS-GSE-22995</t>
  </si>
  <si>
    <t>ATENDIMENTO AO ALARME IDENTIFICADO NO PCDS (SEVERIDADE 82/94) ENTRE AS EST.: 31/10 E 31/14</t>
  </si>
  <si>
    <t>ATENDIMENTO AO ALARME IDENTIFICADO NO PCDS (SEVERIDADE 85) ENTRE AS EST.: 33/35 E 34/01</t>
  </si>
  <si>
    <t>ATENDIMENTO AO ALARME IDENTIFICADO NO PCDS (SEVERIDADE 105) ENTRE AS EST.: 48/22 E 48/24</t>
  </si>
  <si>
    <t>OS-GSE-23006</t>
  </si>
  <si>
    <t>RA.SC.TNS.CAT2-51/02-52/02</t>
  </si>
  <si>
    <t>ATENDIMENTO AO ALARME IDENTIFICADO NO PCDS (SEVERIDADE 66) ENTRE AS EST.: 51/02 E 51/06</t>
  </si>
  <si>
    <t>OS-GSE-23007</t>
  </si>
  <si>
    <t>ATENDIMENTO AO ALARME IDENTIFICADO NO PCDS (SEVERIDADE 60) ENTRE AS EST.: 50/31 E 51/05</t>
  </si>
  <si>
    <t>ATENDIMENTO AO ALARME IDENTIFICADO NO PCDS (SEVERIDADE 171/60) ENTRE AS EST.: 34/10 E 34/20</t>
  </si>
  <si>
    <t>ATENDIMENTO AO ALARME IDENTIFICADO NO PCDS (SEVERIDADE 273) ENTRE AS EST.: 33/21 E 33/23T</t>
  </si>
  <si>
    <t>ATENDIMENTO AO ALARME IDENTIFICADO NO PCDS (SEVERIDADE 55) ENTRE AS EST.: 36/16 E 36/24</t>
  </si>
  <si>
    <t>OS-GSE-23012</t>
  </si>
  <si>
    <t>ATENDIMENTO AO ALARME IDENTIFICADO NO PCDS (SEVERIDADE 164) ENTRE AS EST.: 59/25 E 59/31</t>
  </si>
  <si>
    <t>OS-GSE-23013</t>
  </si>
  <si>
    <t>OS-GSE-23014</t>
  </si>
  <si>
    <t>ATENDIMENTO AO ALARME IDENTIFICADO NO PCDS (SEVERIDADE 97) ENTRE AS EST.: 60/17 E 60/21</t>
  </si>
  <si>
    <t>ATENDIMENTO AO ALARME IDENTIFICADO NO PCDS (SEVERIDADE 51) ENTRE AS EST.: 36/15 E 36/23</t>
  </si>
  <si>
    <t>OS-GSE-25068</t>
  </si>
  <si>
    <t>ATENDIMENTO AO ALARME DE PCDS (SEVERIDADE 664, 465, 1547, 1704,1750, 96 E 83) ENTRE AS EST.60/01 A 61/01</t>
  </si>
  <si>
    <t>ATENDIMENTO AO ALARME DE PCDS( SEVERIDADE 477) ENTRE AS EST.60/01 A 61/01</t>
  </si>
  <si>
    <t>ATENDIMENTO AO ALARME DO PCDS (SEVERIDADE 67)</t>
  </si>
  <si>
    <t>ATENDIMENTO AO ALARME DO PCDS (SEVERIDADE 56 E 63)</t>
  </si>
  <si>
    <t>RA.SR.GMO.CAT1-26/01-27/01</t>
  </si>
  <si>
    <t>ATENDIMENTO AO ALARME DO PCDS SEVERIDADE (54,158,460) ENTRE AS EST.: 26/27 E 26/29</t>
  </si>
  <si>
    <t>Repetibilidade</t>
  </si>
  <si>
    <t>1</t>
  </si>
  <si>
    <t>2</t>
  </si>
  <si>
    <t>-22.9045966</t>
  </si>
  <si>
    <t>-43.5723297</t>
  </si>
  <si>
    <t>-22.8973842</t>
  </si>
  <si>
    <t>-43.5420993</t>
  </si>
  <si>
    <t>-22.730462</t>
  </si>
  <si>
    <t xml:space="preserve"> -43.5150606</t>
  </si>
  <si>
    <t>-22.8223553</t>
  </si>
  <si>
    <t>-43.2970293</t>
  </si>
  <si>
    <t>-22.7164617</t>
  </si>
  <si>
    <t>-43.5394329</t>
  </si>
  <si>
    <t>46/12 AO 46/14</t>
  </si>
  <si>
    <t>-22.8650339</t>
  </si>
  <si>
    <t>-43.3578456</t>
  </si>
  <si>
    <t>-22.8885441</t>
  </si>
  <si>
    <t>-43.3131107</t>
  </si>
  <si>
    <t>13/17A AO 13/19A</t>
  </si>
  <si>
    <t>-22.865031</t>
  </si>
  <si>
    <t>-43.3578184</t>
  </si>
  <si>
    <t>-22.9176248</t>
  </si>
  <si>
    <t>-43.6592495</t>
  </si>
  <si>
    <t>T. Neves (SUP.)</t>
  </si>
  <si>
    <t>-22.7747264</t>
  </si>
  <si>
    <t>-43.3071643</t>
  </si>
  <si>
    <t>B. Ribeiro (INF)</t>
  </si>
  <si>
    <t>-22.730656</t>
  </si>
  <si>
    <t>-43.2995345</t>
  </si>
  <si>
    <t>-22.6961602</t>
  </si>
  <si>
    <t>-43.2715548</t>
  </si>
  <si>
    <t>J. Primavera (SUP)</t>
  </si>
  <si>
    <t>-22.7465923</t>
  </si>
  <si>
    <t>-43.3074647</t>
  </si>
  <si>
    <t>-22.8878147</t>
  </si>
  <si>
    <t>-43.3228075</t>
  </si>
  <si>
    <t>-22.6666386</t>
  </si>
  <si>
    <t>-43.6268749</t>
  </si>
  <si>
    <t>57/19 AO 57/21</t>
  </si>
  <si>
    <t>dez</t>
  </si>
  <si>
    <t>Deodoro - L1</t>
  </si>
  <si>
    <t>Deodoro - L2</t>
  </si>
  <si>
    <t>Deodoro - L3</t>
  </si>
  <si>
    <t>Deodoro - L4</t>
  </si>
  <si>
    <t>Deodoro - L5</t>
  </si>
  <si>
    <t>21/31 AO 21/33</t>
  </si>
  <si>
    <t>12/12A AO 12/14A</t>
  </si>
  <si>
    <t>C. Soares (SUP)</t>
  </si>
  <si>
    <t>42/43P AO 43/01</t>
  </si>
  <si>
    <t>Madureira (Plat.)</t>
  </si>
  <si>
    <t>Quintino (Plat.)</t>
  </si>
  <si>
    <t>14/08A AO 14/10A</t>
  </si>
  <si>
    <t>34/13 AO 34/17</t>
  </si>
  <si>
    <t>42/28 AO 42/30</t>
  </si>
  <si>
    <t>Cordovil (SUP)</t>
  </si>
  <si>
    <t>-22.9046055</t>
  </si>
  <si>
    <t>-43.5723996</t>
  </si>
  <si>
    <t>-22.9043983</t>
  </si>
  <si>
    <t>-43.2741729</t>
  </si>
  <si>
    <t>S. Freire (INF)</t>
  </si>
  <si>
    <t>OS-GSE-21846</t>
  </si>
  <si>
    <t>23/49 AO 23/53</t>
  </si>
  <si>
    <t>B. Ribeiro (SUP)</t>
  </si>
  <si>
    <t>33/31P AO 33/33A</t>
  </si>
  <si>
    <t>40/49 AO 41/01</t>
  </si>
  <si>
    <t>40/47 AO 40/01</t>
  </si>
  <si>
    <t>18/31A AO 19/01A</t>
  </si>
  <si>
    <t>08/35A AO 08/38AP</t>
  </si>
  <si>
    <t>16/24YA AO 16/26P</t>
  </si>
  <si>
    <t>25/21 AO 25/23</t>
  </si>
  <si>
    <t>25/44 AO 26/01</t>
  </si>
  <si>
    <t xml:space="preserve">Não </t>
  </si>
  <si>
    <t>Saracuruna (SUP)</t>
  </si>
  <si>
    <t>SA</t>
  </si>
  <si>
    <t> -22.6954996</t>
  </si>
  <si>
    <t>-43.5837685</t>
  </si>
  <si>
    <t>51/01 AO 51/03</t>
  </si>
  <si>
    <t>S.Freire (INF)</t>
  </si>
  <si>
    <t>-22.8316927</t>
  </si>
  <si>
    <t>-43.3960243</t>
  </si>
  <si>
    <t>-22.9044274</t>
  </si>
  <si>
    <t>-43.2741683</t>
  </si>
  <si>
    <t>Queimados (SUP)</t>
  </si>
  <si>
    <t>R. Albuquerque (SUP)</t>
  </si>
  <si>
    <t>08/34A P2 AO 08/38A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</si>
</sst>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 &quot;Km/h&quot;"/>
    <numFmt numFmtId="165" formatCode="[$-F400]h:mm:ss\ AM/PM"/>
    <numFmt numFmtId="166" formatCode="mmmm"/>
    <numFmt numFmtId="167" formatCode="dd"/>
    <numFmt numFmtId="168" formatCode="_(* #,##0.00_);_(* \(#,##0.00\);_(* &quot;-&quot;??_);_(@_)"/>
    <numFmt numFmtId="169" formatCode="ddd"/>
    <numFmt numFmtId="170" formatCode="00\ \°\C"/>
  </numFmts>
  <fonts count="4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Arial Narrow"/>
      <family val="2"/>
    </font>
    <font>
      <sz val="14"/>
      <name val="Arial Narrow"/>
      <family val="2"/>
    </font>
    <font>
      <b/>
      <sz val="20"/>
      <name val="Arial"/>
      <family val="2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0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94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theme="0"/>
      </right>
      <top style="thin">
        <color rgb="FF979991"/>
      </top>
      <bottom style="thin">
        <color rgb="FF97999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24" fillId="0" borderId="0"/>
    <xf numFmtId="9" fontId="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</cellStyleXfs>
  <cellXfs count="526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9" fillId="6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4" fontId="4" fillId="5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5" fontId="11" fillId="2" borderId="4" xfId="0" applyNumberFormat="1" applyFont="1" applyFill="1" applyBorder="1" applyAlignment="1">
      <alignment horizontal="center" vertical="center"/>
    </xf>
    <xf numFmtId="165" fontId="0" fillId="0" borderId="0" xfId="0" applyNumberFormat="1"/>
    <xf numFmtId="14" fontId="11" fillId="2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14" fontId="0" fillId="2" borderId="4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5" fontId="12" fillId="2" borderId="4" xfId="0" applyNumberFormat="1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9" fontId="0" fillId="0" borderId="0" xfId="2" applyFont="1"/>
    <xf numFmtId="9" fontId="13" fillId="11" borderId="4" xfId="2" applyFont="1" applyFill="1" applyBorder="1" applyAlignment="1">
      <alignment horizontal="center" vertical="center" wrapText="1"/>
    </xf>
    <xf numFmtId="9" fontId="0" fillId="12" borderId="4" xfId="2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14" fontId="12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15" borderId="2" xfId="0" applyFont="1" applyFill="1" applyBorder="1" applyAlignment="1">
      <alignment horizontal="center"/>
    </xf>
    <xf numFmtId="0" fontId="17" fillId="16" borderId="2" xfId="0" applyFont="1" applyFill="1" applyBorder="1" applyAlignment="1">
      <alignment horizontal="center"/>
    </xf>
    <xf numFmtId="0" fontId="17" fillId="15" borderId="22" xfId="0" applyFont="1" applyFill="1" applyBorder="1" applyAlignment="1">
      <alignment horizontal="center"/>
    </xf>
    <xf numFmtId="0" fontId="17" fillId="16" borderId="4" xfId="0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15" borderId="4" xfId="0" applyFont="1" applyFill="1" applyBorder="1" applyAlignment="1">
      <alignment horizontal="center"/>
    </xf>
    <xf numFmtId="0" fontId="17" fillId="15" borderId="26" xfId="0" applyFont="1" applyFill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6" fillId="0" borderId="29" xfId="0" applyFont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14" fontId="16" fillId="0" borderId="31" xfId="0" applyNumberFormat="1" applyFont="1" applyBorder="1" applyAlignment="1">
      <alignment horizontal="center" vertical="top"/>
    </xf>
    <xf numFmtId="14" fontId="16" fillId="0" borderId="32" xfId="0" applyNumberFormat="1" applyFont="1" applyBorder="1" applyAlignment="1">
      <alignment horizontal="center" vertical="top"/>
    </xf>
    <xf numFmtId="9" fontId="16" fillId="0" borderId="28" xfId="2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7" fillId="17" borderId="30" xfId="1" applyFont="1" applyFill="1" applyBorder="1"/>
    <xf numFmtId="49" fontId="19" fillId="13" borderId="2" xfId="0" applyNumberFormat="1" applyFont="1" applyFill="1" applyBorder="1" applyAlignment="1">
      <alignment horizontal="center"/>
    </xf>
    <xf numFmtId="49" fontId="19" fillId="13" borderId="4" xfId="0" applyNumberFormat="1" applyFont="1" applyFill="1" applyBorder="1" applyAlignment="1">
      <alignment horizontal="center"/>
    </xf>
    <xf numFmtId="49" fontId="19" fillId="13" borderId="26" xfId="0" applyNumberFormat="1" applyFont="1" applyFill="1" applyBorder="1" applyAlignment="1">
      <alignment horizontal="center"/>
    </xf>
    <xf numFmtId="49" fontId="19" fillId="13" borderId="3" xfId="0" applyNumberFormat="1" applyFont="1" applyFill="1" applyBorder="1" applyAlignment="1">
      <alignment horizontal="center"/>
    </xf>
    <xf numFmtId="49" fontId="19" fillId="13" borderId="19" xfId="0" applyNumberFormat="1" applyFont="1" applyFill="1" applyBorder="1" applyAlignment="1">
      <alignment horizontal="center"/>
    </xf>
    <xf numFmtId="49" fontId="19" fillId="13" borderId="37" xfId="0" applyNumberFormat="1" applyFont="1" applyFill="1" applyBorder="1" applyAlignment="1">
      <alignment horizontal="center"/>
    </xf>
    <xf numFmtId="0" fontId="19" fillId="13" borderId="22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9" fillId="13" borderId="4" xfId="0" applyFont="1" applyFill="1" applyBorder="1" applyAlignment="1">
      <alignment horizontal="center"/>
    </xf>
    <xf numFmtId="49" fontId="19" fillId="13" borderId="24" xfId="0" applyNumberFormat="1" applyFont="1" applyFill="1" applyBorder="1" applyAlignment="1">
      <alignment horizontal="center"/>
    </xf>
    <xf numFmtId="49" fontId="19" fillId="13" borderId="27" xfId="0" applyNumberFormat="1" applyFont="1" applyFill="1" applyBorder="1" applyAlignment="1">
      <alignment horizontal="center"/>
    </xf>
    <xf numFmtId="0" fontId="19" fillId="13" borderId="2" xfId="0" applyFont="1" applyFill="1" applyBorder="1" applyAlignment="1">
      <alignment horizontal="center"/>
    </xf>
    <xf numFmtId="0" fontId="19" fillId="17" borderId="39" xfId="0" applyFont="1" applyFill="1" applyBorder="1" applyAlignment="1">
      <alignment horizontal="center"/>
    </xf>
    <xf numFmtId="0" fontId="19" fillId="13" borderId="39" xfId="0" applyFont="1" applyFill="1" applyBorder="1" applyAlignment="1">
      <alignment horizontal="center"/>
    </xf>
    <xf numFmtId="0" fontId="19" fillId="17" borderId="40" xfId="0" applyFont="1" applyFill="1" applyBorder="1" applyAlignment="1">
      <alignment horizontal="center"/>
    </xf>
    <xf numFmtId="0" fontId="19" fillId="17" borderId="33" xfId="0" applyFont="1" applyFill="1" applyBorder="1" applyAlignment="1">
      <alignment horizontal="center" vertical="center" wrapText="1"/>
    </xf>
    <xf numFmtId="0" fontId="19" fillId="17" borderId="34" xfId="0" applyFont="1" applyFill="1" applyBorder="1" applyAlignment="1">
      <alignment horizontal="center" vertical="center" wrapText="1"/>
    </xf>
    <xf numFmtId="0" fontId="19" fillId="17" borderId="35" xfId="0" applyFont="1" applyFill="1" applyBorder="1" applyAlignment="1">
      <alignment horizontal="center" vertical="center" wrapText="1"/>
    </xf>
    <xf numFmtId="0" fontId="19" fillId="14" borderId="36" xfId="0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/>
    </xf>
    <xf numFmtId="14" fontId="11" fillId="10" borderId="4" xfId="0" applyNumberFormat="1" applyFont="1" applyFill="1" applyBorder="1" applyAlignment="1">
      <alignment horizontal="center" vertical="center"/>
    </xf>
    <xf numFmtId="49" fontId="0" fillId="2" borderId="4" xfId="0" quotePrefix="1" applyNumberFormat="1" applyFill="1" applyBorder="1" applyAlignment="1">
      <alignment horizontal="center" vertical="center"/>
    </xf>
    <xf numFmtId="14" fontId="12" fillId="3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 wrapText="1"/>
    </xf>
    <xf numFmtId="0" fontId="0" fillId="23" borderId="0" xfId="0" applyFill="1"/>
    <xf numFmtId="0" fontId="17" fillId="0" borderId="26" xfId="0" applyFont="1" applyBorder="1" applyAlignment="1">
      <alignment horizontal="center"/>
    </xf>
    <xf numFmtId="0" fontId="19" fillId="13" borderId="26" xfId="0" applyFont="1" applyFill="1" applyBorder="1"/>
    <xf numFmtId="49" fontId="19" fillId="13" borderId="32" xfId="0" applyNumberFormat="1" applyFont="1" applyFill="1" applyBorder="1" applyAlignment="1">
      <alignment horizontal="center"/>
    </xf>
    <xf numFmtId="0" fontId="0" fillId="7" borderId="0" xfId="0" applyFill="1"/>
    <xf numFmtId="165" fontId="0" fillId="7" borderId="0" xfId="0" applyNumberFormat="1" applyFill="1"/>
    <xf numFmtId="0" fontId="20" fillId="7" borderId="0" xfId="0" applyFont="1" applyFill="1" applyAlignment="1">
      <alignment horizontal="center" vertical="center"/>
    </xf>
    <xf numFmtId="49" fontId="0" fillId="7" borderId="0" xfId="0" applyNumberFormat="1" applyFill="1"/>
    <xf numFmtId="14" fontId="0" fillId="7" borderId="0" xfId="0" applyNumberFormat="1" applyFill="1"/>
    <xf numFmtId="0" fontId="0" fillId="24" borderId="0" xfId="0" applyFill="1"/>
    <xf numFmtId="165" fontId="0" fillId="24" borderId="0" xfId="0" applyNumberFormat="1" applyFill="1"/>
    <xf numFmtId="0" fontId="20" fillId="24" borderId="0" xfId="0" applyFont="1" applyFill="1" applyAlignment="1">
      <alignment horizontal="center" vertical="center"/>
    </xf>
    <xf numFmtId="49" fontId="0" fillId="24" borderId="0" xfId="0" applyNumberFormat="1" applyFill="1"/>
    <xf numFmtId="14" fontId="0" fillId="24" borderId="0" xfId="0" applyNumberFormat="1" applyFill="1"/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5" fontId="0" fillId="0" borderId="2" xfId="0" applyNumberFormat="1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6" borderId="0" xfId="0" applyFill="1" applyAlignment="1">
      <alignment vertical="top" wrapText="1"/>
    </xf>
    <xf numFmtId="49" fontId="0" fillId="2" borderId="44" xfId="0" applyNumberForma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44" xfId="0" applyBorder="1" applyAlignment="1">
      <alignment horizontal="center" vertical="center"/>
    </xf>
    <xf numFmtId="0" fontId="1" fillId="0" borderId="44" xfId="1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17" fontId="0" fillId="2" borderId="4" xfId="0" applyNumberFormat="1" applyFill="1" applyBorder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25" fillId="25" borderId="7" xfId="3" applyFont="1" applyFill="1" applyBorder="1" applyAlignment="1">
      <alignment vertical="center"/>
    </xf>
    <xf numFmtId="0" fontId="25" fillId="25" borderId="8" xfId="3" applyFont="1" applyFill="1" applyBorder="1" applyAlignment="1">
      <alignment vertical="center"/>
    </xf>
    <xf numFmtId="0" fontId="25" fillId="0" borderId="8" xfId="3" applyFont="1" applyBorder="1" applyAlignment="1">
      <alignment vertical="center"/>
    </xf>
    <xf numFmtId="0" fontId="25" fillId="0" borderId="9" xfId="3" applyFont="1" applyBorder="1" applyAlignment="1">
      <alignment vertical="center"/>
    </xf>
    <xf numFmtId="0" fontId="25" fillId="0" borderId="0" xfId="3" applyFont="1" applyAlignment="1">
      <alignment vertical="center"/>
    </xf>
    <xf numFmtId="0" fontId="25" fillId="25" borderId="10" xfId="3" applyFont="1" applyFill="1" applyBorder="1" applyAlignment="1">
      <alignment vertical="center"/>
    </xf>
    <xf numFmtId="0" fontId="25" fillId="25" borderId="0" xfId="3" applyFont="1" applyFill="1" applyAlignment="1">
      <alignment vertical="center"/>
    </xf>
    <xf numFmtId="0" fontId="25" fillId="0" borderId="11" xfId="3" applyFont="1" applyBorder="1" applyAlignment="1">
      <alignment vertical="center"/>
    </xf>
    <xf numFmtId="0" fontId="15" fillId="0" borderId="16" xfId="3" applyFont="1" applyBorder="1" applyAlignment="1">
      <alignment horizontal="center" vertical="center"/>
    </xf>
    <xf numFmtId="0" fontId="15" fillId="0" borderId="7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9" xfId="3" applyFont="1" applyBorder="1" applyAlignment="1">
      <alignment horizontal="center" vertical="center"/>
    </xf>
    <xf numFmtId="0" fontId="15" fillId="0" borderId="10" xfId="3" applyFont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14" fontId="28" fillId="0" borderId="0" xfId="3" applyNumberFormat="1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9" fontId="15" fillId="0" borderId="0" xfId="4" applyFont="1" applyBorder="1" applyAlignment="1">
      <alignment horizontal="center" vertical="center"/>
    </xf>
    <xf numFmtId="0" fontId="30" fillId="26" borderId="41" xfId="3" applyFont="1" applyFill="1" applyBorder="1" applyAlignment="1">
      <alignment horizontal="center" vertical="center"/>
    </xf>
    <xf numFmtId="0" fontId="30" fillId="26" borderId="42" xfId="3" applyFont="1" applyFill="1" applyBorder="1" applyAlignment="1">
      <alignment horizontal="center" vertical="center"/>
    </xf>
    <xf numFmtId="0" fontId="30" fillId="26" borderId="43" xfId="3" applyFont="1" applyFill="1" applyBorder="1" applyAlignment="1">
      <alignment horizontal="center" vertical="center"/>
    </xf>
    <xf numFmtId="0" fontId="31" fillId="0" borderId="0" xfId="3" applyFont="1" applyAlignment="1">
      <alignment vertical="center"/>
    </xf>
    <xf numFmtId="167" fontId="28" fillId="0" borderId="41" xfId="3" applyNumberFormat="1" applyFont="1" applyBorder="1" applyAlignment="1">
      <alignment horizontal="center" vertical="center"/>
    </xf>
    <xf numFmtId="167" fontId="28" fillId="0" borderId="43" xfId="3" applyNumberFormat="1" applyFont="1" applyBorder="1" applyAlignment="1">
      <alignment horizontal="center" vertical="center"/>
    </xf>
    <xf numFmtId="0" fontId="10" fillId="0" borderId="1" xfId="5" applyFont="1" applyBorder="1" applyAlignment="1">
      <alignment horizontal="center" vertical="center"/>
    </xf>
    <xf numFmtId="0" fontId="10" fillId="0" borderId="18" xfId="5" applyFont="1" applyBorder="1" applyAlignment="1">
      <alignment horizontal="center" vertical="center"/>
    </xf>
    <xf numFmtId="0" fontId="10" fillId="0" borderId="2" xfId="6" applyNumberFormat="1" applyFont="1" applyFill="1" applyBorder="1" applyAlignment="1">
      <alignment horizontal="center" vertical="center"/>
    </xf>
    <xf numFmtId="0" fontId="10" fillId="0" borderId="2" xfId="5" applyFont="1" applyBorder="1" applyAlignment="1">
      <alignment horizontal="center" vertical="center"/>
    </xf>
    <xf numFmtId="0" fontId="10" fillId="0" borderId="22" xfId="6" applyNumberFormat="1" applyFont="1" applyFill="1" applyBorder="1" applyAlignment="1">
      <alignment horizontal="center" vertical="center"/>
    </xf>
    <xf numFmtId="0" fontId="10" fillId="0" borderId="4" xfId="6" applyNumberFormat="1" applyFont="1" applyFill="1" applyBorder="1" applyAlignment="1">
      <alignment horizontal="center" vertical="center"/>
    </xf>
    <xf numFmtId="0" fontId="10" fillId="0" borderId="4" xfId="5" applyFont="1" applyBorder="1" applyAlignment="1">
      <alignment horizontal="center" vertical="center"/>
    </xf>
    <xf numFmtId="0" fontId="10" fillId="0" borderId="24" xfId="6" applyNumberFormat="1" applyFont="1" applyFill="1" applyBorder="1" applyAlignment="1">
      <alignment horizontal="center" vertical="center"/>
    </xf>
    <xf numFmtId="0" fontId="10" fillId="0" borderId="24" xfId="5" applyFont="1" applyBorder="1" applyAlignment="1">
      <alignment horizontal="center" vertical="center"/>
    </xf>
    <xf numFmtId="0" fontId="10" fillId="0" borderId="47" xfId="5" applyFont="1" applyBorder="1" applyAlignment="1">
      <alignment horizontal="center" vertical="center"/>
    </xf>
    <xf numFmtId="0" fontId="28" fillId="0" borderId="26" xfId="3" applyFont="1" applyBorder="1" applyAlignment="1">
      <alignment horizontal="center" vertical="center"/>
    </xf>
    <xf numFmtId="0" fontId="28" fillId="0" borderId="27" xfId="3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169" fontId="0" fillId="0" borderId="0" xfId="0" applyNumberFormat="1"/>
    <xf numFmtId="169" fontId="0" fillId="7" borderId="0" xfId="0" applyNumberFormat="1" applyFill="1"/>
    <xf numFmtId="169" fontId="0" fillId="24" borderId="0" xfId="0" applyNumberFormat="1" applyFill="1"/>
    <xf numFmtId="169" fontId="0" fillId="0" borderId="1" xfId="0" applyNumberFormat="1" applyBorder="1" applyAlignment="1">
      <alignment horizontal="center" vertical="top" wrapText="1"/>
    </xf>
    <xf numFmtId="169" fontId="12" fillId="2" borderId="4" xfId="0" applyNumberFormat="1" applyFont="1" applyFill="1" applyBorder="1" applyAlignment="1">
      <alignment horizontal="center" vertical="center"/>
    </xf>
    <xf numFmtId="169" fontId="0" fillId="2" borderId="4" xfId="0" applyNumberFormat="1" applyFill="1" applyBorder="1" applyAlignment="1">
      <alignment horizontal="center" vertical="center"/>
    </xf>
    <xf numFmtId="169" fontId="0" fillId="3" borderId="4" xfId="0" applyNumberFormat="1" applyFill="1" applyBorder="1" applyAlignment="1">
      <alignment horizontal="center" vertical="center"/>
    </xf>
    <xf numFmtId="169" fontId="4" fillId="2" borderId="4" xfId="0" applyNumberFormat="1" applyFont="1" applyFill="1" applyBorder="1" applyAlignment="1">
      <alignment horizontal="center" vertical="center"/>
    </xf>
    <xf numFmtId="169" fontId="11" fillId="2" borderId="4" xfId="0" applyNumberFormat="1" applyFont="1" applyFill="1" applyBorder="1" applyAlignment="1">
      <alignment horizontal="center" vertical="center"/>
    </xf>
    <xf numFmtId="169" fontId="0" fillId="10" borderId="4" xfId="0" applyNumberFormat="1" applyFill="1" applyBorder="1" applyAlignment="1">
      <alignment horizontal="center" vertical="center"/>
    </xf>
    <xf numFmtId="169" fontId="12" fillId="3" borderId="4" xfId="0" applyNumberFormat="1" applyFont="1" applyFill="1" applyBorder="1" applyAlignment="1">
      <alignment horizontal="center" vertical="center"/>
    </xf>
    <xf numFmtId="169" fontId="11" fillId="10" borderId="4" xfId="0" applyNumberFormat="1" applyFont="1" applyFill="1" applyBorder="1" applyAlignment="1">
      <alignment horizontal="center" vertical="center"/>
    </xf>
    <xf numFmtId="169" fontId="0" fillId="4" borderId="4" xfId="0" applyNumberFormat="1" applyFill="1" applyBorder="1" applyAlignment="1">
      <alignment horizontal="center" vertical="center"/>
    </xf>
    <xf numFmtId="169" fontId="0" fillId="5" borderId="4" xfId="0" applyNumberFormat="1" applyFill="1" applyBorder="1" applyAlignment="1">
      <alignment horizontal="center" vertical="center"/>
    </xf>
    <xf numFmtId="169" fontId="0" fillId="0" borderId="44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17" borderId="24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3" fillId="28" borderId="42" xfId="0" applyFont="1" applyFill="1" applyBorder="1" applyAlignment="1">
      <alignment horizontal="center"/>
    </xf>
    <xf numFmtId="0" fontId="13" fillId="28" borderId="43" xfId="0" applyFont="1" applyFill="1" applyBorder="1" applyAlignment="1">
      <alignment horizontal="center"/>
    </xf>
    <xf numFmtId="0" fontId="13" fillId="28" borderId="48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3" fillId="28" borderId="30" xfId="0" applyFont="1" applyFill="1" applyBorder="1" applyAlignment="1">
      <alignment horizontal="center"/>
    </xf>
    <xf numFmtId="0" fontId="13" fillId="15" borderId="49" xfId="0" applyFont="1" applyFill="1" applyBorder="1" applyAlignment="1">
      <alignment horizontal="center"/>
    </xf>
    <xf numFmtId="0" fontId="13" fillId="23" borderId="50" xfId="0" applyFont="1" applyFill="1" applyBorder="1" applyAlignment="1">
      <alignment horizontal="center"/>
    </xf>
    <xf numFmtId="0" fontId="13" fillId="16" borderId="50" xfId="0" applyFont="1" applyFill="1" applyBorder="1" applyAlignment="1">
      <alignment horizontal="center"/>
    </xf>
    <xf numFmtId="0" fontId="13" fillId="24" borderId="5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49" fontId="13" fillId="29" borderId="43" xfId="0" applyNumberFormat="1" applyFont="1" applyFill="1" applyBorder="1" applyAlignment="1">
      <alignment horizontal="center"/>
    </xf>
    <xf numFmtId="0" fontId="13" fillId="29" borderId="4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169" fontId="0" fillId="2" borderId="44" xfId="0" applyNumberFormat="1" applyFill="1" applyBorder="1" applyAlignment="1">
      <alignment horizontal="center" vertical="center"/>
    </xf>
    <xf numFmtId="49" fontId="0" fillId="2" borderId="44" xfId="0" applyNumberFormat="1" applyFill="1" applyBorder="1" applyAlignment="1">
      <alignment horizontal="center" vertical="center" wrapText="1"/>
    </xf>
    <xf numFmtId="0" fontId="0" fillId="2" borderId="44" xfId="1" applyFont="1" applyFill="1" applyBorder="1" applyAlignment="1">
      <alignment horizontal="center" vertical="center"/>
    </xf>
    <xf numFmtId="14" fontId="38" fillId="0" borderId="44" xfId="0" applyNumberFormat="1" applyFont="1" applyBorder="1" applyAlignment="1">
      <alignment horizontal="center" vertical="center"/>
    </xf>
    <xf numFmtId="165" fontId="38" fillId="0" borderId="44" xfId="0" applyNumberFormat="1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164" fontId="38" fillId="0" borderId="44" xfId="0" applyNumberFormat="1" applyFont="1" applyBorder="1" applyAlignment="1">
      <alignment horizontal="center" vertical="center"/>
    </xf>
    <xf numFmtId="0" fontId="38" fillId="2" borderId="44" xfId="0" applyFont="1" applyFill="1" applyBorder="1" applyAlignment="1">
      <alignment horizontal="center" vertical="center"/>
    </xf>
    <xf numFmtId="0" fontId="38" fillId="6" borderId="44" xfId="0" applyFont="1" applyFill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3" fillId="26" borderId="4" xfId="0" applyFon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3" fillId="26" borderId="4" xfId="0" applyFont="1" applyFill="1" applyBorder="1"/>
    <xf numFmtId="0" fontId="15" fillId="0" borderId="8" xfId="3" applyFont="1" applyBorder="1" applyAlignment="1">
      <alignment horizontal="center" vertical="center"/>
    </xf>
    <xf numFmtId="0" fontId="10" fillId="0" borderId="45" xfId="5" applyFont="1" applyBorder="1" applyAlignment="1">
      <alignment horizontal="center" vertical="center"/>
    </xf>
    <xf numFmtId="14" fontId="41" fillId="0" borderId="44" xfId="0" applyNumberFormat="1" applyFont="1" applyBorder="1" applyAlignment="1">
      <alignment horizontal="center" vertical="center"/>
    </xf>
    <xf numFmtId="165" fontId="41" fillId="0" borderId="44" xfId="0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164" fontId="41" fillId="0" borderId="44" xfId="0" applyNumberFormat="1" applyFont="1" applyBorder="1" applyAlignment="1">
      <alignment horizontal="center" vertical="center"/>
    </xf>
    <xf numFmtId="0" fontId="41" fillId="2" borderId="44" xfId="0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49" fontId="41" fillId="0" borderId="44" xfId="0" applyNumberFormat="1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32" fillId="22" borderId="0" xfId="5" applyFont="1" applyFill="1" applyAlignment="1" applyProtection="1">
      <alignment horizontal="center"/>
      <protection hidden="1"/>
    </xf>
    <xf numFmtId="0" fontId="32" fillId="0" borderId="0" xfId="5" applyFont="1" applyAlignment="1" applyProtection="1">
      <alignment horizontal="center"/>
      <protection hidden="1"/>
    </xf>
    <xf numFmtId="0" fontId="33" fillId="0" borderId="0" xfId="5" applyFont="1" applyAlignment="1" applyProtection="1">
      <alignment horizontal="center"/>
      <protection hidden="1"/>
    </xf>
    <xf numFmtId="0" fontId="24" fillId="0" borderId="0" xfId="5"/>
    <xf numFmtId="0" fontId="33" fillId="22" borderId="0" xfId="5" applyFont="1" applyFill="1" applyAlignment="1" applyProtection="1">
      <alignment horizontal="center"/>
      <protection hidden="1"/>
    </xf>
    <xf numFmtId="0" fontId="34" fillId="0" borderId="0" xfId="5" applyFont="1" applyAlignment="1">
      <alignment horizontal="center" vertical="center"/>
    </xf>
    <xf numFmtId="0" fontId="35" fillId="0" borderId="0" xfId="5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9" fillId="7" borderId="0" xfId="0" applyFont="1" applyFill="1" applyAlignment="1">
      <alignment horizontal="center"/>
    </xf>
    <xf numFmtId="0" fontId="13" fillId="19" borderId="50" xfId="0" applyFont="1" applyFill="1" applyBorder="1" applyAlignment="1">
      <alignment horizontal="center"/>
    </xf>
    <xf numFmtId="0" fontId="13" fillId="7" borderId="52" xfId="0" applyFont="1" applyFill="1" applyBorder="1" applyAlignment="1">
      <alignment horizontal="center"/>
    </xf>
    <xf numFmtId="0" fontId="13" fillId="7" borderId="47" xfId="0" applyFont="1" applyFill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1" xfId="0" applyBorder="1" applyAlignment="1">
      <alignment horizontal="center"/>
    </xf>
    <xf numFmtId="0" fontId="39" fillId="7" borderId="30" xfId="0" applyFont="1" applyFill="1" applyBorder="1" applyAlignment="1">
      <alignment horizontal="center"/>
    </xf>
    <xf numFmtId="2" fontId="41" fillId="0" borderId="44" xfId="0" applyNumberFormat="1" applyFont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13" fillId="7" borderId="30" xfId="0" applyFont="1" applyFill="1" applyBorder="1" applyAlignment="1">
      <alignment horizontal="center"/>
    </xf>
    <xf numFmtId="0" fontId="42" fillId="2" borderId="4" xfId="1" applyFont="1" applyFill="1" applyBorder="1" applyAlignment="1">
      <alignment horizontal="center" vertical="center"/>
    </xf>
    <xf numFmtId="0" fontId="42" fillId="3" borderId="4" xfId="1" applyFont="1" applyFill="1" applyBorder="1" applyAlignment="1">
      <alignment horizontal="center" vertical="center"/>
    </xf>
    <xf numFmtId="0" fontId="42" fillId="4" borderId="4" xfId="1" applyFont="1" applyFill="1" applyBorder="1" applyAlignment="1">
      <alignment horizontal="center" vertical="center"/>
    </xf>
    <xf numFmtId="0" fontId="42" fillId="0" borderId="44" xfId="1" applyFont="1" applyBorder="1" applyAlignment="1">
      <alignment horizontal="center" vertical="center"/>
    </xf>
    <xf numFmtId="0" fontId="0" fillId="2" borderId="54" xfId="0" applyFill="1" applyBorder="1" applyAlignment="1">
      <alignment horizontal="center" vertical="center" wrapText="1"/>
    </xf>
    <xf numFmtId="0" fontId="0" fillId="2" borderId="55" xfId="1" applyFont="1" applyFill="1" applyBorder="1" applyAlignment="1">
      <alignment horizontal="center" vertical="center"/>
    </xf>
    <xf numFmtId="14" fontId="43" fillId="0" borderId="44" xfId="0" applyNumberFormat="1" applyFont="1" applyBorder="1" applyAlignment="1">
      <alignment horizontal="center" vertical="center"/>
    </xf>
    <xf numFmtId="165" fontId="43" fillId="0" borderId="44" xfId="0" applyNumberFormat="1" applyFont="1" applyBorder="1" applyAlignment="1">
      <alignment horizontal="center" vertical="center"/>
    </xf>
    <xf numFmtId="0" fontId="43" fillId="0" borderId="44" xfId="0" applyFont="1" applyBorder="1" applyAlignment="1">
      <alignment horizontal="center" vertical="center"/>
    </xf>
    <xf numFmtId="0" fontId="43" fillId="2" borderId="44" xfId="0" applyFont="1" applyFill="1" applyBorder="1" applyAlignment="1">
      <alignment horizontal="center" vertical="center"/>
    </xf>
    <xf numFmtId="0" fontId="43" fillId="6" borderId="44" xfId="0" applyFont="1" applyFill="1" applyBorder="1" applyAlignment="1">
      <alignment horizontal="center" vertical="center"/>
    </xf>
    <xf numFmtId="0" fontId="43" fillId="6" borderId="0" xfId="0" applyFont="1" applyFill="1" applyAlignment="1">
      <alignment horizontal="center" vertical="center"/>
    </xf>
    <xf numFmtId="1" fontId="0" fillId="7" borderId="0" xfId="0" applyNumberFormat="1" applyFill="1"/>
    <xf numFmtId="1" fontId="0" fillId="24" borderId="0" xfId="0" applyNumberFormat="1" applyFill="1"/>
    <xf numFmtId="0" fontId="0" fillId="0" borderId="0" xfId="0" pivotButton="1" applyAlignment="1">
      <alignment horizontal="center" vertical="top"/>
    </xf>
    <xf numFmtId="0" fontId="0" fillId="0" borderId="0" xfId="0" pivotButton="1" applyAlignment="1">
      <alignment horizontal="center" vertical="top" wrapText="1"/>
    </xf>
    <xf numFmtId="14" fontId="43" fillId="0" borderId="4" xfId="0" applyNumberFormat="1" applyFont="1" applyBorder="1" applyAlignment="1">
      <alignment horizontal="center" vertical="center"/>
    </xf>
    <xf numFmtId="165" fontId="43" fillId="0" borderId="4" xfId="0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164" fontId="43" fillId="0" borderId="4" xfId="0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18" xfId="1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170" fontId="0" fillId="2" borderId="4" xfId="0" applyNumberFormat="1" applyFill="1" applyBorder="1" applyAlignment="1">
      <alignment horizontal="center" vertical="center"/>
    </xf>
    <xf numFmtId="170" fontId="0" fillId="3" borderId="4" xfId="0" applyNumberFormat="1" applyFill="1" applyBorder="1" applyAlignment="1">
      <alignment horizontal="center" vertical="center"/>
    </xf>
    <xf numFmtId="170" fontId="12" fillId="2" borderId="4" xfId="0" applyNumberFormat="1" applyFont="1" applyFill="1" applyBorder="1" applyAlignment="1">
      <alignment horizontal="center" vertical="center"/>
    </xf>
    <xf numFmtId="170" fontId="4" fillId="2" borderId="4" xfId="0" applyNumberFormat="1" applyFont="1" applyFill="1" applyBorder="1" applyAlignment="1">
      <alignment horizontal="center" vertical="center"/>
    </xf>
    <xf numFmtId="170" fontId="11" fillId="2" borderId="4" xfId="0" applyNumberFormat="1" applyFont="1" applyFill="1" applyBorder="1" applyAlignment="1">
      <alignment horizontal="center" vertical="center"/>
    </xf>
    <xf numFmtId="170" fontId="0" fillId="4" borderId="4" xfId="0" applyNumberFormat="1" applyFill="1" applyBorder="1" applyAlignment="1">
      <alignment horizontal="center" vertical="center"/>
    </xf>
    <xf numFmtId="170" fontId="0" fillId="5" borderId="4" xfId="0" applyNumberFormat="1" applyFill="1" applyBorder="1" applyAlignment="1">
      <alignment horizontal="center" vertical="center"/>
    </xf>
    <xf numFmtId="170" fontId="0" fillId="0" borderId="44" xfId="0" applyNumberFormat="1" applyBorder="1" applyAlignment="1">
      <alignment horizontal="center" vertical="center"/>
    </xf>
    <xf numFmtId="170" fontId="38" fillId="0" borderId="44" xfId="0" applyNumberFormat="1" applyFont="1" applyBorder="1" applyAlignment="1">
      <alignment horizontal="center" vertical="center"/>
    </xf>
    <xf numFmtId="170" fontId="41" fillId="0" borderId="44" xfId="0" applyNumberFormat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4" fontId="22" fillId="0" borderId="44" xfId="0" applyNumberFormat="1" applyFont="1" applyBorder="1" applyAlignment="1">
      <alignment horizontal="center" vertical="center"/>
    </xf>
    <xf numFmtId="14" fontId="23" fillId="0" borderId="44" xfId="0" applyNumberFormat="1" applyFont="1" applyBorder="1" applyAlignment="1">
      <alignment horizontal="center" vertical="center"/>
    </xf>
    <xf numFmtId="169" fontId="22" fillId="0" borderId="44" xfId="0" applyNumberFormat="1" applyFont="1" applyBorder="1" applyAlignment="1">
      <alignment horizontal="center" vertical="center"/>
    </xf>
    <xf numFmtId="169" fontId="23" fillId="0" borderId="44" xfId="0" applyNumberFormat="1" applyFont="1" applyBorder="1" applyAlignment="1">
      <alignment horizontal="center" vertical="center"/>
    </xf>
    <xf numFmtId="165" fontId="22" fillId="0" borderId="44" xfId="0" applyNumberFormat="1" applyFont="1" applyBorder="1" applyAlignment="1">
      <alignment horizontal="center" vertical="center"/>
    </xf>
    <xf numFmtId="165" fontId="23" fillId="0" borderId="44" xfId="0" applyNumberFormat="1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164" fontId="22" fillId="0" borderId="44" xfId="0" applyNumberFormat="1" applyFont="1" applyBorder="1" applyAlignment="1">
      <alignment horizontal="center" vertical="center"/>
    </xf>
    <xf numFmtId="164" fontId="23" fillId="0" borderId="44" xfId="0" applyNumberFormat="1" applyFont="1" applyBorder="1" applyAlignment="1">
      <alignment horizontal="center" vertical="center"/>
    </xf>
    <xf numFmtId="164" fontId="43" fillId="0" borderId="44" xfId="0" applyNumberFormat="1" applyFont="1" applyBorder="1" applyAlignment="1">
      <alignment horizontal="center" vertical="center"/>
    </xf>
    <xf numFmtId="170" fontId="22" fillId="0" borderId="44" xfId="0" applyNumberFormat="1" applyFont="1" applyBorder="1" applyAlignment="1">
      <alignment horizontal="center" vertical="center"/>
    </xf>
    <xf numFmtId="170" fontId="23" fillId="0" borderId="44" xfId="0" applyNumberFormat="1" applyFont="1" applyBorder="1" applyAlignment="1">
      <alignment horizontal="center" vertical="center"/>
    </xf>
    <xf numFmtId="49" fontId="22" fillId="0" borderId="44" xfId="0" applyNumberFormat="1" applyFont="1" applyBorder="1" applyAlignment="1">
      <alignment horizontal="center" vertical="center"/>
    </xf>
    <xf numFmtId="49" fontId="23" fillId="0" borderId="44" xfId="0" applyNumberFormat="1" applyFont="1" applyBorder="1" applyAlignment="1">
      <alignment horizontal="center" vertical="center"/>
    </xf>
    <xf numFmtId="3" fontId="0" fillId="0" borderId="44" xfId="0" applyNumberFormat="1" applyBorder="1" applyAlignment="1">
      <alignment horizontal="center" vertical="center"/>
    </xf>
    <xf numFmtId="0" fontId="42" fillId="0" borderId="4" xfId="1" applyFont="1" applyFill="1" applyBorder="1" applyAlignment="1">
      <alignment horizontal="center"/>
    </xf>
    <xf numFmtId="0" fontId="42" fillId="2" borderId="0" xfId="1" applyFont="1" applyFill="1" applyBorder="1" applyAlignment="1">
      <alignment horizontal="center" vertical="center"/>
    </xf>
    <xf numFmtId="0" fontId="42" fillId="0" borderId="4" xfId="1" applyFont="1" applyFill="1" applyBorder="1" applyAlignment="1">
      <alignment horizontal="center" vertical="center"/>
    </xf>
    <xf numFmtId="14" fontId="11" fillId="2" borderId="44" xfId="0" applyNumberFormat="1" applyFont="1" applyFill="1" applyBorder="1" applyAlignment="1">
      <alignment horizontal="center" vertical="center"/>
    </xf>
    <xf numFmtId="0" fontId="22" fillId="2" borderId="44" xfId="0" applyFont="1" applyFill="1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22" fillId="6" borderId="44" xfId="0" applyFont="1" applyFill="1" applyBorder="1" applyAlignment="1">
      <alignment horizontal="center" vertical="center"/>
    </xf>
    <xf numFmtId="0" fontId="23" fillId="6" borderId="44" xfId="0" applyFont="1" applyFill="1" applyBorder="1" applyAlignment="1">
      <alignment horizontal="center" vertical="center"/>
    </xf>
    <xf numFmtId="0" fontId="45" fillId="10" borderId="56" xfId="0" applyFont="1" applyFill="1" applyBorder="1" applyAlignment="1">
      <alignment horizontal="center" vertical="center" wrapText="1"/>
    </xf>
    <xf numFmtId="0" fontId="46" fillId="30" borderId="57" xfId="0" applyFont="1" applyFill="1" applyBorder="1" applyAlignment="1">
      <alignment horizontal="left" vertical="top" wrapText="1"/>
    </xf>
    <xf numFmtId="49" fontId="43" fillId="0" borderId="44" xfId="0" applyNumberFormat="1" applyFont="1" applyBorder="1" applyAlignment="1">
      <alignment horizontal="center" vertical="center"/>
    </xf>
    <xf numFmtId="0" fontId="30" fillId="26" borderId="30" xfId="3" applyFont="1" applyFill="1" applyBorder="1" applyAlignment="1">
      <alignment horizontal="center" vertical="center"/>
    </xf>
    <xf numFmtId="167" fontId="28" fillId="0" borderId="30" xfId="3" applyNumberFormat="1" applyFont="1" applyBorder="1" applyAlignment="1">
      <alignment horizontal="center" vertical="center"/>
    </xf>
    <xf numFmtId="0" fontId="10" fillId="0" borderId="32" xfId="6" applyNumberFormat="1" applyFont="1" applyFill="1" applyBorder="1" applyAlignment="1">
      <alignment horizontal="center" vertical="center"/>
    </xf>
    <xf numFmtId="0" fontId="10" fillId="0" borderId="29" xfId="6" applyNumberFormat="1" applyFont="1" applyFill="1" applyBorder="1" applyAlignment="1">
      <alignment horizontal="center" vertical="center"/>
    </xf>
    <xf numFmtId="14" fontId="47" fillId="0" borderId="44" xfId="0" applyNumberFormat="1" applyFont="1" applyBorder="1" applyAlignment="1">
      <alignment horizontal="center" vertical="center"/>
    </xf>
    <xf numFmtId="165" fontId="47" fillId="0" borderId="44" xfId="0" applyNumberFormat="1" applyFont="1" applyBorder="1" applyAlignment="1">
      <alignment horizontal="center" vertical="center"/>
    </xf>
    <xf numFmtId="0" fontId="47" fillId="0" borderId="44" xfId="0" applyFont="1" applyBorder="1" applyAlignment="1">
      <alignment horizontal="center" vertical="center"/>
    </xf>
    <xf numFmtId="164" fontId="47" fillId="0" borderId="44" xfId="0" applyNumberFormat="1" applyFont="1" applyBorder="1" applyAlignment="1">
      <alignment horizontal="center" vertical="center"/>
    </xf>
    <xf numFmtId="49" fontId="47" fillId="0" borderId="44" xfId="0" applyNumberFormat="1" applyFont="1" applyBorder="1" applyAlignment="1">
      <alignment horizontal="center" vertical="center"/>
    </xf>
    <xf numFmtId="0" fontId="47" fillId="2" borderId="44" xfId="0" applyFont="1" applyFill="1" applyBorder="1" applyAlignment="1">
      <alignment horizontal="center" vertical="center"/>
    </xf>
    <xf numFmtId="0" fontId="47" fillId="6" borderId="44" xfId="0" applyFont="1" applyFill="1" applyBorder="1" applyAlignment="1">
      <alignment horizontal="center" vertical="center"/>
    </xf>
    <xf numFmtId="0" fontId="47" fillId="6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6" fillId="0" borderId="0" xfId="5" applyFont="1" applyAlignment="1">
      <alignment horizontal="center" vertical="center" wrapText="1"/>
    </xf>
    <xf numFmtId="0" fontId="37" fillId="28" borderId="0" xfId="5" applyFont="1" applyFill="1" applyAlignment="1" applyProtection="1">
      <alignment horizontal="center" vertical="center"/>
      <protection hidden="1"/>
    </xf>
    <xf numFmtId="0" fontId="0" fillId="0" borderId="0" xfId="0" applyAlignment="1">
      <alignment horizontal="right"/>
    </xf>
    <xf numFmtId="0" fontId="40" fillId="6" borderId="0" xfId="5" applyFont="1" applyFill="1" applyAlignment="1">
      <alignment horizontal="center" vertical="center" wrapText="1"/>
    </xf>
    <xf numFmtId="0" fontId="13" fillId="29" borderId="41" xfId="5" applyFont="1" applyFill="1" applyBorder="1" applyAlignment="1">
      <alignment horizontal="center" vertical="center"/>
    </xf>
    <xf numFmtId="0" fontId="13" fillId="29" borderId="43" xfId="5" applyFont="1" applyFill="1" applyBorder="1" applyAlignment="1">
      <alignment horizontal="center" vertical="center"/>
    </xf>
    <xf numFmtId="0" fontId="32" fillId="22" borderId="0" xfId="5" applyFont="1" applyFill="1" applyAlignment="1" applyProtection="1">
      <alignment horizontal="center"/>
      <protection hidden="1"/>
    </xf>
    <xf numFmtId="0" fontId="33" fillId="22" borderId="0" xfId="5" applyFont="1" applyFill="1" applyAlignment="1" applyProtection="1">
      <alignment horizontal="center"/>
      <protection hidden="1"/>
    </xf>
    <xf numFmtId="0" fontId="26" fillId="27" borderId="15" xfId="3" applyFont="1" applyFill="1" applyBorder="1" applyAlignment="1">
      <alignment horizontal="center" vertical="center"/>
    </xf>
    <xf numFmtId="0" fontId="26" fillId="27" borderId="16" xfId="3" applyFont="1" applyFill="1" applyBorder="1" applyAlignment="1">
      <alignment horizontal="center" vertical="center"/>
    </xf>
    <xf numFmtId="0" fontId="26" fillId="27" borderId="17" xfId="3" applyFont="1" applyFill="1" applyBorder="1" applyAlignment="1">
      <alignment horizontal="center" vertical="center"/>
    </xf>
    <xf numFmtId="166" fontId="29" fillId="26" borderId="7" xfId="3" applyNumberFormat="1" applyFont="1" applyFill="1" applyBorder="1" applyAlignment="1">
      <alignment horizontal="center" vertical="center"/>
    </xf>
    <xf numFmtId="166" fontId="29" fillId="26" borderId="9" xfId="3" applyNumberFormat="1" applyFont="1" applyFill="1" applyBorder="1" applyAlignment="1">
      <alignment horizontal="center" vertical="center"/>
    </xf>
    <xf numFmtId="166" fontId="29" fillId="26" borderId="12" xfId="3" applyNumberFormat="1" applyFont="1" applyFill="1" applyBorder="1" applyAlignment="1">
      <alignment horizontal="center" vertical="center"/>
    </xf>
    <xf numFmtId="166" fontId="29" fillId="26" borderId="14" xfId="3" applyNumberFormat="1" applyFont="1" applyFill="1" applyBorder="1" applyAlignment="1">
      <alignment horizontal="center" vertical="center"/>
    </xf>
    <xf numFmtId="0" fontId="26" fillId="16" borderId="21" xfId="0" applyFont="1" applyFill="1" applyBorder="1" applyAlignment="1">
      <alignment horizontal="center" vertical="center"/>
    </xf>
    <xf numFmtId="0" fontId="26" fillId="16" borderId="22" xfId="0" applyFont="1" applyFill="1" applyBorder="1" applyAlignment="1">
      <alignment horizontal="center" vertical="center"/>
    </xf>
    <xf numFmtId="0" fontId="26" fillId="23" borderId="23" xfId="0" applyFont="1" applyFill="1" applyBorder="1" applyAlignment="1">
      <alignment horizontal="center" vertical="center"/>
    </xf>
    <xf numFmtId="0" fontId="26" fillId="23" borderId="24" xfId="0" applyFont="1" applyFill="1" applyBorder="1" applyAlignment="1">
      <alignment horizontal="center" vertical="center"/>
    </xf>
    <xf numFmtId="0" fontId="26" fillId="15" borderId="23" xfId="0" applyFont="1" applyFill="1" applyBorder="1" applyAlignment="1">
      <alignment horizontal="center" vertical="center"/>
    </xf>
    <xf numFmtId="0" fontId="26" fillId="15" borderId="24" xfId="0" applyFont="1" applyFill="1" applyBorder="1" applyAlignment="1">
      <alignment horizontal="center" vertical="center"/>
    </xf>
    <xf numFmtId="0" fontId="26" fillId="20" borderId="23" xfId="0" applyFont="1" applyFill="1" applyBorder="1" applyAlignment="1">
      <alignment horizontal="center" vertical="center"/>
    </xf>
    <xf numFmtId="0" fontId="26" fillId="20" borderId="24" xfId="0" applyFont="1" applyFill="1" applyBorder="1" applyAlignment="1">
      <alignment horizontal="center" vertical="center"/>
    </xf>
    <xf numFmtId="0" fontId="26" fillId="19" borderId="25" xfId="0" applyFont="1" applyFill="1" applyBorder="1" applyAlignment="1">
      <alignment horizontal="center" vertical="center"/>
    </xf>
    <xf numFmtId="0" fontId="26" fillId="19" borderId="27" xfId="0" applyFont="1" applyFill="1" applyBorder="1" applyAlignment="1">
      <alignment horizontal="center" vertical="center"/>
    </xf>
    <xf numFmtId="0" fontId="27" fillId="0" borderId="15" xfId="4" applyNumberFormat="1" applyFont="1" applyBorder="1" applyAlignment="1">
      <alignment horizontal="center" vertical="center"/>
    </xf>
    <xf numFmtId="0" fontId="27" fillId="0" borderId="17" xfId="4" applyNumberFormat="1" applyFont="1" applyBorder="1" applyAlignment="1">
      <alignment horizontal="center" vertical="center"/>
    </xf>
    <xf numFmtId="0" fontId="27" fillId="0" borderId="16" xfId="4" applyNumberFormat="1" applyFont="1" applyBorder="1" applyAlignment="1">
      <alignment horizontal="center" vertical="center"/>
    </xf>
    <xf numFmtId="0" fontId="27" fillId="0" borderId="12" xfId="3" applyFont="1" applyBorder="1" applyAlignment="1">
      <alignment horizontal="center" vertical="center"/>
    </xf>
    <xf numFmtId="0" fontId="27" fillId="0" borderId="13" xfId="3" applyFont="1" applyBorder="1" applyAlignment="1">
      <alignment horizontal="center" vertical="center"/>
    </xf>
    <xf numFmtId="0" fontId="27" fillId="0" borderId="14" xfId="3" applyFont="1" applyBorder="1" applyAlignment="1">
      <alignment horizontal="center" vertical="center"/>
    </xf>
    <xf numFmtId="9" fontId="28" fillId="0" borderId="8" xfId="4" applyFont="1" applyBorder="1" applyAlignment="1">
      <alignment horizontal="center" vertical="center"/>
    </xf>
    <xf numFmtId="9" fontId="15" fillId="0" borderId="8" xfId="4" applyFont="1" applyBorder="1" applyAlignment="1">
      <alignment horizontal="center" vertical="center"/>
    </xf>
    <xf numFmtId="14" fontId="27" fillId="0" borderId="12" xfId="3" applyNumberFormat="1" applyFont="1" applyBorder="1" applyAlignment="1">
      <alignment horizontal="center" vertical="center"/>
    </xf>
    <xf numFmtId="14" fontId="27" fillId="0" borderId="45" xfId="3" applyNumberFormat="1" applyFont="1" applyBorder="1" applyAlignment="1">
      <alignment horizontal="center" vertical="center"/>
    </xf>
    <xf numFmtId="14" fontId="27" fillId="0" borderId="46" xfId="3" applyNumberFormat="1" applyFont="1" applyBorder="1" applyAlignment="1">
      <alignment horizontal="center" vertical="center"/>
    </xf>
    <xf numFmtId="0" fontId="27" fillId="0" borderId="46" xfId="3" applyFont="1" applyBorder="1" applyAlignment="1">
      <alignment horizontal="center" vertical="center"/>
    </xf>
    <xf numFmtId="9" fontId="27" fillId="0" borderId="15" xfId="4" applyFont="1" applyBorder="1" applyAlignment="1">
      <alignment horizontal="center" vertical="center"/>
    </xf>
    <xf numFmtId="9" fontId="27" fillId="0" borderId="17" xfId="4" applyFont="1" applyBorder="1" applyAlignment="1">
      <alignment horizontal="center" vertical="center"/>
    </xf>
    <xf numFmtId="0" fontId="27" fillId="0" borderId="45" xfId="3" applyFont="1" applyBorder="1" applyAlignment="1">
      <alignment horizontal="center" vertical="center"/>
    </xf>
    <xf numFmtId="0" fontId="26" fillId="26" borderId="15" xfId="3" applyFont="1" applyFill="1" applyBorder="1" applyAlignment="1">
      <alignment horizontal="center" vertical="center"/>
    </xf>
    <xf numFmtId="0" fontId="26" fillId="26" borderId="16" xfId="3" applyFont="1" applyFill="1" applyBorder="1" applyAlignment="1">
      <alignment horizontal="center" vertical="center"/>
    </xf>
    <xf numFmtId="0" fontId="26" fillId="26" borderId="17" xfId="3" applyFont="1" applyFill="1" applyBorder="1" applyAlignment="1">
      <alignment horizontal="center" vertical="center"/>
    </xf>
    <xf numFmtId="0" fontId="26" fillId="26" borderId="41" xfId="3" applyFont="1" applyFill="1" applyBorder="1" applyAlignment="1">
      <alignment horizontal="center" vertical="center"/>
    </xf>
    <xf numFmtId="0" fontId="26" fillId="26" borderId="42" xfId="3" applyFont="1" applyFill="1" applyBorder="1" applyAlignment="1">
      <alignment horizontal="center" vertical="center"/>
    </xf>
    <xf numFmtId="0" fontId="26" fillId="26" borderId="43" xfId="3" applyFont="1" applyFill="1" applyBorder="1" applyAlignment="1">
      <alignment horizontal="center" vertical="center"/>
    </xf>
    <xf numFmtId="0" fontId="26" fillId="16" borderId="41" xfId="3" applyFont="1" applyFill="1" applyBorder="1" applyAlignment="1">
      <alignment horizontal="center" vertical="center"/>
    </xf>
    <xf numFmtId="0" fontId="26" fillId="16" borderId="42" xfId="3" applyFont="1" applyFill="1" applyBorder="1" applyAlignment="1">
      <alignment horizontal="center" vertical="center"/>
    </xf>
    <xf numFmtId="0" fontId="26" fillId="4" borderId="42" xfId="3" applyFont="1" applyFill="1" applyBorder="1" applyAlignment="1">
      <alignment horizontal="center" vertical="center"/>
    </xf>
    <xf numFmtId="0" fontId="26" fillId="4" borderId="43" xfId="3" applyFont="1" applyFill="1" applyBorder="1" applyAlignment="1">
      <alignment horizontal="center" vertical="center"/>
    </xf>
    <xf numFmtId="0" fontId="26" fillId="15" borderId="15" xfId="3" applyFont="1" applyFill="1" applyBorder="1" applyAlignment="1">
      <alignment horizontal="center" vertical="center"/>
    </xf>
    <xf numFmtId="0" fontId="26" fillId="15" borderId="17" xfId="3" applyFont="1" applyFill="1" applyBorder="1" applyAlignment="1">
      <alignment horizontal="center" vertical="center"/>
    </xf>
    <xf numFmtId="0" fontId="26" fillId="20" borderId="15" xfId="3" applyFont="1" applyFill="1" applyBorder="1" applyAlignment="1">
      <alignment horizontal="center" vertical="center"/>
    </xf>
    <xf numFmtId="0" fontId="26" fillId="20" borderId="17" xfId="3" applyFont="1" applyFill="1" applyBorder="1" applyAlignment="1">
      <alignment horizontal="center" vertical="center"/>
    </xf>
    <xf numFmtId="0" fontId="26" fillId="19" borderId="15" xfId="3" applyFont="1" applyFill="1" applyBorder="1" applyAlignment="1">
      <alignment horizontal="center" vertical="center"/>
    </xf>
    <xf numFmtId="0" fontId="26" fillId="19" borderId="16" xfId="3" applyFont="1" applyFill="1" applyBorder="1" applyAlignment="1">
      <alignment horizontal="center" vertical="center"/>
    </xf>
    <xf numFmtId="1" fontId="27" fillId="0" borderId="46" xfId="3" applyNumberFormat="1" applyFont="1" applyBorder="1" applyAlignment="1">
      <alignment horizontal="center" vertical="center"/>
    </xf>
    <xf numFmtId="1" fontId="27" fillId="0" borderId="13" xfId="3" applyNumberFormat="1" applyFont="1" applyBorder="1" applyAlignment="1">
      <alignment horizontal="center" vertical="center"/>
    </xf>
    <xf numFmtId="1" fontId="27" fillId="0" borderId="14" xfId="3" applyNumberFormat="1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0" fontId="15" fillId="0" borderId="15" xfId="3" applyFont="1" applyBorder="1" applyAlignment="1">
      <alignment horizontal="center" vertical="center"/>
    </xf>
    <xf numFmtId="0" fontId="15" fillId="0" borderId="16" xfId="3" applyFont="1" applyBorder="1" applyAlignment="1">
      <alignment horizontal="center" vertical="center"/>
    </xf>
    <xf numFmtId="0" fontId="15" fillId="0" borderId="17" xfId="3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9" fillId="17" borderId="38" xfId="0" applyFont="1" applyFill="1" applyBorder="1" applyAlignment="1">
      <alignment horizontal="center"/>
    </xf>
    <xf numFmtId="0" fontId="19" fillId="17" borderId="39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8" fillId="17" borderId="15" xfId="0" applyFont="1" applyFill="1" applyBorder="1" applyAlignment="1">
      <alignment horizontal="center" vertical="center"/>
    </xf>
    <xf numFmtId="0" fontId="18" fillId="17" borderId="16" xfId="0" applyFont="1" applyFill="1" applyBorder="1" applyAlignment="1">
      <alignment horizontal="center" vertical="center"/>
    </xf>
    <xf numFmtId="0" fontId="18" fillId="17" borderId="17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8" fillId="18" borderId="17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7" fillId="16" borderId="2" xfId="0" applyFont="1" applyFill="1" applyBorder="1" applyAlignment="1">
      <alignment horizontal="center"/>
    </xf>
    <xf numFmtId="0" fontId="17" fillId="21" borderId="4" xfId="0" applyFont="1" applyFill="1" applyBorder="1" applyAlignment="1">
      <alignment horizontal="center"/>
    </xf>
    <xf numFmtId="0" fontId="17" fillId="15" borderId="4" xfId="0" applyFont="1" applyFill="1" applyBorder="1" applyAlignment="1">
      <alignment horizontal="center"/>
    </xf>
    <xf numFmtId="0" fontId="17" fillId="20" borderId="4" xfId="0" applyFont="1" applyFill="1" applyBorder="1" applyAlignment="1">
      <alignment horizontal="center"/>
    </xf>
    <xf numFmtId="166" fontId="18" fillId="17" borderId="7" xfId="0" applyNumberFormat="1" applyFont="1" applyFill="1" applyBorder="1" applyAlignment="1">
      <alignment horizontal="center" vertical="center"/>
    </xf>
    <xf numFmtId="166" fontId="18" fillId="17" borderId="8" xfId="0" applyNumberFormat="1" applyFont="1" applyFill="1" applyBorder="1" applyAlignment="1">
      <alignment horizontal="center" vertical="center"/>
    </xf>
    <xf numFmtId="166" fontId="18" fillId="17" borderId="9" xfId="0" applyNumberFormat="1" applyFont="1" applyFill="1" applyBorder="1" applyAlignment="1">
      <alignment horizontal="center" vertical="center"/>
    </xf>
    <xf numFmtId="0" fontId="17" fillId="19" borderId="26" xfId="0" applyFont="1" applyFill="1" applyBorder="1" applyAlignment="1">
      <alignment horizontal="center"/>
    </xf>
    <xf numFmtId="0" fontId="8" fillId="18" borderId="41" xfId="0" applyFont="1" applyFill="1" applyBorder="1" applyAlignment="1">
      <alignment horizontal="center"/>
    </xf>
    <xf numFmtId="0" fontId="8" fillId="18" borderId="42" xfId="0" applyFont="1" applyFill="1" applyBorder="1" applyAlignment="1">
      <alignment horizontal="center"/>
    </xf>
    <xf numFmtId="0" fontId="8" fillId="18" borderId="43" xfId="0" applyFont="1" applyFill="1" applyBorder="1" applyAlignment="1">
      <alignment horizontal="center"/>
    </xf>
    <xf numFmtId="0" fontId="17" fillId="19" borderId="25" xfId="0" applyFont="1" applyFill="1" applyBorder="1" applyAlignment="1">
      <alignment horizontal="center"/>
    </xf>
    <xf numFmtId="0" fontId="17" fillId="15" borderId="23" xfId="0" applyFont="1" applyFill="1" applyBorder="1" applyAlignment="1">
      <alignment horizontal="center"/>
    </xf>
    <xf numFmtId="0" fontId="17" fillId="20" borderId="23" xfId="0" applyFont="1" applyFill="1" applyBorder="1" applyAlignment="1">
      <alignment horizontal="center"/>
    </xf>
    <xf numFmtId="0" fontId="17" fillId="16" borderId="21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23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7" fontId="8" fillId="0" borderId="6" xfId="0" applyNumberFormat="1" applyFont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10" fontId="0" fillId="0" borderId="10" xfId="2" applyNumberFormat="1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0" fontId="0" fillId="0" borderId="11" xfId="2" applyNumberFormat="1" applyFont="1" applyBorder="1" applyAlignment="1">
      <alignment horizontal="center" vertical="center"/>
    </xf>
    <xf numFmtId="10" fontId="0" fillId="0" borderId="12" xfId="2" applyNumberFormat="1" applyFont="1" applyBorder="1" applyAlignment="1">
      <alignment horizontal="center" vertical="center"/>
    </xf>
    <xf numFmtId="10" fontId="0" fillId="0" borderId="13" xfId="2" applyNumberFormat="1" applyFont="1" applyBorder="1" applyAlignment="1">
      <alignment horizontal="center" vertical="center"/>
    </xf>
    <xf numFmtId="10" fontId="0" fillId="0" borderId="14" xfId="2" applyNumberFormat="1" applyFont="1" applyBorder="1" applyAlignment="1">
      <alignment horizontal="center" vertical="center"/>
    </xf>
    <xf numFmtId="49" fontId="0" fillId="0" borderId="44" xfId="0" applyNumberFormat="1" applyFont="1" applyBorder="1" applyAlignment="1">
      <alignment horizontal="center" vertical="center"/>
    </xf>
    <xf numFmtId="169" fontId="0" fillId="2" borderId="44" xfId="0" applyNumberFormat="1" applyFont="1" applyFill="1" applyBorder="1" applyAlignment="1">
      <alignment horizontal="center" vertical="center"/>
    </xf>
    <xf numFmtId="0" fontId="0" fillId="6" borderId="44" xfId="0" applyNumberFormat="1" applyFill="1" applyBorder="1" applyAlignment="1">
      <alignment horizontal="center" vertical="center"/>
    </xf>
    <xf numFmtId="0" fontId="0" fillId="6" borderId="44" xfId="0" applyNumberFormat="1" applyFont="1" applyFill="1" applyBorder="1" applyAlignment="1">
      <alignment horizontal="center" vertical="center"/>
    </xf>
    <xf numFmtId="49" fontId="0" fillId="2" borderId="44" xfId="0" applyNumberFormat="1" applyFon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 wrapText="1"/>
    </xf>
    <xf numFmtId="0" fontId="42" fillId="0" borderId="44" xfId="0" applyFont="1" applyBorder="1" applyAlignment="1">
      <alignment horizontal="center" vertical="center"/>
    </xf>
    <xf numFmtId="0" fontId="47" fillId="2" borderId="44" xfId="0" applyNumberFormat="1" applyFont="1" applyFill="1" applyBorder="1" applyAlignment="1">
      <alignment horizontal="center" vertical="center"/>
    </xf>
    <xf numFmtId="0" fontId="0" fillId="2" borderId="44" xfId="0" applyNumberFormat="1" applyFont="1" applyFill="1" applyBorder="1" applyAlignment="1">
      <alignment horizontal="center" vertical="center"/>
    </xf>
    <xf numFmtId="0" fontId="47" fillId="6" borderId="44" xfId="0" applyNumberFormat="1" applyFont="1" applyFill="1" applyBorder="1" applyAlignment="1">
      <alignment horizontal="center" vertical="center"/>
    </xf>
    <xf numFmtId="0" fontId="47" fillId="6" borderId="0" xfId="0" applyNumberFormat="1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 wrapText="1"/>
    </xf>
    <xf numFmtId="14" fontId="0" fillId="0" borderId="44" xfId="0" applyNumberFormat="1" applyFont="1" applyBorder="1" applyAlignment="1">
      <alignment horizontal="center" vertical="center"/>
    </xf>
    <xf numFmtId="165" fontId="0" fillId="0" borderId="44" xfId="0" applyNumberFormat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164" fontId="0" fillId="0" borderId="44" xfId="0" applyNumberFormat="1" applyFont="1" applyBorder="1" applyAlignment="1">
      <alignment horizontal="center" vertical="center"/>
    </xf>
    <xf numFmtId="0" fontId="0" fillId="6" borderId="44" xfId="0" applyFont="1" applyFill="1" applyBorder="1" applyAlignment="1">
      <alignment horizontal="center" vertical="center"/>
    </xf>
    <xf numFmtId="0" fontId="0" fillId="6" borderId="0" xfId="0" applyNumberFormat="1" applyFont="1" applyFill="1" applyBorder="1" applyAlignment="1">
      <alignment horizontal="center" vertical="center"/>
    </xf>
  </cellXfs>
  <cellStyles count="7">
    <cellStyle name="Hiperlink" xfId="1" builtinId="8"/>
    <cellStyle name="Normal" xfId="0" builtinId="0"/>
    <cellStyle name="Normal - Style1" xfId="3" xr:uid="{D1BB90E0-DBE2-4C32-9709-A344F6418EE5}"/>
    <cellStyle name="Normal 2 2" xfId="5" xr:uid="{920BE982-6188-4B97-878D-793A1789AB20}"/>
    <cellStyle name="Porcentagem" xfId="2" builtinId="5"/>
    <cellStyle name="Porcentagem 2" xfId="4" xr:uid="{88D1DE6D-B208-444C-B044-1D2E88FCBC0B}"/>
    <cellStyle name="Vírgula 3" xfId="6" xr:uid="{070FA747-F84D-4E4F-9224-4A151304399C}"/>
  </cellStyles>
  <dxfs count="74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lightGray"/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lightGray"/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/>
        <vertAlign val="baseline"/>
        <sz val="11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00\ \°\C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64" formatCode="0\ &quot;Km/h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65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ddd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  <color rgb="FFF49414"/>
      <color rgb="FFFF0000"/>
      <color rgb="FFFF2F2F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pivotCacheDefinition" Target="pivotCache/pivotCacheDefinition2.xml"/><Relationship Id="rId21" Type="http://schemas.openxmlformats.org/officeDocument/2006/relationships/externalLink" Target="externalLinks/externalLink5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microsoft.com/office/2007/relationships/slicerCache" Target="slicerCaches/slicer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microsoft.com/office/2007/relationships/slicerCache" Target="slicerCaches/slicerCache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microsoft.com/office/2007/relationships/slicerCache" Target="slicerCaches/slicerCache1.xml"/><Relationship Id="rId30" Type="http://schemas.microsoft.com/office/2007/relationships/slicerCache" Target="slicerCaches/slicerCache4.xml"/><Relationship Id="rId35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Repetibilidade de ocorrências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'Alertas PCDS'!$D$90:$D$181</c:f>
              <c:numCache>
                <c:formatCode>General</c:formatCode>
                <c:ptCount val="92"/>
                <c:pt idx="0">
                  <c:v>151</c:v>
                </c:pt>
                <c:pt idx="1">
                  <c:v>108</c:v>
                </c:pt>
                <c:pt idx="2">
                  <c:v>63</c:v>
                </c:pt>
                <c:pt idx="3">
                  <c:v>182</c:v>
                </c:pt>
                <c:pt idx="4">
                  <c:v>93</c:v>
                </c:pt>
                <c:pt idx="5">
                  <c:v>477</c:v>
                </c:pt>
                <c:pt idx="6">
                  <c:v>54</c:v>
                </c:pt>
                <c:pt idx="7">
                  <c:v>74</c:v>
                </c:pt>
                <c:pt idx="8">
                  <c:v>82</c:v>
                </c:pt>
                <c:pt idx="9">
                  <c:v>110</c:v>
                </c:pt>
                <c:pt idx="10">
                  <c:v>80</c:v>
                </c:pt>
                <c:pt idx="11">
                  <c:v>71</c:v>
                </c:pt>
                <c:pt idx="12">
                  <c:v>92</c:v>
                </c:pt>
                <c:pt idx="13">
                  <c:v>59</c:v>
                </c:pt>
                <c:pt idx="14">
                  <c:v>158</c:v>
                </c:pt>
                <c:pt idx="15">
                  <c:v>167</c:v>
                </c:pt>
                <c:pt idx="16">
                  <c:v>163</c:v>
                </c:pt>
                <c:pt idx="17">
                  <c:v>102</c:v>
                </c:pt>
                <c:pt idx="18">
                  <c:v>66</c:v>
                </c:pt>
                <c:pt idx="19">
                  <c:v>475</c:v>
                </c:pt>
                <c:pt idx="20">
                  <c:v>76</c:v>
                </c:pt>
                <c:pt idx="21">
                  <c:v>603</c:v>
                </c:pt>
                <c:pt idx="22">
                  <c:v>61</c:v>
                </c:pt>
                <c:pt idx="23">
                  <c:v>286</c:v>
                </c:pt>
                <c:pt idx="24">
                  <c:v>54</c:v>
                </c:pt>
                <c:pt idx="25">
                  <c:v>84</c:v>
                </c:pt>
                <c:pt idx="26">
                  <c:v>118</c:v>
                </c:pt>
                <c:pt idx="27">
                  <c:v>152</c:v>
                </c:pt>
                <c:pt idx="28">
                  <c:v>51</c:v>
                </c:pt>
                <c:pt idx="29">
                  <c:v>96</c:v>
                </c:pt>
                <c:pt idx="30">
                  <c:v>119</c:v>
                </c:pt>
                <c:pt idx="31">
                  <c:v>76</c:v>
                </c:pt>
                <c:pt idx="32">
                  <c:v>403</c:v>
                </c:pt>
                <c:pt idx="33">
                  <c:v>51</c:v>
                </c:pt>
                <c:pt idx="34">
                  <c:v>720</c:v>
                </c:pt>
                <c:pt idx="35">
                  <c:v>76</c:v>
                </c:pt>
                <c:pt idx="36">
                  <c:v>75</c:v>
                </c:pt>
                <c:pt idx="37">
                  <c:v>113</c:v>
                </c:pt>
                <c:pt idx="38">
                  <c:v>105</c:v>
                </c:pt>
                <c:pt idx="39">
                  <c:v>75</c:v>
                </c:pt>
                <c:pt idx="40">
                  <c:v>83</c:v>
                </c:pt>
                <c:pt idx="41">
                  <c:v>52</c:v>
                </c:pt>
                <c:pt idx="42">
                  <c:v>54</c:v>
                </c:pt>
                <c:pt idx="43">
                  <c:v>664</c:v>
                </c:pt>
                <c:pt idx="44">
                  <c:v>465</c:v>
                </c:pt>
                <c:pt idx="45">
                  <c:v>184</c:v>
                </c:pt>
                <c:pt idx="46">
                  <c:v>113</c:v>
                </c:pt>
                <c:pt idx="47">
                  <c:v>60</c:v>
                </c:pt>
                <c:pt idx="48">
                  <c:v>76</c:v>
                </c:pt>
                <c:pt idx="49">
                  <c:v>152</c:v>
                </c:pt>
                <c:pt idx="50">
                  <c:v>67</c:v>
                </c:pt>
                <c:pt idx="51">
                  <c:v>1704</c:v>
                </c:pt>
                <c:pt idx="52">
                  <c:v>1547</c:v>
                </c:pt>
                <c:pt idx="53">
                  <c:v>1750</c:v>
                </c:pt>
                <c:pt idx="54">
                  <c:v>51</c:v>
                </c:pt>
                <c:pt idx="55">
                  <c:v>58</c:v>
                </c:pt>
                <c:pt idx="56">
                  <c:v>68</c:v>
                </c:pt>
                <c:pt idx="57">
                  <c:v>50</c:v>
                </c:pt>
                <c:pt idx="58">
                  <c:v>396</c:v>
                </c:pt>
                <c:pt idx="59">
                  <c:v>58</c:v>
                </c:pt>
                <c:pt idx="60">
                  <c:v>52</c:v>
                </c:pt>
                <c:pt idx="61">
                  <c:v>54</c:v>
                </c:pt>
                <c:pt idx="62">
                  <c:v>67</c:v>
                </c:pt>
                <c:pt idx="63">
                  <c:v>237</c:v>
                </c:pt>
                <c:pt idx="64">
                  <c:v>64</c:v>
                </c:pt>
                <c:pt idx="65">
                  <c:v>76</c:v>
                </c:pt>
                <c:pt idx="66">
                  <c:v>80</c:v>
                </c:pt>
                <c:pt idx="67">
                  <c:v>118</c:v>
                </c:pt>
                <c:pt idx="68">
                  <c:v>67</c:v>
                </c:pt>
                <c:pt idx="69">
                  <c:v>53</c:v>
                </c:pt>
                <c:pt idx="70">
                  <c:v>127</c:v>
                </c:pt>
                <c:pt idx="71">
                  <c:v>63</c:v>
                </c:pt>
                <c:pt idx="72">
                  <c:v>176</c:v>
                </c:pt>
                <c:pt idx="73">
                  <c:v>51</c:v>
                </c:pt>
                <c:pt idx="74">
                  <c:v>65</c:v>
                </c:pt>
                <c:pt idx="75">
                  <c:v>52</c:v>
                </c:pt>
                <c:pt idx="76">
                  <c:v>191</c:v>
                </c:pt>
                <c:pt idx="77">
                  <c:v>58</c:v>
                </c:pt>
                <c:pt idx="78">
                  <c:v>52</c:v>
                </c:pt>
                <c:pt idx="79">
                  <c:v>60</c:v>
                </c:pt>
                <c:pt idx="80">
                  <c:v>128</c:v>
                </c:pt>
                <c:pt idx="81">
                  <c:v>53</c:v>
                </c:pt>
                <c:pt idx="82">
                  <c:v>221</c:v>
                </c:pt>
                <c:pt idx="83">
                  <c:v>52</c:v>
                </c:pt>
                <c:pt idx="84">
                  <c:v>127</c:v>
                </c:pt>
                <c:pt idx="85">
                  <c:v>52</c:v>
                </c:pt>
                <c:pt idx="86">
                  <c:v>126</c:v>
                </c:pt>
                <c:pt idx="87">
                  <c:v>57</c:v>
                </c:pt>
                <c:pt idx="88">
                  <c:v>77</c:v>
                </c:pt>
                <c:pt idx="89">
                  <c:v>92</c:v>
                </c:pt>
                <c:pt idx="90">
                  <c:v>99</c:v>
                </c:pt>
                <c:pt idx="91">
                  <c:v>274</c:v>
                </c:pt>
              </c:numCache>
            </c:numRef>
          </c:xVal>
          <c:yVal>
            <c:numRef>
              <c:f>'Alertas PCDS'!$N$6:$N$185</c:f>
              <c:numCache>
                <c:formatCode>General</c:formatCode>
                <c:ptCount val="180"/>
                <c:pt idx="0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2">
                  <c:v>1</c:v>
                </c:pt>
                <c:pt idx="13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6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9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90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6-4B12-8423-91B8402F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04960"/>
        <c:axId val="998103712"/>
      </c:scatterChart>
      <c:valAx>
        <c:axId val="9981049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103712"/>
        <c:crosses val="autoZero"/>
        <c:crossBetween val="midCat"/>
        <c:majorUnit val="100"/>
      </c:valAx>
      <c:valAx>
        <c:axId val="9981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1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Melhorias Realizadas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0AB-4B06-AB1D-055B3B00C1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0AB-4B06-AB1D-055B3B00C1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0AB-4B06-AB1D-055B3B00C1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0AB-4B06-AB1D-055B3B00C1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0AB-4B06-AB1D-055B3B00C1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0AB-4B06-AB1D-055B3B00C16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0570134-9FAE-49DC-8579-93C3089EBD84}" type="VALUE">
                      <a:rPr lang="en-US"/>
                      <a:pPr/>
                      <a:t>[VALOR]</a:t>
                    </a:fld>
                    <a:r>
                      <a:rPr lang="en-US" baseline="0"/>
                      <a:t>; 76%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0AB-4B06-AB1D-055B3B00C1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CF9AFD-01E9-41B0-9DC9-0A3C5D9D9724}" type="VALUE">
                      <a:rPr lang="en-US"/>
                      <a:pPr/>
                      <a:t>[VALOR]</a:t>
                    </a:fld>
                    <a:r>
                      <a:rPr lang="en-US" baseline="0"/>
                      <a:t>; 24%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0AB-4B06-AB1D-055B3B00C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'Melhorias Realizadas'!$C$10:$H$10</c:f>
              <c:numCache>
                <c:formatCode>General</c:formatCode>
                <c:ptCount val="6"/>
                <c:pt idx="0">
                  <c:v>181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F-492F-B77B-2FC80A6B0D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0D-00AB-4B06-AB1D-055B3B00C16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0F-00AB-4B06-AB1D-055B3B00C16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1-00AB-4B06-AB1D-055B3B00C16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3-00AB-4B06-AB1D-055B3B00C16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5-00AB-4B06-AB1D-055B3B00C16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7-00AB-4B06-AB1D-055B3B00C16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'Melhorias Realizadas'!$C$11:$H$11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0DF-492F-B77B-2FC80A6B0D2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Horário</a:t>
            </a:r>
          </a:p>
        </c:rich>
      </c:tx>
      <c:layout>
        <c:manualLayout>
          <c:xMode val="edge"/>
          <c:yMode val="edge"/>
          <c:x val="0"/>
          <c:y val="3.59197359542065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19318650919367"/>
          <c:y val="0.10318128746410297"/>
          <c:w val="0.75982119977520735"/>
          <c:h val="0.81252914505342555"/>
        </c:manualLayout>
      </c:layout>
      <c:radarChart>
        <c:radarStyle val="marker"/>
        <c:varyColors val="0"/>
        <c:ser>
          <c:idx val="1"/>
          <c:order val="0"/>
          <c:tx>
            <c:strRef>
              <c:f>Hora!$I$2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Hora!$I$3:$I$26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7-48E4-93EF-A3FF2345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48752"/>
        <c:axId val="2046447920"/>
      </c:radarChart>
      <c:catAx>
        <c:axId val="20464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447920"/>
        <c:crosses val="autoZero"/>
        <c:auto val="1"/>
        <c:lblAlgn val="ctr"/>
        <c:lblOffset val="100"/>
        <c:noMultiLvlLbl val="0"/>
      </c:catAx>
      <c:valAx>
        <c:axId val="20464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4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032131134509587E-2"/>
          <c:y val="7.7586272727966948E-2"/>
          <c:w val="0.96144109292006574"/>
          <c:h val="0.754870142266954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Painel_Operacional!$B$22:$M$22</c:f>
              <c:strCache>
                <c:ptCount val="12"/>
                <c:pt idx="0">
                  <c:v>JAN</c:v>
                </c:pt>
                <c:pt idx="1">
                  <c:v>FER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Painel_Operacional!$B$30:$M$30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35</c:v>
                </c:pt>
                <c:pt idx="7">
                  <c:v>32</c:v>
                </c:pt>
                <c:pt idx="8">
                  <c:v>38</c:v>
                </c:pt>
                <c:pt idx="9">
                  <c:v>18</c:v>
                </c:pt>
                <c:pt idx="10">
                  <c:v>18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C-40D4-AD29-BF6C4571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411758959"/>
        <c:axId val="1411759791"/>
      </c:barChart>
      <c:catAx>
        <c:axId val="14117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759791"/>
        <c:crosses val="autoZero"/>
        <c:auto val="1"/>
        <c:lblAlgn val="ctr"/>
        <c:lblOffset val="100"/>
        <c:noMultiLvlLbl val="0"/>
      </c:catAx>
      <c:valAx>
        <c:axId val="1411759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17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Painel_Operacional!$O$22</c:f>
              <c:strCache>
                <c:ptCount val="1"/>
                <c:pt idx="0">
                  <c:v>-500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CFDDE86-1611-4994-8F01-2FA16F86B502}" type="VALUE">
                      <a:rPr lang="en-US" sz="14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209118158485745"/>
                      <c:h val="0.122502059927770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3D0-4886-ABAE-E01905E6F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Painel_Operacional!$O$30</c:f>
              <c:numCache>
                <c:formatCode>General</c:formatCode>
                <c:ptCount val="1"/>
                <c:pt idx="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0-4886-ABAE-E01905E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393309759"/>
        <c:axId val="1393308511"/>
      </c:barChart>
      <c:barChart>
        <c:barDir val="col"/>
        <c:grouping val="stacked"/>
        <c:varyColors val="0"/>
        <c:ser>
          <c:idx val="1"/>
          <c:order val="1"/>
          <c:tx>
            <c:strRef>
              <c:f>Painel_Operacional!$P$22</c:f>
              <c:strCache>
                <c:ptCount val="1"/>
                <c:pt idx="0">
                  <c:v>+500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571141427456767E-17"/>
                  <c:y val="-7.22063532493996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8996527966191612"/>
                      <c:h val="0.173320333823859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3D0-4886-ABAE-E01905E6F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Painel_Operacional!$P$30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0-4886-ABAE-E01905E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5186639"/>
        <c:axId val="1345187887"/>
      </c:barChart>
      <c:catAx>
        <c:axId val="1393309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3308511"/>
        <c:crosses val="autoZero"/>
        <c:auto val="1"/>
        <c:lblAlgn val="ctr"/>
        <c:lblOffset val="100"/>
        <c:noMultiLvlLbl val="0"/>
      </c:catAx>
      <c:valAx>
        <c:axId val="1393308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3309759"/>
        <c:crosses val="autoZero"/>
        <c:crossBetween val="between"/>
      </c:valAx>
      <c:valAx>
        <c:axId val="134518788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45186639"/>
        <c:crosses val="max"/>
        <c:crossBetween val="between"/>
      </c:valAx>
      <c:catAx>
        <c:axId val="1345186639"/>
        <c:scaling>
          <c:orientation val="minMax"/>
        </c:scaling>
        <c:delete val="1"/>
        <c:axPos val="b"/>
        <c:majorTickMark val="out"/>
        <c:minorTickMark val="none"/>
        <c:tickLblPos val="nextTo"/>
        <c:crossAx val="1345187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'DIN - PO'!$K$27</c:f>
              <c:strCache>
                <c:ptCount val="1"/>
                <c:pt idx="0">
                  <c:v>Deodoro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 - PO'!$L$26:$R$26</c:f>
              <c:strCache>
                <c:ptCount val="7"/>
                <c:pt idx="0">
                  <c:v>DOM</c:v>
                </c:pt>
                <c:pt idx="1">
                  <c:v>SÁB</c:v>
                </c:pt>
                <c:pt idx="2">
                  <c:v>SEX</c:v>
                </c:pt>
                <c:pt idx="3">
                  <c:v>QUI</c:v>
                </c:pt>
                <c:pt idx="4">
                  <c:v>QUA</c:v>
                </c:pt>
                <c:pt idx="5">
                  <c:v>TER</c:v>
                </c:pt>
                <c:pt idx="6">
                  <c:v>SEG</c:v>
                </c:pt>
              </c:strCache>
            </c:strRef>
          </c:cat>
          <c:val>
            <c:numRef>
              <c:f>'DIN - PO'!$L$27:$R$27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4-4E82-B3FC-F94957D34C10}"/>
            </c:ext>
          </c:extLst>
        </c:ser>
        <c:ser>
          <c:idx val="1"/>
          <c:order val="1"/>
          <c:tx>
            <c:strRef>
              <c:f>'DIN - PO'!$K$28</c:f>
              <c:strCache>
                <c:ptCount val="1"/>
                <c:pt idx="0">
                  <c:v>Japeri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 - PO'!$L$26:$R$26</c:f>
              <c:strCache>
                <c:ptCount val="7"/>
                <c:pt idx="0">
                  <c:v>DOM</c:v>
                </c:pt>
                <c:pt idx="1">
                  <c:v>SÁB</c:v>
                </c:pt>
                <c:pt idx="2">
                  <c:v>SEX</c:v>
                </c:pt>
                <c:pt idx="3">
                  <c:v>QUI</c:v>
                </c:pt>
                <c:pt idx="4">
                  <c:v>QUA</c:v>
                </c:pt>
                <c:pt idx="5">
                  <c:v>TER</c:v>
                </c:pt>
                <c:pt idx="6">
                  <c:v>SEG</c:v>
                </c:pt>
              </c:strCache>
            </c:strRef>
          </c:cat>
          <c:val>
            <c:numRef>
              <c:f>'DIN - PO'!$L$28:$R$28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4-4E82-B3FC-F94957D34C10}"/>
            </c:ext>
          </c:extLst>
        </c:ser>
        <c:ser>
          <c:idx val="2"/>
          <c:order val="2"/>
          <c:tx>
            <c:strRef>
              <c:f>'DIN - PO'!$K$29</c:f>
              <c:strCache>
                <c:ptCount val="1"/>
                <c:pt idx="0">
                  <c:v>Paracambi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'DIN - PO'!$L$26:$R$26</c:f>
              <c:strCache>
                <c:ptCount val="7"/>
                <c:pt idx="0">
                  <c:v>DOM</c:v>
                </c:pt>
                <c:pt idx="1">
                  <c:v>SÁB</c:v>
                </c:pt>
                <c:pt idx="2">
                  <c:v>SEX</c:v>
                </c:pt>
                <c:pt idx="3">
                  <c:v>QUI</c:v>
                </c:pt>
                <c:pt idx="4">
                  <c:v>QUA</c:v>
                </c:pt>
                <c:pt idx="5">
                  <c:v>TER</c:v>
                </c:pt>
                <c:pt idx="6">
                  <c:v>SEG</c:v>
                </c:pt>
              </c:strCache>
            </c:strRef>
          </c:cat>
          <c:val>
            <c:numRef>
              <c:f>'DIN - PO'!$L$29:$R$29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4-4E82-B3FC-F94957D34C10}"/>
            </c:ext>
          </c:extLst>
        </c:ser>
        <c:ser>
          <c:idx val="3"/>
          <c:order val="3"/>
          <c:tx>
            <c:strRef>
              <c:f>'DIN - PO'!$K$30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 - PO'!$L$26:$R$26</c:f>
              <c:strCache>
                <c:ptCount val="7"/>
                <c:pt idx="0">
                  <c:v>DOM</c:v>
                </c:pt>
                <c:pt idx="1">
                  <c:v>SÁB</c:v>
                </c:pt>
                <c:pt idx="2">
                  <c:v>SEX</c:v>
                </c:pt>
                <c:pt idx="3">
                  <c:v>QUI</c:v>
                </c:pt>
                <c:pt idx="4">
                  <c:v>QUA</c:v>
                </c:pt>
                <c:pt idx="5">
                  <c:v>TER</c:v>
                </c:pt>
                <c:pt idx="6">
                  <c:v>SEG</c:v>
                </c:pt>
              </c:strCache>
            </c:strRef>
          </c:cat>
          <c:val>
            <c:numRef>
              <c:f>'DIN - PO'!$L$30:$R$30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4-4E82-B3FC-F94957D34C10}"/>
            </c:ext>
          </c:extLst>
        </c:ser>
        <c:ser>
          <c:idx val="4"/>
          <c:order val="4"/>
          <c:tx>
            <c:strRef>
              <c:f>'DIN - PO'!$K$31</c:f>
              <c:strCache>
                <c:ptCount val="1"/>
                <c:pt idx="0">
                  <c:v>Gramacho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 - PO'!$L$26:$R$26</c:f>
              <c:strCache>
                <c:ptCount val="7"/>
                <c:pt idx="0">
                  <c:v>DOM</c:v>
                </c:pt>
                <c:pt idx="1">
                  <c:v>SÁB</c:v>
                </c:pt>
                <c:pt idx="2">
                  <c:v>SEX</c:v>
                </c:pt>
                <c:pt idx="3">
                  <c:v>QUI</c:v>
                </c:pt>
                <c:pt idx="4">
                  <c:v>QUA</c:v>
                </c:pt>
                <c:pt idx="5">
                  <c:v>TER</c:v>
                </c:pt>
                <c:pt idx="6">
                  <c:v>SEG</c:v>
                </c:pt>
              </c:strCache>
            </c:strRef>
          </c:cat>
          <c:val>
            <c:numRef>
              <c:f>'DIN - PO'!$L$31:$R$31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64-4E82-B3FC-F94957D34C10}"/>
            </c:ext>
          </c:extLst>
        </c:ser>
        <c:ser>
          <c:idx val="5"/>
          <c:order val="5"/>
          <c:tx>
            <c:strRef>
              <c:f>'DIN - PO'!$K$32</c:f>
              <c:strCache>
                <c:ptCount val="1"/>
                <c:pt idx="0">
                  <c:v>Saracuruna</c:v>
                </c:pt>
              </c:strCache>
            </c:strRef>
          </c:tx>
          <c:spPr>
            <a:solidFill>
              <a:srgbClr val="F4941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 - PO'!$L$26:$R$26</c:f>
              <c:strCache>
                <c:ptCount val="7"/>
                <c:pt idx="0">
                  <c:v>DOM</c:v>
                </c:pt>
                <c:pt idx="1">
                  <c:v>SÁB</c:v>
                </c:pt>
                <c:pt idx="2">
                  <c:v>SEX</c:v>
                </c:pt>
                <c:pt idx="3">
                  <c:v>QUI</c:v>
                </c:pt>
                <c:pt idx="4">
                  <c:v>QUA</c:v>
                </c:pt>
                <c:pt idx="5">
                  <c:v>TER</c:v>
                </c:pt>
                <c:pt idx="6">
                  <c:v>SEG</c:v>
                </c:pt>
              </c:strCache>
            </c:strRef>
          </c:cat>
          <c:val>
            <c:numRef>
              <c:f>'DIN - PO'!$L$32:$R$32</c:f>
              <c:numCache>
                <c:formatCode>General</c:formatCode>
                <c:ptCount val="7"/>
                <c:pt idx="0">
                  <c:v>1</c:v>
                </c:pt>
                <c:pt idx="1">
                  <c:v>17</c:v>
                </c:pt>
                <c:pt idx="2">
                  <c:v>3</c:v>
                </c:pt>
                <c:pt idx="3">
                  <c:v>16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64-4E82-B3FC-F94957D34C10}"/>
            </c:ext>
          </c:extLst>
        </c:ser>
        <c:ser>
          <c:idx val="6"/>
          <c:order val="6"/>
          <c:tx>
            <c:strRef>
              <c:f>'DIN - PO'!$K$33</c:f>
              <c:strCache>
                <c:ptCount val="1"/>
                <c:pt idx="0">
                  <c:v>B. Roxo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 - PO'!$L$26:$R$26</c:f>
              <c:strCache>
                <c:ptCount val="7"/>
                <c:pt idx="0">
                  <c:v>DOM</c:v>
                </c:pt>
                <c:pt idx="1">
                  <c:v>SÁB</c:v>
                </c:pt>
                <c:pt idx="2">
                  <c:v>SEX</c:v>
                </c:pt>
                <c:pt idx="3">
                  <c:v>QUI</c:v>
                </c:pt>
                <c:pt idx="4">
                  <c:v>QUA</c:v>
                </c:pt>
                <c:pt idx="5">
                  <c:v>TER</c:v>
                </c:pt>
                <c:pt idx="6">
                  <c:v>SEG</c:v>
                </c:pt>
              </c:strCache>
            </c:strRef>
          </c:cat>
          <c:val>
            <c:numRef>
              <c:f>'DIN - PO'!$L$33:$R$33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64-4E82-B3FC-F94957D3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40691519"/>
        <c:axId val="440676959"/>
      </c:barChart>
      <c:catAx>
        <c:axId val="44069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76959"/>
        <c:crosses val="autoZero"/>
        <c:auto val="1"/>
        <c:lblAlgn val="ctr"/>
        <c:lblOffset val="100"/>
        <c:noMultiLvlLbl val="0"/>
      </c:catAx>
      <c:valAx>
        <c:axId val="4406769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406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663324747920725E-2"/>
          <c:y val="6.0601851851851872E-2"/>
          <c:w val="0.9554467610641012"/>
          <c:h val="0.62042915616234828"/>
        </c:manualLayout>
      </c:layout>
      <c:barChart>
        <c:barDir val="col"/>
        <c:grouping val="clustered"/>
        <c:varyColors val="0"/>
        <c:ser>
          <c:idx val="1"/>
          <c:order val="1"/>
          <c:tx>
            <c:v>Ordem de serviço registrada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 - PO'!$Q$15:$Q$21</c:f>
              <c:strCache>
                <c:ptCount val="7"/>
                <c:pt idx="0">
                  <c:v>Deodoro</c:v>
                </c:pt>
                <c:pt idx="1">
                  <c:v>Japeri</c:v>
                </c:pt>
                <c:pt idx="2">
                  <c:v>Paracambi</c:v>
                </c:pt>
                <c:pt idx="3">
                  <c:v>Santa Cruz</c:v>
                </c:pt>
                <c:pt idx="4">
                  <c:v>Gramacho</c:v>
                </c:pt>
                <c:pt idx="5">
                  <c:v>Saracuruna</c:v>
                </c:pt>
                <c:pt idx="6">
                  <c:v>B. Roxo</c:v>
                </c:pt>
              </c:strCache>
            </c:strRef>
          </c:cat>
          <c:val>
            <c:numRef>
              <c:f>'DIN - PO'!$S$15:$S$21</c:f>
              <c:numCache>
                <c:formatCode>General</c:formatCode>
                <c:ptCount val="7"/>
                <c:pt idx="0">
                  <c:v>18</c:v>
                </c:pt>
                <c:pt idx="1">
                  <c:v>27</c:v>
                </c:pt>
                <c:pt idx="2">
                  <c:v>0</c:v>
                </c:pt>
                <c:pt idx="3">
                  <c:v>25</c:v>
                </c:pt>
                <c:pt idx="4">
                  <c:v>3</c:v>
                </c:pt>
                <c:pt idx="5">
                  <c:v>27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625-A3B6-29F0B92E1631}"/>
            </c:ext>
          </c:extLst>
        </c:ser>
        <c:ser>
          <c:idx val="3"/>
          <c:order val="2"/>
          <c:tx>
            <c:strRef>
              <c:f>'DIN - PO'!$U$14</c:f>
              <c:strCache>
                <c:ptCount val="1"/>
                <c:pt idx="0">
                  <c:v>Melhoria realizada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 - PO'!$Q$15:$Q$21</c:f>
              <c:strCache>
                <c:ptCount val="7"/>
                <c:pt idx="0">
                  <c:v>Deodoro</c:v>
                </c:pt>
                <c:pt idx="1">
                  <c:v>Japeri</c:v>
                </c:pt>
                <c:pt idx="2">
                  <c:v>Paracambi</c:v>
                </c:pt>
                <c:pt idx="3">
                  <c:v>Santa Cruz</c:v>
                </c:pt>
                <c:pt idx="4">
                  <c:v>Gramacho</c:v>
                </c:pt>
                <c:pt idx="5">
                  <c:v>Saracuruna</c:v>
                </c:pt>
                <c:pt idx="6">
                  <c:v>B. Roxo</c:v>
                </c:pt>
              </c:strCache>
            </c:strRef>
          </c:cat>
          <c:val>
            <c:numRef>
              <c:f>'DIN - PO'!$U$15:$U$21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0</c:v>
                </c:pt>
                <c:pt idx="3">
                  <c:v>11</c:v>
                </c:pt>
                <c:pt idx="4">
                  <c:v>1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6-4625-A3B6-29F0B92E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5019199"/>
        <c:axId val="1935018783"/>
      </c:barChart>
      <c:lineChart>
        <c:grouping val="standard"/>
        <c:varyColors val="0"/>
        <c:ser>
          <c:idx val="0"/>
          <c:order val="0"/>
          <c:tx>
            <c:strRef>
              <c:f>'DIN - PO'!$R$14</c:f>
              <c:strCache>
                <c:ptCount val="1"/>
                <c:pt idx="0">
                  <c:v>Alarme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 - PO'!$Q$15:$Q$21</c:f>
              <c:strCache>
                <c:ptCount val="7"/>
                <c:pt idx="0">
                  <c:v>Deodoro</c:v>
                </c:pt>
                <c:pt idx="1">
                  <c:v>Japeri</c:v>
                </c:pt>
                <c:pt idx="2">
                  <c:v>Paracambi</c:v>
                </c:pt>
                <c:pt idx="3">
                  <c:v>Santa Cruz</c:v>
                </c:pt>
                <c:pt idx="4">
                  <c:v>Gramacho</c:v>
                </c:pt>
                <c:pt idx="5">
                  <c:v>Saracuruna</c:v>
                </c:pt>
                <c:pt idx="6">
                  <c:v>B. Roxo</c:v>
                </c:pt>
              </c:strCache>
              <c:extLst xmlns:c15="http://schemas.microsoft.com/office/drawing/2012/chart"/>
            </c:strRef>
          </c:cat>
          <c:val>
            <c:numRef>
              <c:f>'DIN - PO'!$R$15:$R$21</c:f>
              <c:numCache>
                <c:formatCode>General</c:formatCode>
                <c:ptCount val="7"/>
                <c:pt idx="0">
                  <c:v>37</c:v>
                </c:pt>
                <c:pt idx="1">
                  <c:v>47</c:v>
                </c:pt>
                <c:pt idx="2">
                  <c:v>0</c:v>
                </c:pt>
                <c:pt idx="3">
                  <c:v>35</c:v>
                </c:pt>
                <c:pt idx="4">
                  <c:v>10</c:v>
                </c:pt>
                <c:pt idx="5">
                  <c:v>45</c:v>
                </c:pt>
                <c:pt idx="6">
                  <c:v>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B5E6-4625-A3B6-29F0B92E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019199"/>
        <c:axId val="1935018783"/>
      </c:lineChart>
      <c:catAx>
        <c:axId val="19350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018783"/>
        <c:crosses val="autoZero"/>
        <c:auto val="1"/>
        <c:lblAlgn val="ctr"/>
        <c:lblOffset val="100"/>
        <c:noMultiLvlLbl val="0"/>
      </c:catAx>
      <c:valAx>
        <c:axId val="19350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0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reicindência de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Hora!$I$2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Hora!$I$3:$I$26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6-4E45-BA6F-387BD8DD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48752"/>
        <c:axId val="2046447920"/>
      </c:radarChart>
      <c:catAx>
        <c:axId val="20464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447920"/>
        <c:crosses val="autoZero"/>
        <c:auto val="1"/>
        <c:lblAlgn val="ctr"/>
        <c:lblOffset val="100"/>
        <c:noMultiLvlLbl val="0"/>
      </c:catAx>
      <c:valAx>
        <c:axId val="20464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4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Ocorrências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'Alarmes Mensais'!$C$11</c:f>
              <c:strCache>
                <c:ptCount val="1"/>
                <c:pt idx="0">
                  <c:v>Ocorrências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'Alarmes Mensais'!$D$10:$K$10</c:f>
              <c:strCache>
                <c:ptCount val="7"/>
                <c:pt idx="0">
                  <c:v>Junho</c:v>
                </c:pt>
                <c:pt idx="2">
                  <c:v>Julho</c:v>
                </c:pt>
                <c:pt idx="4">
                  <c:v>Agosto</c:v>
                </c:pt>
                <c:pt idx="6">
                  <c:v>Setembro</c:v>
                </c:pt>
              </c:strCache>
            </c:strRef>
          </c:cat>
          <c:val>
            <c:numRef>
              <c:f>'Alarmes Mensais'!$D$11:$K$11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6-439F-B3C4-D8BF5E69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7712432"/>
        <c:axId val="1707704944"/>
        <c:axId val="0"/>
      </c:bar3DChart>
      <c:catAx>
        <c:axId val="17077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704944"/>
        <c:crosses val="autoZero"/>
        <c:auto val="1"/>
        <c:lblAlgn val="ctr"/>
        <c:lblOffset val="100"/>
        <c:noMultiLvlLbl val="0"/>
      </c:catAx>
      <c:valAx>
        <c:axId val="17077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7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Alarmes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F-4D95-8BC7-DC41E65C83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F-4D95-8BC7-DC41E65C83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9F-4D95-8BC7-DC41E65C83BA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Qtd.Críticos!$A$5:$A$7</c:f>
              <c:strCache>
                <c:ptCount val="3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</c:strCache>
            </c:strRef>
          </c:cat>
          <c:val>
            <c:numRef>
              <c:f>Qtd.Críticos!$C$5:$C$7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2-425E-9E8E-7B8C225058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209F-4D95-8BC7-DC41E65C83B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209F-4D95-8BC7-DC41E65C83B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209F-4D95-8BC7-DC41E65C83B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Qtd.Críticos!$A$5:$A$7</c15:sqref>
                        </c15:formulaRef>
                      </c:ext>
                    </c:extLst>
                    <c:strCache>
                      <c:ptCount val="3"/>
                      <c:pt idx="0">
                        <c:v>Baixa</c:v>
                      </c:pt>
                      <c:pt idx="1">
                        <c:v>Média</c:v>
                      </c:pt>
                      <c:pt idx="2">
                        <c:v>Alta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Qtd.Críticos!$B$5:$B$7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62-425E-9E8E-7B8C225058DE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209F-4D95-8BC7-DC41E65C83B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209F-4D95-8BC7-DC41E65C83B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209F-4D95-8BC7-DC41E65C83B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Qtd.Críticos!$A$5:$A$7</c15:sqref>
                        </c15:formulaRef>
                      </c:ext>
                    </c:extLst>
                    <c:strCache>
                      <c:ptCount val="3"/>
                      <c:pt idx="0">
                        <c:v>Baixa</c:v>
                      </c:pt>
                      <c:pt idx="1">
                        <c:v>Média</c:v>
                      </c:pt>
                      <c:pt idx="2">
                        <c:v>Alta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Qtd.Críticos!$D$5:$D$7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62-425E-9E8E-7B8C225058D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</a:t>
          </a:r>
        </a:p>
      </cx:txPr>
    </cx:title>
    <cx:plotArea>
      <cx:plotAreaRegion>
        <cx:series layoutId="clusteredColumn" uniqueId="{0F5AC94B-94C8-4034-9101-CE58BB436DFA}">
          <cx:tx>
            <cx:txData>
              <cx:f>_xlchart.v1.1</cx:f>
              <cx:v>Qtd Alarmes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366345CA-EF85-4586-8026-7952A634072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145146</xdr:colOff>
      <xdr:row>0</xdr:row>
      <xdr:rowOff>117928</xdr:rowOff>
    </xdr:from>
    <xdr:to>
      <xdr:col>1</xdr:col>
      <xdr:colOff>673206</xdr:colOff>
      <xdr:row>0</xdr:row>
      <xdr:rowOff>477928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224636-F078-BED0-6D81-65FE536F1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6" y="117928"/>
          <a:ext cx="1429306" cy="360000"/>
        </a:xfrm>
        <a:prstGeom prst="rect">
          <a:avLst/>
        </a:prstGeom>
      </xdr:spPr>
    </xdr:pic>
    <xdr:clientData/>
  </xdr:twoCellAnchor>
  <xdr:twoCellAnchor>
    <xdr:from>
      <xdr:col>31</xdr:col>
      <xdr:colOff>174625</xdr:colOff>
      <xdr:row>173</xdr:row>
      <xdr:rowOff>317509</xdr:rowOff>
    </xdr:from>
    <xdr:to>
      <xdr:col>38</xdr:col>
      <xdr:colOff>246063</xdr:colOff>
      <xdr:row>181</xdr:row>
      <xdr:rowOff>139709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6045AA-45F7-D143-05EE-297748D8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376237</xdr:rowOff>
    </xdr:from>
    <xdr:to>
      <xdr:col>15</xdr:col>
      <xdr:colOff>381000</xdr:colOff>
      <xdr:row>13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5CF66A-5FCA-71BD-9FFD-FD8544070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</xdr:row>
      <xdr:rowOff>185737</xdr:rowOff>
    </xdr:from>
    <xdr:to>
      <xdr:col>20</xdr:col>
      <xdr:colOff>428625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4C65AF-B56A-EA94-BF0E-D542F78C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132969</xdr:colOff>
      <xdr:row>0</xdr:row>
      <xdr:rowOff>74975</xdr:rowOff>
    </xdr:from>
    <xdr:to>
      <xdr:col>0</xdr:col>
      <xdr:colOff>1256190</xdr:colOff>
      <xdr:row>0</xdr:row>
      <xdr:rowOff>434975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C5937E-BA17-4BDD-B33D-1E9E6D87F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" y="74975"/>
          <a:ext cx="1128865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2035177</xdr:colOff>
      <xdr:row>4</xdr:row>
      <xdr:rowOff>12701</xdr:rowOff>
    </xdr:from>
    <xdr:to>
      <xdr:col>3</xdr:col>
      <xdr:colOff>641704</xdr:colOff>
      <xdr:row>16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inha">
              <a:extLst>
                <a:ext uri="{FF2B5EF4-FFF2-40B4-BE49-F238E27FC236}">
                  <a16:creationId xmlns:a16="http://schemas.microsoft.com/office/drawing/2014/main" id="{0122FA62-4692-42D8-AA2E-C1ECB770CA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5177" y="880534"/>
              <a:ext cx="1760360" cy="25149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107246</xdr:colOff>
      <xdr:row>4</xdr:row>
      <xdr:rowOff>14110</xdr:rowOff>
    </xdr:from>
    <xdr:to>
      <xdr:col>0</xdr:col>
      <xdr:colOff>1927580</xdr:colOff>
      <xdr:row>16</xdr:row>
      <xdr:rowOff>144285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amal">
              <a:extLst>
                <a:ext uri="{FF2B5EF4-FFF2-40B4-BE49-F238E27FC236}">
                  <a16:creationId xmlns:a16="http://schemas.microsoft.com/office/drawing/2014/main" id="{B203CF23-F103-49FF-8ED6-18F3666E86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m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46" y="881943"/>
              <a:ext cx="1820334" cy="25149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26459</xdr:colOff>
      <xdr:row>4</xdr:row>
      <xdr:rowOff>3528</xdr:rowOff>
    </xdr:from>
    <xdr:to>
      <xdr:col>6</xdr:col>
      <xdr:colOff>77259</xdr:colOff>
      <xdr:row>16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Km">
              <a:extLst>
                <a:ext uri="{FF2B5EF4-FFF2-40B4-BE49-F238E27FC236}">
                  <a16:creationId xmlns:a16="http://schemas.microsoft.com/office/drawing/2014/main" id="{49582F42-543D-9E80-63D2-9DA7F3753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9959" y="87136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173567</xdr:colOff>
      <xdr:row>4</xdr:row>
      <xdr:rowOff>13405</xdr:rowOff>
    </xdr:from>
    <xdr:to>
      <xdr:col>8</xdr:col>
      <xdr:colOff>1000478</xdr:colOff>
      <xdr:row>16</xdr:row>
      <xdr:rowOff>152752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tivo">
              <a:extLst>
                <a:ext uri="{FF2B5EF4-FFF2-40B4-BE49-F238E27FC236}">
                  <a16:creationId xmlns:a16="http://schemas.microsoft.com/office/drawing/2014/main" id="{6808F1AB-205A-7717-3550-2D81FA131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5067" y="8812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35279</xdr:colOff>
      <xdr:row>35</xdr:row>
      <xdr:rowOff>7937</xdr:rowOff>
    </xdr:from>
    <xdr:to>
      <xdr:col>15</xdr:col>
      <xdr:colOff>593844</xdr:colOff>
      <xdr:row>50</xdr:row>
      <xdr:rowOff>28222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093252-9C92-4CD9-9093-CC9100026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113496</xdr:colOff>
      <xdr:row>0</xdr:row>
      <xdr:rowOff>163484</xdr:rowOff>
    </xdr:from>
    <xdr:to>
      <xdr:col>1</xdr:col>
      <xdr:colOff>172234</xdr:colOff>
      <xdr:row>2</xdr:row>
      <xdr:rowOff>124627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09FB86B-E5A7-2375-EFFF-7FE1AB83D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96" y="163484"/>
          <a:ext cx="1292452" cy="324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39512</xdr:rowOff>
    </xdr:from>
    <xdr:to>
      <xdr:col>13</xdr:col>
      <xdr:colOff>0</xdr:colOff>
      <xdr:row>20</xdr:row>
      <xdr:rowOff>112888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5B6FC53-9200-6A26-F007-468D7AF1C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239887</xdr:colOff>
      <xdr:row>9</xdr:row>
      <xdr:rowOff>54430</xdr:rowOff>
    </xdr:from>
    <xdr:to>
      <xdr:col>16</xdr:col>
      <xdr:colOff>7055</xdr:colOff>
      <xdr:row>19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A67BE06-B1E0-D48C-4ECC-F4AF2D7C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158749</xdr:rowOff>
    </xdr:from>
    <xdr:to>
      <xdr:col>10</xdr:col>
      <xdr:colOff>95251</xdr:colOff>
      <xdr:row>50</xdr:row>
      <xdr:rowOff>21166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E183F-40A0-4798-A908-62AF7AC5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53</xdr:row>
      <xdr:rowOff>63501</xdr:rowOff>
    </xdr:from>
    <xdr:to>
      <xdr:col>15</xdr:col>
      <xdr:colOff>564446</xdr:colOff>
      <xdr:row>67</xdr:row>
      <xdr:rowOff>81643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14BC97-BED6-4194-B608-29F52F766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95250</xdr:colOff>
          <xdr:row>0</xdr:row>
          <xdr:rowOff>69850</xdr:rowOff>
        </xdr:from>
        <xdr:to>
          <xdr:col>31</xdr:col>
          <xdr:colOff>246063</xdr:colOff>
          <xdr:row>68</xdr:row>
          <xdr:rowOff>69850</xdr:rowOff>
        </xdr:to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06934660-CE85-8A5F-3DAB-19E9DBC1A6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P$68" spid="_x0000_s436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413875" y="69850"/>
              <a:ext cx="8707438" cy="120808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122462</xdr:colOff>
      <xdr:row>0</xdr:row>
      <xdr:rowOff>117928</xdr:rowOff>
    </xdr:from>
    <xdr:ext cx="1090837" cy="405651"/>
    <xdr:pic>
      <xdr:nvPicPr>
        <xdr:cNvPr id="2" name="Imagem 3">
          <a:extLst>
            <a:ext uri="{FF2B5EF4-FFF2-40B4-BE49-F238E27FC236}">
              <a16:creationId xmlns:a16="http://schemas.microsoft.com/office/drawing/2014/main" id="{27C75D3B-2773-42FE-8548-8D1729D8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2" y="117928"/>
          <a:ext cx="1090837" cy="405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203199</xdr:colOff>
      <xdr:row>2</xdr:row>
      <xdr:rowOff>15875</xdr:rowOff>
    </xdr:from>
    <xdr:to>
      <xdr:col>15</xdr:col>
      <xdr:colOff>295274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7D08A8-4F0F-7B58-D19C-F96417024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95250</xdr:rowOff>
    </xdr:from>
    <xdr:to>
      <xdr:col>14</xdr:col>
      <xdr:colOff>450849</xdr:colOff>
      <xdr:row>15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AD2016E-E1B4-CDF0-F98B-72DA0CFDA4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6174" y="95250"/>
              <a:ext cx="5908675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165314</xdr:colOff>
      <xdr:row>17</xdr:row>
      <xdr:rowOff>109450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18F698-5805-466E-B09E-59355234F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4" t="7383" r="1029" b="2685"/>
        <a:stretch/>
      </xdr:blipFill>
      <xdr:spPr>
        <a:xfrm>
          <a:off x="0" y="0"/>
          <a:ext cx="10528514" cy="324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122462</xdr:colOff>
      <xdr:row>0</xdr:row>
      <xdr:rowOff>117928</xdr:rowOff>
    </xdr:from>
    <xdr:ext cx="1090837" cy="405651"/>
    <xdr:pic>
      <xdr:nvPicPr>
        <xdr:cNvPr id="2" name="Imagem 3">
          <a:extLst>
            <a:ext uri="{FF2B5EF4-FFF2-40B4-BE49-F238E27FC236}">
              <a16:creationId xmlns:a16="http://schemas.microsoft.com/office/drawing/2014/main" id="{A391401B-72F5-4B3E-8BB1-2A99F861E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2" y="117928"/>
          <a:ext cx="1090837" cy="405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100012</xdr:rowOff>
    </xdr:from>
    <xdr:to>
      <xdr:col>19</xdr:col>
      <xdr:colOff>447675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DBCDD7-5D9F-618D-4387-4AB6DAAF9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taxnet/Desdobramento/Inform%20Rog&#233;rio/Spc/BVR/Dez99/Conselho/BadeR99_NB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esdobramento/Inform%20Rog&#233;rio/Spc/BVR/Dez99/Conselho/BadeR99_NB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047805\c\AN&#193;LISE%20CEAR&#193;\BadeR99_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036097\ce036097\WINDOWS\Desktop\Report%20t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esdobramento/Inform%20Rog&#233;rio/Spc/BVR/2000/Conselho/BadeR2000_NR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esdobramento/Inform%20Rog&#233;rio/Spc/BVR/2000/Conselho/RecLiqServ2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esdobramento/Inform%20Rog&#233;rio/Spc/BVR/2000/Conselho/BadeR2000_TN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Check List- Gerrot"/>
    </sheetNames>
    <sheetDataSet>
      <sheetData sheetId="0" refreshError="1">
        <row r="2">
          <cell r="C2" t="str">
            <v>ALVARO PEREIRA DA COSTA</v>
          </cell>
        </row>
        <row r="3">
          <cell r="C3" t="str">
            <v>CESAR AUGUSTO XAVIER MOREIRA</v>
          </cell>
        </row>
        <row r="4">
          <cell r="C4" t="str">
            <v>CICERO CRISPIM MARQUES FEITOSA</v>
          </cell>
        </row>
        <row r="5">
          <cell r="C5" t="str">
            <v>ERIVALDO VIDAL JUNIOR</v>
          </cell>
        </row>
        <row r="6">
          <cell r="C6" t="str">
            <v>MARTONIO DE OLIVEIRA RODRIGUES</v>
          </cell>
        </row>
        <row r="7">
          <cell r="C7" t="str">
            <v>JOSE FILIPE ALVES DE BARROS QUEIROZ</v>
          </cell>
        </row>
        <row r="8">
          <cell r="C8" t="str">
            <v>JOSE ALDISIO LEITE FIRMINO</v>
          </cell>
        </row>
        <row r="9">
          <cell r="C9" t="str">
            <v>BERNARDINO TEMPONI CAMPOS</v>
          </cell>
        </row>
        <row r="10">
          <cell r="C10" t="str">
            <v>FRANCISCO AFONSO FERREIRA MAIA</v>
          </cell>
        </row>
        <row r="11">
          <cell r="C11" t="str">
            <v>JOAO TOME MOREIRA</v>
          </cell>
        </row>
        <row r="12">
          <cell r="C12" t="str">
            <v>ELVIO ANTONIO NARCISO</v>
          </cell>
        </row>
        <row r="13">
          <cell r="C13" t="str">
            <v>JOSE MARIA CAVALCANTE FILHO</v>
          </cell>
        </row>
        <row r="14">
          <cell r="C14" t="str">
            <v>GIORDANO BRUNO PEREIRA BRASIL</v>
          </cell>
        </row>
        <row r="15">
          <cell r="C15" t="str">
            <v>HEITOR PIRES BARBOSA JUNIOR</v>
          </cell>
        </row>
        <row r="16">
          <cell r="C16" t="str">
            <v>SANDRO EDUARDO GONÇALVES E SILVA</v>
          </cell>
        </row>
        <row r="17">
          <cell r="C17" t="str">
            <v>GEORGINA VASCONCELOS SAMPAIO</v>
          </cell>
        </row>
        <row r="18">
          <cell r="C18" t="str">
            <v>MARCO AURELIO MALACO PEREIRA</v>
          </cell>
        </row>
        <row r="19">
          <cell r="C19" t="str">
            <v>REGINA CLAUDIA OLIVEIRA DE SANTANA</v>
          </cell>
        </row>
        <row r="20">
          <cell r="C20" t="str">
            <v>GUSTAVO ROCHA AMARAL</v>
          </cell>
        </row>
        <row r="21">
          <cell r="C21" t="str">
            <v>SARVIA SILVANA RIOS PIRES</v>
          </cell>
        </row>
        <row r="22">
          <cell r="C22" t="str">
            <v>DELANIA AZEVEDO CAVALCANTE</v>
          </cell>
        </row>
        <row r="23">
          <cell r="C23" t="str">
            <v>EDUARDO LOPES DOS SANTOS NETO</v>
          </cell>
        </row>
        <row r="24">
          <cell r="C24" t="str">
            <v>WALDENIO DE JESUS SOARES DA ROCHA</v>
          </cell>
        </row>
        <row r="25">
          <cell r="C25" t="str">
            <v>PAULO AFONSO DE ARAUJO SIQUEIRA</v>
          </cell>
        </row>
        <row r="26">
          <cell r="C26" t="str">
            <v>JOSE JULIO BRAGA SILVA</v>
          </cell>
        </row>
        <row r="27">
          <cell r="C27" t="str">
            <v>JOAO CAPPI</v>
          </cell>
        </row>
        <row r="28">
          <cell r="C28" t="str">
            <v>GABRIEL MONTENEGRO DAMASCENO</v>
          </cell>
        </row>
        <row r="29">
          <cell r="C29" t="str">
            <v>PEDRO BEZERRA SILVA</v>
          </cell>
        </row>
        <row r="30">
          <cell r="C30" t="str">
            <v>FERNANDO BARBOSA MELLO MENDES</v>
          </cell>
        </row>
        <row r="31">
          <cell r="C31" t="str">
            <v>LUCIANO CANSANCAO MOREIRA E SILVA</v>
          </cell>
        </row>
        <row r="32">
          <cell r="C32" t="str">
            <v>MAURO FREITAS DE ATAIDE</v>
          </cell>
        </row>
        <row r="33">
          <cell r="C33" t="str">
            <v>FRANCISCO CARMELIO MEDEIROS NETO</v>
          </cell>
        </row>
        <row r="34">
          <cell r="C34" t="str">
            <v>LUIZ HIRAM FARIAS BEZERRA</v>
          </cell>
        </row>
        <row r="35">
          <cell r="C35" t="str">
            <v>ROBERTO BATISTA MONTEFUSCO ARRAES</v>
          </cell>
        </row>
        <row r="36">
          <cell r="C36" t="str">
            <v>PAULO DA CUNHA CORREIA LIMA</v>
          </cell>
        </row>
        <row r="37">
          <cell r="C37" t="str">
            <v>JOAO ANICETO DE CARVALHO NETO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ese"/>
      <sheetName val="DemoRes"/>
      <sheetName val="DemoRes (2)"/>
      <sheetName val="RecLiqServ"/>
      <sheetName val="RecLiqServ (2)"/>
      <sheetName val="IndQtd"/>
      <sheetName val="RecUni"/>
      <sheetName val="DetDemoRes"/>
      <sheetName val="DetDemoRes (2)"/>
      <sheetName val="Demanda"/>
      <sheetName val="PlanInv"/>
      <sheetName val="PlaFin"/>
      <sheetName val="FluxCxa"/>
      <sheetName val="BalPat"/>
      <sheetName val="RecHum"/>
      <sheetName val="Bvr"/>
      <sheetName val="sispecabr99"/>
      <sheetName val="MêsBase"/>
      <sheetName val="#REF"/>
      <sheetName val="Princip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3">
          <cell r="A3">
            <v>36161</v>
          </cell>
          <cell r="B3">
            <v>36192</v>
          </cell>
          <cell r="C3">
            <v>36220</v>
          </cell>
          <cell r="D3">
            <v>36251</v>
          </cell>
          <cell r="E3">
            <v>36281</v>
          </cell>
          <cell r="F3">
            <v>36312</v>
          </cell>
          <cell r="G3">
            <v>36342</v>
          </cell>
          <cell r="H3">
            <v>36373</v>
          </cell>
          <cell r="I3">
            <v>36404</v>
          </cell>
          <cell r="J3">
            <v>36434</v>
          </cell>
          <cell r="K3">
            <v>36465</v>
          </cell>
          <cell r="L3">
            <v>36495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1</v>
          </cell>
          <cell r="O4">
            <v>1</v>
          </cell>
          <cell r="P4">
            <v>0</v>
          </cell>
        </row>
        <row r="5">
          <cell r="A5">
            <v>0</v>
          </cell>
          <cell r="B5">
            <v>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N5">
            <v>0</v>
          </cell>
          <cell r="O5">
            <v>1</v>
          </cell>
          <cell r="P5">
            <v>0</v>
          </cell>
        </row>
        <row r="6">
          <cell r="A6">
            <v>0</v>
          </cell>
          <cell r="B6">
            <v>0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N6">
            <v>0</v>
          </cell>
          <cell r="O6">
            <v>0</v>
          </cell>
          <cell r="P6">
            <v>1</v>
          </cell>
        </row>
      </sheetData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ese"/>
      <sheetName val="DemoRes"/>
      <sheetName val="DemoRes (2)"/>
      <sheetName val="RecLiqServ"/>
      <sheetName val="RecLiqServ (2)"/>
      <sheetName val="IndQtd"/>
      <sheetName val="RecUni"/>
      <sheetName val="DetDemoRes"/>
      <sheetName val="DetDemoRes (2)"/>
      <sheetName val="Demanda"/>
      <sheetName val="PlanInv"/>
      <sheetName val="PlaFin"/>
      <sheetName val="FluxCxa"/>
      <sheetName val="BalPat"/>
      <sheetName val="RecHum"/>
      <sheetName val="Bvr"/>
      <sheetName val="sispecabr99"/>
      <sheetName val="MêsBase"/>
      <sheetName val="#REF"/>
      <sheetName val="Principal"/>
      <sheetName val="BadeR99_N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3">
          <cell r="A3">
            <v>36161</v>
          </cell>
          <cell r="B3">
            <v>36192</v>
          </cell>
          <cell r="C3">
            <v>36220</v>
          </cell>
          <cell r="D3">
            <v>36251</v>
          </cell>
          <cell r="E3">
            <v>36281</v>
          </cell>
          <cell r="F3">
            <v>36312</v>
          </cell>
          <cell r="G3">
            <v>36342</v>
          </cell>
          <cell r="H3">
            <v>36373</v>
          </cell>
          <cell r="I3">
            <v>36404</v>
          </cell>
          <cell r="J3">
            <v>36434</v>
          </cell>
          <cell r="K3">
            <v>36465</v>
          </cell>
          <cell r="L3">
            <v>36495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1</v>
          </cell>
          <cell r="O4">
            <v>1</v>
          </cell>
          <cell r="P4">
            <v>0</v>
          </cell>
        </row>
        <row r="5">
          <cell r="A5">
            <v>0</v>
          </cell>
          <cell r="B5">
            <v>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N5">
            <v>0</v>
          </cell>
          <cell r="O5">
            <v>1</v>
          </cell>
          <cell r="P5">
            <v>0</v>
          </cell>
        </row>
        <row r="6">
          <cell r="A6">
            <v>0</v>
          </cell>
          <cell r="B6">
            <v>0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N6">
            <v>0</v>
          </cell>
          <cell r="O6">
            <v>0</v>
          </cell>
          <cell r="P6">
            <v>1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ese"/>
      <sheetName val="DemoRes"/>
      <sheetName val="DemoRes (2)"/>
      <sheetName val="RecLiqServ"/>
      <sheetName val="RecLiqServ (2)"/>
      <sheetName val="IndQtd"/>
      <sheetName val="RecUni"/>
      <sheetName val="DetDemoRes"/>
      <sheetName val="DetDemoRes (2)"/>
      <sheetName val="Demanda"/>
      <sheetName val="PlanInv"/>
      <sheetName val="PlaFin"/>
      <sheetName val="FluxCxa"/>
      <sheetName val="BalPat"/>
      <sheetName val="RecHum"/>
      <sheetName val="sispecabr99"/>
      <sheetName val="Usiminas "/>
      <sheetName val="Açominas"/>
      <sheetName val="Instruções"/>
      <sheetName val="Identificação"/>
      <sheetName val="Pareto"/>
      <sheetName val="Estratificação"/>
      <sheetName val="Análise das Causas A"/>
      <sheetName val="Análise das Hipóteses A"/>
      <sheetName val="5 Por Ques A"/>
      <sheetName val="PA (A)"/>
      <sheetName val="Análise das Causas B"/>
      <sheetName val="Análise das Hipóteses B"/>
      <sheetName val="5 Por Ques B"/>
      <sheetName val="PA (B)"/>
      <sheetName val="Check1Tabela"/>
      <sheetName val="Conclusão"/>
      <sheetName val="Capa"/>
      <sheetName val="Missão"/>
      <sheetName val="Valores"/>
      <sheetName val="Modelo de Gestão"/>
      <sheetName val="Metas . 2006"/>
      <sheetName val="ICs"/>
      <sheetName val="IVs"/>
      <sheetName val="Maior Melhor"/>
      <sheetName val="Menor  Melhor"/>
      <sheetName val="Menor  Melhor 1"/>
      <sheetName val="Menor  Melhor 2"/>
      <sheetName val="Maior Melhor 3"/>
      <sheetName val="Maior Melhor 4"/>
      <sheetName val="Maior Melhor 5"/>
      <sheetName val="Maior Melhor 6"/>
      <sheetName val="Menor  Melhor 8"/>
      <sheetName val="Menor  Melhor 9"/>
      <sheetName val="RTA´s"/>
      <sheetName val="Planos de Ação"/>
      <sheetName val="EXCE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ARA"/>
      <sheetName val="PIAUÍ"/>
      <sheetName val="MARANHÃO"/>
      <sheetName val="PARÁ"/>
      <sheetName val="AMAPA"/>
      <sheetName val="AMAZONAS"/>
      <sheetName val="RORAIMA"/>
      <sheetName val="OP-Alojamento"/>
      <sheetName val="OP-Banheiro"/>
      <sheetName val="Copa"/>
      <sheetName val="OP-Cozinha"/>
      <sheetName val="Refeitório"/>
      <sheetName val="Vestiário"/>
      <sheetName val="CCO"/>
      <sheetName val="INFORMÁTICA"/>
      <sheetName val="OP-LOCOMOTIVA "/>
      <sheetName val="OP-OFICINAS"/>
      <sheetName val="OP-Sala de Ferramentas"/>
      <sheetName val="OP-SALA MANUTENÇÃO"/>
      <sheetName val="OP-Lavador"/>
      <sheetName val="OP-Almoxarifado"/>
      <sheetName val="OP-Veículo"/>
      <sheetName val="COL-Sala Reunião-Treinamento"/>
      <sheetName val="AD-Escritório"/>
      <sheetName val="COL-Estacionamento"/>
      <sheetName val="COL-Plataforma"/>
      <sheetName val="OP-Posto Abastecimento"/>
      <sheetName val="COL-Pátio-Trecho"/>
      <sheetName val="OP-Auto linha"/>
      <sheetName val="OP-Garagem"/>
      <sheetName val="OP-Obras "/>
      <sheetName val="OP-ESTALEIRO"/>
      <sheetName val="OP-Vagão Dormitório"/>
      <sheetName val="REUNIÃO GERENCIAL"/>
      <sheetName val="Indicadores"/>
      <sheetName val="Oferta"/>
      <sheetName val="Oferta prevista x real"/>
      <sheetName val="Oferta Real X Aceite"/>
      <sheetName val="Aceite X Realizado"/>
      <sheetName val="Oferta  Real  X  Descarga  Real"/>
      <sheetName val="CONTROLE DE GRÃOS "/>
      <sheetName val="Gráficos"/>
      <sheetName val="Lacunas"/>
      <sheetName val="Controle cargueiros"/>
      <sheetName val="Produtividade"/>
      <sheetName val="Gráficos (2)"/>
      <sheetName val="Produtividade_Fertilizantes"/>
      <sheetName val="Gráfico ano"/>
      <sheetName val="Farol"/>
      <sheetName val="DETALHADO"/>
      <sheetName val="Plan Grãos"/>
      <sheetName val="DADOS"/>
      <sheetName val="Usiminas "/>
      <sheetName val="Açominas"/>
      <sheetName val="Report to"/>
      <sheetName val="Metas"/>
      <sheetName val="dez-ba"/>
      <sheetName val="nov-ba"/>
      <sheetName val="out-ba"/>
      <sheetName val="set-ba"/>
      <sheetName val="ago-ba"/>
      <sheetName val="jul-se"/>
      <sheetName val="jul-al"/>
      <sheetName val="jul-ba"/>
      <sheetName val="jan-ba"/>
      <sheetName val="jan-al"/>
      <sheetName val="jan-se"/>
      <sheetName val="fev-ba"/>
      <sheetName val="fev-al"/>
      <sheetName val="fev-se"/>
      <sheetName val="mar-ba"/>
      <sheetName val="mar-al"/>
      <sheetName val="mar-se"/>
      <sheetName val="abr-ba"/>
      <sheetName val="abr-al"/>
      <sheetName val="abr-se"/>
      <sheetName val="mai-ba"/>
      <sheetName val="mai-se"/>
      <sheetName val="mai-al"/>
      <sheetName val="jun-ba"/>
      <sheetName val="jun-se"/>
      <sheetName val="jun-al"/>
      <sheetName val="Metas Coord Adriana "/>
      <sheetName val="Plan Elaine (Nani) "/>
      <sheetName val="Plan Letieri"/>
      <sheetName val="Plan Mariana "/>
      <sheetName val="Plan Alexandre"/>
      <sheetName val="Plan Dornellas "/>
      <sheetName val="Plan Adauto"/>
      <sheetName val="Plan Rosane "/>
      <sheetName val="Plan Luciana"/>
      <sheetName val="Plan Fabiana "/>
      <sheetName val="Plan Renata"/>
      <sheetName val="Plan Derek"/>
      <sheetName val="Plan Miguel "/>
      <sheetName val="Plan Raphael "/>
      <sheetName val="Plan Veronice"/>
      <sheetName val="Plan Vine"/>
      <sheetName val="Plan Monica "/>
      <sheetName val="Plan Luiz Clapp"/>
      <sheetName val="Plan Naisa"/>
      <sheetName val="Plan Monica Silva"/>
      <sheetName val="Plan Giselle"/>
      <sheetName val="Plan Rubens "/>
      <sheetName val="Plan Cesar "/>
      <sheetName val="Capa"/>
      <sheetName val="Missão"/>
      <sheetName val="Valores"/>
      <sheetName val="Modelo de Gestão"/>
      <sheetName val="Metas . 2006"/>
      <sheetName val="ICs"/>
      <sheetName val="IVs"/>
      <sheetName val="Maior Melhor"/>
      <sheetName val="Menor  Melhor"/>
      <sheetName val="Menor  Melhor 1"/>
      <sheetName val="Menor  Melhor 2"/>
      <sheetName val="Maior Melhor 3"/>
      <sheetName val="Maior Melhor 4"/>
      <sheetName val="Maior Melhor 5"/>
      <sheetName val="Maior Melhor 6"/>
      <sheetName val="Menor  Melhor 8"/>
      <sheetName val="Menor  Melhor 9"/>
      <sheetName val="RTA´s"/>
      <sheetName val="Planos de A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ese"/>
      <sheetName val="DemoRes"/>
      <sheetName val="DemoRes (2)"/>
      <sheetName val="RecLiqServ"/>
      <sheetName val="RecLiqServ (2)"/>
      <sheetName val="RecUni"/>
      <sheetName val="DetDemoRes"/>
      <sheetName val="DetDemoRes (2)"/>
      <sheetName val="Demanda"/>
      <sheetName val="PlanInvA"/>
      <sheetName val="PlanInvB"/>
      <sheetName val="PlaFin"/>
      <sheetName val="FluxCxaInd"/>
      <sheetName val="FluxCxa"/>
      <sheetName val="BalPat"/>
      <sheetName val="RecHum"/>
      <sheetName val="Sispec"/>
      <sheetName val="SispecPSAP"/>
      <sheetName val="Tabelas"/>
      <sheetName val="MêsBase"/>
      <sheetName val="Descritivo Fraturas Cent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A1" t="str">
            <v>Chave</v>
          </cell>
          <cell r="B1" t="str">
            <v>01/01/00</v>
          </cell>
          <cell r="C1" t="str">
            <v>01/02/00</v>
          </cell>
          <cell r="D1" t="str">
            <v>01/03/00</v>
          </cell>
          <cell r="E1" t="str">
            <v>01/04/00</v>
          </cell>
          <cell r="F1" t="str">
            <v>01/05/00</v>
          </cell>
          <cell r="G1" t="str">
            <v>01/06/00</v>
          </cell>
          <cell r="H1" t="str">
            <v>01/07/00</v>
          </cell>
          <cell r="I1" t="str">
            <v>01/08/00</v>
          </cell>
          <cell r="J1" t="str">
            <v>01/09/00</v>
          </cell>
          <cell r="K1" t="str">
            <v>01/10/00</v>
          </cell>
          <cell r="L1" t="str">
            <v>01/11/00</v>
          </cell>
        </row>
        <row r="2">
          <cell r="A2" t="str">
            <v>Telerj11110000</v>
          </cell>
          <cell r="B2">
            <v>31.956939999999999</v>
          </cell>
          <cell r="C2">
            <v>25.208209999999998</v>
          </cell>
          <cell r="D2">
            <v>48.103720000000003</v>
          </cell>
          <cell r="E2">
            <v>43.203720000000004</v>
          </cell>
          <cell r="F2">
            <v>40.503720000000001</v>
          </cell>
          <cell r="G2">
            <v>41.803719999999998</v>
          </cell>
          <cell r="H2">
            <v>42.303719999999998</v>
          </cell>
          <cell r="I2">
            <v>4.2037200000000006</v>
          </cell>
          <cell r="J2">
            <v>16.703720000000001</v>
          </cell>
          <cell r="K2">
            <v>14.703719999999999</v>
          </cell>
          <cell r="L2">
            <v>11.5</v>
          </cell>
        </row>
        <row r="3">
          <cell r="A3" t="str">
            <v>Telerj11120000</v>
          </cell>
          <cell r="B3">
            <v>1098.3577</v>
          </cell>
          <cell r="C3">
            <v>1136.2058</v>
          </cell>
          <cell r="D3">
            <v>2478.0267799999997</v>
          </cell>
          <cell r="E3">
            <v>1268.3413700000001</v>
          </cell>
          <cell r="F3">
            <v>1035.10437</v>
          </cell>
          <cell r="G3">
            <v>3709.1212300000002</v>
          </cell>
          <cell r="H3">
            <v>334.60361999999998</v>
          </cell>
          <cell r="I3">
            <v>356.91838999999999</v>
          </cell>
          <cell r="J3">
            <v>5499.4022199999999</v>
          </cell>
          <cell r="K3">
            <v>20286.26943</v>
          </cell>
          <cell r="L3">
            <v>12767.47739</v>
          </cell>
        </row>
        <row r="4">
          <cell r="A4" t="str">
            <v>Telerj11130000</v>
          </cell>
          <cell r="B4">
            <v>30858.310269999998</v>
          </cell>
          <cell r="C4">
            <v>31104.437089999999</v>
          </cell>
          <cell r="D4">
            <v>50258.269270000004</v>
          </cell>
          <cell r="E4">
            <v>13753.20277</v>
          </cell>
          <cell r="F4">
            <v>8464.667730000001</v>
          </cell>
          <cell r="G4">
            <v>57541.196309999999</v>
          </cell>
          <cell r="H4">
            <v>381.21643</v>
          </cell>
          <cell r="I4">
            <v>385.50441999999998</v>
          </cell>
          <cell r="J4">
            <v>2928.39939</v>
          </cell>
          <cell r="K4">
            <v>5896.0459700000001</v>
          </cell>
          <cell r="L4">
            <v>10147.636970000001</v>
          </cell>
        </row>
        <row r="5">
          <cell r="A5" t="str">
            <v>Telerj11211000</v>
          </cell>
          <cell r="B5">
            <v>436267.05729999999</v>
          </cell>
          <cell r="C5">
            <v>464354.315</v>
          </cell>
          <cell r="D5">
            <v>491231.16860000003</v>
          </cell>
          <cell r="E5">
            <v>561682.63899999997</v>
          </cell>
          <cell r="F5">
            <v>574057.50249999994</v>
          </cell>
          <cell r="G5">
            <v>571768.98629999999</v>
          </cell>
          <cell r="H5">
            <v>607367.96629999997</v>
          </cell>
          <cell r="I5">
            <v>611178.4817</v>
          </cell>
          <cell r="J5">
            <v>663172.46470000001</v>
          </cell>
          <cell r="K5">
            <v>706197.53610000003</v>
          </cell>
          <cell r="L5">
            <v>752806.36750000005</v>
          </cell>
        </row>
        <row r="6">
          <cell r="A6" t="str">
            <v>Telerj11212000</v>
          </cell>
          <cell r="B6">
            <v>63.245550000000001</v>
          </cell>
          <cell r="C6">
            <v>63.245550000000001</v>
          </cell>
          <cell r="D6">
            <v>63.245550000000001</v>
          </cell>
          <cell r="E6">
            <v>5574.3048799999997</v>
          </cell>
          <cell r="F6">
            <v>24.328720000000001</v>
          </cell>
          <cell r="G6">
            <v>0.67500000000000004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Telerj11213000</v>
          </cell>
          <cell r="B7">
            <v>975.38830000000007</v>
          </cell>
          <cell r="C7">
            <v>1121.7017900000001</v>
          </cell>
          <cell r="D7">
            <v>341.49053999999995</v>
          </cell>
          <cell r="E7">
            <v>126.08645</v>
          </cell>
          <cell r="F7">
            <v>1945.5334800000001</v>
          </cell>
          <cell r="G7">
            <v>1935.8111100000001</v>
          </cell>
          <cell r="H7">
            <v>797.69137999999998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 t="str">
            <v>Telerj11215000</v>
          </cell>
          <cell r="B8">
            <v>-5984.6776220000002</v>
          </cell>
          <cell r="C8">
            <v>-10756.212240000001</v>
          </cell>
          <cell r="D8">
            <v>-18082.306339999999</v>
          </cell>
          <cell r="E8">
            <v>-23422.000649999998</v>
          </cell>
          <cell r="F8">
            <v>-11489.722300000001</v>
          </cell>
          <cell r="G8">
            <v>-6354.3136100000002</v>
          </cell>
          <cell r="H8">
            <v>-11261.322029999999</v>
          </cell>
          <cell r="I8">
            <v>-13828.80683</v>
          </cell>
          <cell r="J8">
            <v>-11466.444619999998</v>
          </cell>
          <cell r="K8">
            <v>-12479.72229</v>
          </cell>
          <cell r="L8">
            <v>-4030.3527100000001</v>
          </cell>
        </row>
        <row r="9">
          <cell r="A9" t="str">
            <v>Telerj11218000</v>
          </cell>
          <cell r="B9">
            <v>12672.644960000001</v>
          </cell>
          <cell r="C9">
            <v>11973.2719</v>
          </cell>
          <cell r="D9">
            <v>14000.7958</v>
          </cell>
          <cell r="E9">
            <v>11728.374250000001</v>
          </cell>
          <cell r="F9">
            <v>11065.365679999999</v>
          </cell>
          <cell r="G9">
            <v>10288.52547</v>
          </cell>
          <cell r="H9">
            <v>10567.811029999999</v>
          </cell>
          <cell r="I9">
            <v>9203.1003599999985</v>
          </cell>
          <cell r="J9">
            <v>17722.696059999998</v>
          </cell>
          <cell r="K9">
            <v>7574.1527400000004</v>
          </cell>
          <cell r="L9">
            <v>9472.3187600000001</v>
          </cell>
        </row>
        <row r="10">
          <cell r="A10" t="str">
            <v>Telerj11219000</v>
          </cell>
          <cell r="B10">
            <v>-20886.152999999998</v>
          </cell>
          <cell r="C10">
            <v>-24272.269</v>
          </cell>
          <cell r="D10">
            <v>-25072.269</v>
          </cell>
          <cell r="E10">
            <v>-25872.269</v>
          </cell>
          <cell r="F10">
            <v>-27464.692999999999</v>
          </cell>
          <cell r="G10">
            <v>-28374.66</v>
          </cell>
          <cell r="H10">
            <v>-29206.344000000001</v>
          </cell>
          <cell r="I10">
            <v>-29570.440920000001</v>
          </cell>
          <cell r="J10">
            <v>-30313.281920000001</v>
          </cell>
          <cell r="K10">
            <v>-31170.74192</v>
          </cell>
          <cell r="L10">
            <v>-32163.533920000002</v>
          </cell>
        </row>
        <row r="11">
          <cell r="A11" t="str">
            <v>Telerj11220000</v>
          </cell>
          <cell r="B11">
            <v>43323.89228</v>
          </cell>
          <cell r="C11">
            <v>29319.069800000001</v>
          </cell>
          <cell r="D11">
            <v>29782.17009</v>
          </cell>
          <cell r="E11">
            <v>22982.898799999999</v>
          </cell>
          <cell r="F11">
            <v>23651.435289999998</v>
          </cell>
          <cell r="G11">
            <v>33077.43374</v>
          </cell>
          <cell r="H11">
            <v>5217.7332400000005</v>
          </cell>
          <cell r="I11">
            <v>2028.2633899999998</v>
          </cell>
          <cell r="J11">
            <v>0</v>
          </cell>
          <cell r="K11">
            <v>3500</v>
          </cell>
          <cell r="L11">
            <v>3558.7485799999999</v>
          </cell>
        </row>
        <row r="12">
          <cell r="A12" t="str">
            <v>Telerj11230000</v>
          </cell>
          <cell r="B12">
            <v>260708.05719999998</v>
          </cell>
          <cell r="C12">
            <v>280693.91619999998</v>
          </cell>
          <cell r="D12">
            <v>288912.06880000001</v>
          </cell>
          <cell r="E12">
            <v>300002.16939999996</v>
          </cell>
          <cell r="F12">
            <v>356383.88760000002</v>
          </cell>
          <cell r="G12">
            <v>372680.77989999996</v>
          </cell>
          <cell r="H12">
            <v>313131.21100000001</v>
          </cell>
          <cell r="I12">
            <v>373737.47499999998</v>
          </cell>
          <cell r="J12">
            <v>504015.32380000001</v>
          </cell>
          <cell r="K12">
            <v>494106.72480000003</v>
          </cell>
          <cell r="L12">
            <v>465598.44769999996</v>
          </cell>
        </row>
        <row r="13">
          <cell r="A13" t="str">
            <v>Telerj11231000</v>
          </cell>
          <cell r="B13">
            <v>136044.12419999999</v>
          </cell>
          <cell r="C13">
            <v>182607.9656</v>
          </cell>
          <cell r="D13">
            <v>185017.65419999999</v>
          </cell>
          <cell r="E13">
            <v>195154.4865</v>
          </cell>
          <cell r="F13">
            <v>239464.2709</v>
          </cell>
          <cell r="G13">
            <v>257110.5331</v>
          </cell>
          <cell r="H13">
            <v>194078.62</v>
          </cell>
          <cell r="I13">
            <v>241772.06209999998</v>
          </cell>
          <cell r="J13">
            <v>362432.66860000003</v>
          </cell>
          <cell r="K13">
            <v>352512.94630000001</v>
          </cell>
          <cell r="L13">
            <v>315693.61110000004</v>
          </cell>
        </row>
        <row r="14">
          <cell r="A14" t="str">
            <v>Telerj11231100</v>
          </cell>
          <cell r="B14">
            <v>95269.051720000003</v>
          </cell>
          <cell r="C14">
            <v>96548.619919999997</v>
          </cell>
          <cell r="D14">
            <v>100114.1437</v>
          </cell>
          <cell r="E14">
            <v>101774.6483</v>
          </cell>
          <cell r="F14">
            <v>96400.9715</v>
          </cell>
          <cell r="G14">
            <v>101905.8045</v>
          </cell>
          <cell r="H14">
            <v>102041.84120000001</v>
          </cell>
          <cell r="I14">
            <v>104471.07120000001</v>
          </cell>
          <cell r="J14">
            <v>181066.22659999999</v>
          </cell>
          <cell r="K14">
            <v>174309.49040000001</v>
          </cell>
          <cell r="L14">
            <v>170998.3524</v>
          </cell>
        </row>
        <row r="15">
          <cell r="A15" t="str">
            <v>Telerj11231120</v>
          </cell>
          <cell r="B15">
            <v>1576.9881399999999</v>
          </cell>
          <cell r="C15">
            <v>1899.30746</v>
          </cell>
          <cell r="D15">
            <v>2084.6902</v>
          </cell>
          <cell r="E15">
            <v>2257.24899</v>
          </cell>
          <cell r="F15">
            <v>1904.3031100000001</v>
          </cell>
          <cell r="G15">
            <v>1856.72171</v>
          </cell>
          <cell r="H15">
            <v>1391.2974299999998</v>
          </cell>
          <cell r="I15">
            <v>1252.79133</v>
          </cell>
          <cell r="J15">
            <v>1245.9889599999999</v>
          </cell>
          <cell r="K15">
            <v>1131.1094900000001</v>
          </cell>
          <cell r="L15">
            <v>1136.01749</v>
          </cell>
        </row>
        <row r="16">
          <cell r="A16" t="str">
            <v>Telerj11231132</v>
          </cell>
          <cell r="B16">
            <v>37991.643280000004</v>
          </cell>
          <cell r="C16">
            <v>39708.745869999999</v>
          </cell>
          <cell r="D16">
            <v>41475.937039999997</v>
          </cell>
          <cell r="E16">
            <v>44107.616249999999</v>
          </cell>
          <cell r="F16">
            <v>43764.39417</v>
          </cell>
          <cell r="G16">
            <v>43605.931240000005</v>
          </cell>
          <cell r="H16">
            <v>44182.472580000001</v>
          </cell>
          <cell r="I16">
            <v>44550.832459999998</v>
          </cell>
          <cell r="J16">
            <v>50915.119590000002</v>
          </cell>
          <cell r="K16">
            <v>44941.684289999997</v>
          </cell>
          <cell r="L16">
            <v>45428.207900000001</v>
          </cell>
        </row>
        <row r="17">
          <cell r="A17" t="str">
            <v>Telerj11231133</v>
          </cell>
          <cell r="B17">
            <v>337.16440250000005</v>
          </cell>
          <cell r="C17">
            <v>38.570219999999999</v>
          </cell>
          <cell r="D17">
            <v>999.50019250000003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Telerj11231138</v>
          </cell>
          <cell r="B18">
            <v>5011.1914100000004</v>
          </cell>
          <cell r="C18">
            <v>4009.8107500000001</v>
          </cell>
          <cell r="D18">
            <v>3110.1424200000001</v>
          </cell>
          <cell r="E18">
            <v>3110.1424200000001</v>
          </cell>
          <cell r="F18">
            <v>2434.4088900000002</v>
          </cell>
          <cell r="G18">
            <v>1365.0399499999999</v>
          </cell>
          <cell r="H18">
            <v>414.00085999999999</v>
          </cell>
          <cell r="I18">
            <v>1669.7697900000001</v>
          </cell>
          <cell r="J18">
            <v>260.75229000000002</v>
          </cell>
          <cell r="K18">
            <v>260.75229000000002</v>
          </cell>
          <cell r="L18">
            <v>260.75229000000002</v>
          </cell>
        </row>
        <row r="19">
          <cell r="A19" t="str">
            <v>Telerj11231141</v>
          </cell>
          <cell r="B19">
            <v>148.3523371</v>
          </cell>
          <cell r="C19">
            <v>13.885279200000001</v>
          </cell>
          <cell r="D19">
            <v>359.8200693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74822.121930000008</v>
          </cell>
          <cell r="K19">
            <v>74706.010930000004</v>
          </cell>
          <cell r="L19">
            <v>70754.553390000001</v>
          </cell>
        </row>
        <row r="20">
          <cell r="A20" t="str">
            <v>Telerj11231142</v>
          </cell>
          <cell r="B20">
            <v>13676.991699999999</v>
          </cell>
          <cell r="C20">
            <v>14295.14861</v>
          </cell>
          <cell r="D20">
            <v>14931.33743</v>
          </cell>
          <cell r="E20">
            <v>15878.741960000001</v>
          </cell>
          <cell r="F20">
            <v>15755.182000000001</v>
          </cell>
          <cell r="G20">
            <v>15698.13571</v>
          </cell>
          <cell r="H20">
            <v>15905.69001</v>
          </cell>
          <cell r="I20">
            <v>16038.29984</v>
          </cell>
          <cell r="J20">
            <v>18329.443039999998</v>
          </cell>
          <cell r="K20">
            <v>16179.00633</v>
          </cell>
          <cell r="L20">
            <v>16354.154829999999</v>
          </cell>
        </row>
        <row r="21">
          <cell r="A21" t="str">
            <v>Telerj11231144</v>
          </cell>
          <cell r="B21">
            <v>551.02152000000001</v>
          </cell>
          <cell r="C21">
            <v>551.02152000000001</v>
          </cell>
          <cell r="D21">
            <v>549.48070999999993</v>
          </cell>
          <cell r="E21">
            <v>550.83127999999999</v>
          </cell>
          <cell r="F21">
            <v>549.07737999999995</v>
          </cell>
          <cell r="G21">
            <v>548.88606000000004</v>
          </cell>
          <cell r="H21">
            <v>548.28913</v>
          </cell>
          <cell r="I21">
            <v>547.14500999999996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Telerj11231148</v>
          </cell>
          <cell r="B22">
            <v>8045.2093099999993</v>
          </cell>
          <cell r="C22">
            <v>8045.2093099999993</v>
          </cell>
          <cell r="D22">
            <v>8045.2093099999993</v>
          </cell>
          <cell r="E22">
            <v>8045.2093099999993</v>
          </cell>
          <cell r="F22">
            <v>8045.2093099999993</v>
          </cell>
          <cell r="G22">
            <v>8045.2093099999993</v>
          </cell>
          <cell r="H22">
            <v>8045.2093099999993</v>
          </cell>
          <cell r="I22">
            <v>8496.0949099999998</v>
          </cell>
          <cell r="J22">
            <v>8045.2093099999993</v>
          </cell>
          <cell r="K22">
            <v>8045.2093099999993</v>
          </cell>
          <cell r="L22">
            <v>8045.2093099999993</v>
          </cell>
        </row>
        <row r="23">
          <cell r="A23" t="str">
            <v>Telerj11231400</v>
          </cell>
          <cell r="B23">
            <v>2908.5074599999998</v>
          </cell>
          <cell r="C23">
            <v>2992.7013099999999</v>
          </cell>
          <cell r="D23">
            <v>3394.8343999999997</v>
          </cell>
          <cell r="E23">
            <v>4166.8403900000003</v>
          </cell>
          <cell r="F23">
            <v>4354.9049400000004</v>
          </cell>
          <cell r="G23">
            <v>4993.2479499999999</v>
          </cell>
          <cell r="H23">
            <v>7894.8879999999999</v>
          </cell>
          <cell r="I23">
            <v>8388.0105299999996</v>
          </cell>
          <cell r="J23">
            <v>0</v>
          </cell>
          <cell r="K23">
            <v>0</v>
          </cell>
          <cell r="L23">
            <v>0</v>
          </cell>
        </row>
        <row r="24">
          <cell r="A24" t="str">
            <v>Telerj11236000</v>
          </cell>
          <cell r="B24">
            <v>63078.103090000004</v>
          </cell>
          <cell r="C24">
            <v>68956.023060000007</v>
          </cell>
          <cell r="D24">
            <v>75173.566230000011</v>
          </cell>
          <cell r="E24">
            <v>78120.153489999997</v>
          </cell>
          <cell r="F24">
            <v>82353.626120000001</v>
          </cell>
          <cell r="G24">
            <v>84506.488239999991</v>
          </cell>
          <cell r="H24">
            <v>101803.4813</v>
          </cell>
          <cell r="I24">
            <v>111585.114</v>
          </cell>
          <cell r="J24">
            <v>112637.8161</v>
          </cell>
          <cell r="K24">
            <v>116144.0346</v>
          </cell>
          <cell r="L24">
            <v>124930.0711</v>
          </cell>
        </row>
        <row r="25">
          <cell r="A25" t="str">
            <v>Telerj11250000</v>
          </cell>
          <cell r="B25">
            <v>54.46942</v>
          </cell>
          <cell r="C25">
            <v>54.46942</v>
          </cell>
          <cell r="D25">
            <v>54.467100000000002</v>
          </cell>
          <cell r="E25">
            <v>54.467100000000002</v>
          </cell>
          <cell r="F25">
            <v>54.468440000000001</v>
          </cell>
          <cell r="G25">
            <v>54.468440000000001</v>
          </cell>
          <cell r="H25">
            <v>54.468440000000001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A26" t="str">
            <v>Telerj11270000</v>
          </cell>
          <cell r="B26">
            <v>5698.3354100000006</v>
          </cell>
          <cell r="C26">
            <v>5744.1498600000004</v>
          </cell>
          <cell r="D26">
            <v>6417.7378399999998</v>
          </cell>
          <cell r="E26">
            <v>5325.0745099999995</v>
          </cell>
          <cell r="F26">
            <v>6188.8444400000008</v>
          </cell>
          <cell r="G26">
            <v>6440.71414</v>
          </cell>
          <cell r="H26">
            <v>5763.0191199999999</v>
          </cell>
          <cell r="I26">
            <v>4276.4903700000004</v>
          </cell>
          <cell r="J26">
            <v>3849.7966200000001</v>
          </cell>
          <cell r="K26">
            <v>4067.5318700000003</v>
          </cell>
          <cell r="L26">
            <v>5093.6930899999998</v>
          </cell>
        </row>
        <row r="27">
          <cell r="A27" t="str">
            <v>Telerj11290000</v>
          </cell>
          <cell r="B27">
            <v>7551.0040899999995</v>
          </cell>
          <cell r="C27">
            <v>8632.7198399999997</v>
          </cell>
          <cell r="D27">
            <v>9233.4966400000012</v>
          </cell>
          <cell r="E27">
            <v>6147.6808700000001</v>
          </cell>
          <cell r="F27">
            <v>12008.785820000001</v>
          </cell>
          <cell r="G27">
            <v>5713.2839899999999</v>
          </cell>
          <cell r="H27">
            <v>7919.8532000000005</v>
          </cell>
          <cell r="I27">
            <v>6290.2485700000007</v>
          </cell>
          <cell r="J27">
            <v>0</v>
          </cell>
          <cell r="K27">
            <v>0</v>
          </cell>
          <cell r="L27">
            <v>0</v>
          </cell>
        </row>
        <row r="28">
          <cell r="A28" t="str">
            <v>Telerj11300000</v>
          </cell>
          <cell r="B28">
            <v>18230.858469999999</v>
          </cell>
          <cell r="C28">
            <v>13949.93651</v>
          </cell>
          <cell r="D28">
            <v>10889.316800000001</v>
          </cell>
          <cell r="E28">
            <v>7381.8923399999994</v>
          </cell>
          <cell r="F28">
            <v>5921.0243399999999</v>
          </cell>
          <cell r="G28">
            <v>1576.0223500000002</v>
          </cell>
          <cell r="H28">
            <v>821.42406999999992</v>
          </cell>
          <cell r="I28">
            <v>1016.53612</v>
          </cell>
          <cell r="J28">
            <v>3194.9857700000002</v>
          </cell>
          <cell r="K28">
            <v>5166.8962499999998</v>
          </cell>
          <cell r="L28">
            <v>5364.1135899999999</v>
          </cell>
        </row>
        <row r="29">
          <cell r="A29" t="str">
            <v>Telerj12120000</v>
          </cell>
          <cell r="B29">
            <v>8863.3096500000011</v>
          </cell>
          <cell r="C29">
            <v>8863.3096500000011</v>
          </cell>
          <cell r="D29">
            <v>8863.3096500000011</v>
          </cell>
          <cell r="E29">
            <v>8863.3096500000011</v>
          </cell>
          <cell r="F29">
            <v>8863.3096500000011</v>
          </cell>
          <cell r="G29">
            <v>8863.3096500000011</v>
          </cell>
          <cell r="H29">
            <v>8863.3096500000011</v>
          </cell>
          <cell r="I29">
            <v>8863.3096500000011</v>
          </cell>
          <cell r="J29">
            <v>8863.3096500000011</v>
          </cell>
          <cell r="K29">
            <v>8863.3096500000011</v>
          </cell>
          <cell r="L29">
            <v>8863.3096500000011</v>
          </cell>
        </row>
        <row r="30">
          <cell r="A30" t="str">
            <v>Telerj12130000</v>
          </cell>
          <cell r="B30">
            <v>323624.13589999999</v>
          </cell>
          <cell r="C30">
            <v>375715.02</v>
          </cell>
          <cell r="D30">
            <v>375252.19349999999</v>
          </cell>
          <cell r="E30">
            <v>377755.80580000003</v>
          </cell>
          <cell r="F30">
            <v>383741.46369999996</v>
          </cell>
          <cell r="G30">
            <v>378237.41810000001</v>
          </cell>
          <cell r="H30">
            <v>373259.71510000003</v>
          </cell>
          <cell r="I30">
            <v>377758.10480000003</v>
          </cell>
          <cell r="J30">
            <v>295218.84710000001</v>
          </cell>
          <cell r="K30">
            <v>300432.2782</v>
          </cell>
          <cell r="L30">
            <v>298099.3</v>
          </cell>
        </row>
        <row r="31">
          <cell r="A31" t="str">
            <v>Telerj12131111</v>
          </cell>
          <cell r="B31">
            <v>231030.63259999998</v>
          </cell>
          <cell r="C31">
            <v>239646.72219999999</v>
          </cell>
          <cell r="D31">
            <v>239223.842</v>
          </cell>
          <cell r="E31">
            <v>241070.3155</v>
          </cell>
          <cell r="F31">
            <v>245373.99919999999</v>
          </cell>
          <cell r="G31">
            <v>241123.25260000001</v>
          </cell>
          <cell r="H31">
            <v>239212.79619999998</v>
          </cell>
          <cell r="I31">
            <v>243436.41759999999</v>
          </cell>
          <cell r="J31">
            <v>235385.84519999998</v>
          </cell>
          <cell r="K31">
            <v>235060.12430000002</v>
          </cell>
          <cell r="L31">
            <v>224057.38259999998</v>
          </cell>
        </row>
        <row r="32">
          <cell r="A32" t="str">
            <v>Telerj12131114</v>
          </cell>
          <cell r="B32">
            <v>13274.7379</v>
          </cell>
          <cell r="C32">
            <v>17265.185969999999</v>
          </cell>
          <cell r="D32">
            <v>17304.010969999999</v>
          </cell>
          <cell r="E32">
            <v>17304.022390000002</v>
          </cell>
          <cell r="F32">
            <v>17400.2143</v>
          </cell>
          <cell r="G32">
            <v>17613.63652</v>
          </cell>
          <cell r="H32">
            <v>14231.032499999999</v>
          </cell>
          <cell r="I32">
            <v>14987.861279999999</v>
          </cell>
          <cell r="J32">
            <v>15117.393269999999</v>
          </cell>
          <cell r="K32">
            <v>15921.515800000001</v>
          </cell>
          <cell r="L32">
            <v>18457.94497</v>
          </cell>
        </row>
        <row r="33">
          <cell r="A33" t="str">
            <v>Telerj12131121</v>
          </cell>
          <cell r="B33">
            <v>73681.873059999998</v>
          </cell>
          <cell r="C33">
            <v>76873.1345</v>
          </cell>
          <cell r="D33">
            <v>76793.266140000007</v>
          </cell>
          <cell r="E33">
            <v>77457.983950000009</v>
          </cell>
          <cell r="F33">
            <v>79007.515310000003</v>
          </cell>
          <cell r="G33">
            <v>77469.65539</v>
          </cell>
          <cell r="H33">
            <v>79027.673030000005</v>
          </cell>
          <cell r="I33">
            <v>78304.401389999999</v>
          </cell>
          <cell r="J33">
            <v>0</v>
          </cell>
          <cell r="K33">
            <v>0</v>
          </cell>
          <cell r="L33">
            <v>0</v>
          </cell>
        </row>
        <row r="34">
          <cell r="A34" t="str">
            <v>Telerj12131122</v>
          </cell>
          <cell r="B34">
            <v>4305.4617199999993</v>
          </cell>
          <cell r="C34">
            <v>5738.0095799999999</v>
          </cell>
          <cell r="D34">
            <v>5747.4935500000001</v>
          </cell>
          <cell r="E34">
            <v>5745.2280499999997</v>
          </cell>
          <cell r="F34">
            <v>5779.8531199999998</v>
          </cell>
          <cell r="G34">
            <v>5852.8458899999996</v>
          </cell>
          <cell r="H34">
            <v>4612.4613600000002</v>
          </cell>
          <cell r="I34">
            <v>4856.6562199999998</v>
          </cell>
          <cell r="J34">
            <v>5442.2616200000002</v>
          </cell>
          <cell r="K34">
            <v>5731.7457300000005</v>
          </cell>
          <cell r="L34">
            <v>6644.8602300000002</v>
          </cell>
        </row>
        <row r="35">
          <cell r="A35" t="str">
            <v>Telerj14100000</v>
          </cell>
          <cell r="B35">
            <v>2160.6666600000003</v>
          </cell>
          <cell r="C35">
            <v>2160.6666600000003</v>
          </cell>
          <cell r="D35">
            <v>2160.6666600000003</v>
          </cell>
          <cell r="E35">
            <v>2160.6666600000003</v>
          </cell>
          <cell r="F35">
            <v>2160.6666600000003</v>
          </cell>
          <cell r="G35">
            <v>2334.0007599999999</v>
          </cell>
          <cell r="H35">
            <v>2334.0007599999999</v>
          </cell>
          <cell r="I35">
            <v>2334.0007599999999</v>
          </cell>
          <cell r="J35">
            <v>2334.0008199999997</v>
          </cell>
          <cell r="K35">
            <v>2334.0008199999997</v>
          </cell>
          <cell r="L35">
            <v>2334.0008199999997</v>
          </cell>
        </row>
        <row r="36">
          <cell r="A36" t="str">
            <v>Telerj14210000</v>
          </cell>
          <cell r="B36">
            <v>10006388.728</v>
          </cell>
          <cell r="C36">
            <v>10006388.922</v>
          </cell>
          <cell r="D36">
            <v>10006438.523</v>
          </cell>
          <cell r="E36">
            <v>10007018.630000001</v>
          </cell>
          <cell r="F36">
            <v>9950577.3159999996</v>
          </cell>
          <cell r="G36">
            <v>10009728.295</v>
          </cell>
          <cell r="H36">
            <v>9993534.2109999992</v>
          </cell>
          <cell r="I36">
            <v>10150875.689999999</v>
          </cell>
          <cell r="J36">
            <v>10359663.654999999</v>
          </cell>
          <cell r="K36">
            <v>10380682.359999999</v>
          </cell>
          <cell r="L36">
            <v>10410473.646</v>
          </cell>
        </row>
        <row r="37">
          <cell r="A37" t="str">
            <v>Telerj14220000</v>
          </cell>
          <cell r="B37">
            <v>91.18835</v>
          </cell>
          <cell r="C37">
            <v>91.18835</v>
          </cell>
          <cell r="D37">
            <v>91.18835</v>
          </cell>
          <cell r="E37">
            <v>91.18835</v>
          </cell>
          <cell r="F37">
            <v>91.18835</v>
          </cell>
          <cell r="G37">
            <v>91.18835</v>
          </cell>
          <cell r="H37">
            <v>91.18835</v>
          </cell>
          <cell r="I37">
            <v>91.18835</v>
          </cell>
          <cell r="J37">
            <v>0</v>
          </cell>
          <cell r="K37">
            <v>0</v>
          </cell>
          <cell r="L37">
            <v>0</v>
          </cell>
        </row>
        <row r="38">
          <cell r="A38" t="str">
            <v>Telerj14230000</v>
          </cell>
          <cell r="B38">
            <v>183569.2641</v>
          </cell>
          <cell r="C38">
            <v>211088.08909999998</v>
          </cell>
          <cell r="D38">
            <v>250881.01830000003</v>
          </cell>
          <cell r="E38">
            <v>282501.72610000003</v>
          </cell>
          <cell r="F38">
            <v>307402.04680000001</v>
          </cell>
          <cell r="G38">
            <v>301753.88669999997</v>
          </cell>
          <cell r="H38">
            <v>417352.02600000001</v>
          </cell>
          <cell r="I38">
            <v>370046.1287</v>
          </cell>
          <cell r="J38">
            <v>276250.72619999998</v>
          </cell>
          <cell r="K38">
            <v>315144.1115</v>
          </cell>
          <cell r="L38">
            <v>407112.1495</v>
          </cell>
        </row>
        <row r="39">
          <cell r="A39" t="str">
            <v>Telerj14230010</v>
          </cell>
          <cell r="B39">
            <v>47215.538719999997</v>
          </cell>
          <cell r="C39">
            <v>47215.538719999997</v>
          </cell>
          <cell r="D39">
            <v>47215.538719999997</v>
          </cell>
          <cell r="E39">
            <v>47215.538719999997</v>
          </cell>
          <cell r="F39">
            <v>47215.538719999997</v>
          </cell>
          <cell r="G39">
            <v>47215.538719999997</v>
          </cell>
          <cell r="H39">
            <v>32824.053510000005</v>
          </cell>
          <cell r="I39">
            <v>18417.248190000002</v>
          </cell>
          <cell r="J39">
            <v>276250.72619999998</v>
          </cell>
          <cell r="K39">
            <v>315144.1115</v>
          </cell>
          <cell r="L39">
            <v>407112.1495</v>
          </cell>
        </row>
        <row r="40">
          <cell r="A40" t="str">
            <v>Telerj14230020</v>
          </cell>
          <cell r="B40">
            <v>136353.7254</v>
          </cell>
          <cell r="C40">
            <v>163872.55040000001</v>
          </cell>
          <cell r="D40">
            <v>203665.47959999999</v>
          </cell>
          <cell r="E40">
            <v>235286.1874</v>
          </cell>
          <cell r="F40">
            <v>260186.50810000001</v>
          </cell>
          <cell r="G40">
            <v>254538.348</v>
          </cell>
          <cell r="H40">
            <v>384527.97249999997</v>
          </cell>
          <cell r="I40">
            <v>351628.88050000003</v>
          </cell>
          <cell r="J40">
            <v>0</v>
          </cell>
          <cell r="K40">
            <v>0</v>
          </cell>
          <cell r="L40">
            <v>0</v>
          </cell>
        </row>
        <row r="41">
          <cell r="A41" t="str">
            <v>Telerj14240000</v>
          </cell>
          <cell r="B41">
            <v>40099.765740000003</v>
          </cell>
          <cell r="C41">
            <v>48675.887950000004</v>
          </cell>
          <cell r="D41">
            <v>51180.50303</v>
          </cell>
          <cell r="E41">
            <v>51355.006200000003</v>
          </cell>
          <cell r="F41">
            <v>54584.147729999997</v>
          </cell>
          <cell r="G41">
            <v>39950.542729999994</v>
          </cell>
          <cell r="H41">
            <v>38797.2022</v>
          </cell>
          <cell r="I41">
            <v>55947.98014</v>
          </cell>
          <cell r="J41">
            <v>0</v>
          </cell>
          <cell r="K41">
            <v>0</v>
          </cell>
          <cell r="L41">
            <v>0</v>
          </cell>
        </row>
        <row r="42">
          <cell r="A42" t="str">
            <v>Telerj14250000</v>
          </cell>
          <cell r="B42">
            <v>1786.61193</v>
          </cell>
          <cell r="C42">
            <v>1786.61193</v>
          </cell>
          <cell r="D42">
            <v>1786.61193</v>
          </cell>
          <cell r="E42">
            <v>1786.61193</v>
          </cell>
          <cell r="F42">
            <v>1786.61193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 t="str">
            <v>Telerj14290000</v>
          </cell>
          <cell r="B43">
            <v>-6263854.4189999998</v>
          </cell>
          <cell r="C43">
            <v>-6331704.5300000003</v>
          </cell>
          <cell r="D43">
            <v>-6406264.5609999998</v>
          </cell>
          <cell r="E43">
            <v>-6477651.6639999999</v>
          </cell>
          <cell r="F43">
            <v>-6521628.3370000003</v>
          </cell>
          <cell r="G43">
            <v>-6595207.8430000003</v>
          </cell>
          <cell r="H43">
            <v>-6668926.068</v>
          </cell>
          <cell r="I43">
            <v>-6737510.2039999999</v>
          </cell>
          <cell r="J43">
            <v>-6810454.1809999999</v>
          </cell>
          <cell r="K43">
            <v>-6887063.9249999998</v>
          </cell>
          <cell r="L43">
            <v>-6963358.2560000001</v>
          </cell>
        </row>
        <row r="44">
          <cell r="A44" t="str">
            <v>Telerj14300000</v>
          </cell>
          <cell r="B44">
            <v>12092.969289999999</v>
          </cell>
          <cell r="C44">
            <v>13205.57999</v>
          </cell>
          <cell r="D44">
            <v>15781.60082</v>
          </cell>
          <cell r="E44">
            <v>16793.21285</v>
          </cell>
          <cell r="F44">
            <v>20441.094570000001</v>
          </cell>
          <cell r="G44">
            <v>21840.534620000002</v>
          </cell>
          <cell r="H44">
            <v>21949.15482</v>
          </cell>
          <cell r="I44">
            <v>28267.204020000001</v>
          </cell>
          <cell r="J44">
            <v>38909.698270000001</v>
          </cell>
          <cell r="K44">
            <v>42611.62343</v>
          </cell>
          <cell r="L44">
            <v>45531.865429999998</v>
          </cell>
        </row>
        <row r="45">
          <cell r="A45" t="str">
            <v>Telerj21110000</v>
          </cell>
          <cell r="B45">
            <v>37733.45882</v>
          </cell>
          <cell r="C45">
            <v>38694.074159999996</v>
          </cell>
          <cell r="D45">
            <v>36412.091549999997</v>
          </cell>
          <cell r="E45">
            <v>33620.547030000002</v>
          </cell>
          <cell r="F45">
            <v>34729.018170000003</v>
          </cell>
          <cell r="G45">
            <v>36620.985990000001</v>
          </cell>
          <cell r="H45">
            <v>38634.622920000002</v>
          </cell>
          <cell r="I45">
            <v>30720.989000000001</v>
          </cell>
          <cell r="J45">
            <v>45700.579229999996</v>
          </cell>
          <cell r="K45">
            <v>47800.207029999998</v>
          </cell>
          <cell r="L45">
            <v>46431.650900000001</v>
          </cell>
        </row>
        <row r="46">
          <cell r="A46" t="str">
            <v>Telerj21113700</v>
          </cell>
          <cell r="B46">
            <v>13167.642220000002</v>
          </cell>
          <cell r="C46">
            <v>12771.850349999999</v>
          </cell>
          <cell r="D46">
            <v>12968.339910000001</v>
          </cell>
          <cell r="E46">
            <v>12988.130369999999</v>
          </cell>
          <cell r="F46">
            <v>13411.97364</v>
          </cell>
          <cell r="G46">
            <v>13951.251189999999</v>
          </cell>
          <cell r="H46">
            <v>13484.527830000001</v>
          </cell>
          <cell r="I46">
            <v>12934.370220000001</v>
          </cell>
          <cell r="J46">
            <v>13829.4593</v>
          </cell>
          <cell r="K46">
            <v>14337.508890000001</v>
          </cell>
          <cell r="L46">
            <v>14571.0771</v>
          </cell>
        </row>
        <row r="47">
          <cell r="A47" t="str">
            <v>Telerj21113800</v>
          </cell>
          <cell r="B47">
            <v>953.48256000000003</v>
          </cell>
          <cell r="C47">
            <v>1901.56105</v>
          </cell>
          <cell r="D47">
            <v>2877.72388</v>
          </cell>
          <cell r="E47">
            <v>3731.9672400000004</v>
          </cell>
          <cell r="F47">
            <v>4559.2262499999997</v>
          </cell>
          <cell r="G47">
            <v>5408.6047099999996</v>
          </cell>
          <cell r="H47">
            <v>6286.3896399999994</v>
          </cell>
          <cell r="I47">
            <v>7057.8353099999995</v>
          </cell>
          <cell r="J47">
            <v>7779.9455099999996</v>
          </cell>
          <cell r="K47">
            <v>8742.1175700000003</v>
          </cell>
          <cell r="L47">
            <v>9772.1801899999991</v>
          </cell>
        </row>
        <row r="48">
          <cell r="A48" t="str">
            <v>Telerj21120000</v>
          </cell>
          <cell r="B48">
            <v>353997.18669999996</v>
          </cell>
          <cell r="C48">
            <v>312601.58860000002</v>
          </cell>
          <cell r="D48">
            <v>357541.93830000004</v>
          </cell>
          <cell r="E48">
            <v>365228.99229999998</v>
          </cell>
          <cell r="F48">
            <v>381984.09960000002</v>
          </cell>
          <cell r="G48">
            <v>404684.25389999995</v>
          </cell>
          <cell r="H48">
            <v>330887.69430000003</v>
          </cell>
          <cell r="I48">
            <v>385297.27260000003</v>
          </cell>
          <cell r="J48">
            <v>360951.70019999996</v>
          </cell>
          <cell r="K48">
            <v>235478.14930000002</v>
          </cell>
          <cell r="L48">
            <v>319752.62</v>
          </cell>
        </row>
        <row r="49">
          <cell r="A49" t="str">
            <v>Telerj21121120</v>
          </cell>
          <cell r="B49">
            <v>32923.512060000001</v>
          </cell>
          <cell r="C49">
            <v>57990.6</v>
          </cell>
          <cell r="D49">
            <v>87927.106060000006</v>
          </cell>
          <cell r="E49">
            <v>96182.083620000005</v>
          </cell>
          <cell r="F49">
            <v>92179.13801000001</v>
          </cell>
          <cell r="G49">
            <v>85484.237549999991</v>
          </cell>
          <cell r="H49">
            <v>197933.8321</v>
          </cell>
          <cell r="I49">
            <v>143731.0766</v>
          </cell>
          <cell r="J49">
            <v>0</v>
          </cell>
          <cell r="K49">
            <v>0</v>
          </cell>
          <cell r="L49">
            <v>0</v>
          </cell>
        </row>
        <row r="50">
          <cell r="A50" t="str">
            <v>Telerj21130000</v>
          </cell>
          <cell r="B50">
            <v>113415.79</v>
          </cell>
          <cell r="C50">
            <v>84989.483269999997</v>
          </cell>
          <cell r="D50">
            <v>89063.194579999996</v>
          </cell>
          <cell r="E50">
            <v>93889.763709999999</v>
          </cell>
          <cell r="F50">
            <v>75841.117969999992</v>
          </cell>
          <cell r="G50">
            <v>74621.098389999999</v>
          </cell>
          <cell r="H50">
            <v>72189.607260000004</v>
          </cell>
          <cell r="I50">
            <v>19009.69326</v>
          </cell>
          <cell r="J50">
            <v>79349.213260000004</v>
          </cell>
          <cell r="K50">
            <v>79703.993480000005</v>
          </cell>
          <cell r="L50">
            <v>71250.374319999988</v>
          </cell>
        </row>
        <row r="51">
          <cell r="A51" t="str">
            <v>Telerj21141100</v>
          </cell>
          <cell r="B51">
            <v>275755.09860000003</v>
          </cell>
          <cell r="C51">
            <v>281136.01060000004</v>
          </cell>
          <cell r="D51">
            <v>299521.50589999999</v>
          </cell>
          <cell r="E51">
            <v>297758.30589999998</v>
          </cell>
          <cell r="F51">
            <v>303695.40989999997</v>
          </cell>
          <cell r="G51">
            <v>302014.57650000002</v>
          </cell>
          <cell r="H51">
            <v>0</v>
          </cell>
          <cell r="I51">
            <v>0</v>
          </cell>
          <cell r="J51">
            <v>1418.9044799999999</v>
          </cell>
          <cell r="K51">
            <v>1689.83015</v>
          </cell>
          <cell r="L51">
            <v>0</v>
          </cell>
        </row>
        <row r="52">
          <cell r="A52" t="str">
            <v>Telerj21141200</v>
          </cell>
          <cell r="B52">
            <v>3635.1032599999999</v>
          </cell>
          <cell r="C52">
            <v>6636.3382000000001</v>
          </cell>
          <cell r="D52">
            <v>6833.2901199999997</v>
          </cell>
          <cell r="E52">
            <v>7344.3629600000004</v>
          </cell>
          <cell r="F52">
            <v>8725.4055399999997</v>
          </cell>
          <cell r="G52">
            <v>22950.956420000002</v>
          </cell>
          <cell r="H52">
            <v>306679.34710000001</v>
          </cell>
          <cell r="I52">
            <v>385082.71480000002</v>
          </cell>
          <cell r="J52">
            <v>449238.57799999998</v>
          </cell>
          <cell r="K52">
            <v>425624.12419999996</v>
          </cell>
          <cell r="L52">
            <v>436637.09539999999</v>
          </cell>
        </row>
        <row r="53">
          <cell r="A53" t="str">
            <v>Telerj21142100</v>
          </cell>
          <cell r="B53">
            <v>8272.2062800000003</v>
          </cell>
          <cell r="C53">
            <v>15218.258880000001</v>
          </cell>
          <cell r="D53">
            <v>36.580059999999996</v>
          </cell>
          <cell r="E53">
            <v>36.580059999999996</v>
          </cell>
          <cell r="F53">
            <v>36.580059999999996</v>
          </cell>
          <cell r="G53">
            <v>36.580059999999996</v>
          </cell>
          <cell r="H53">
            <v>25158.65523</v>
          </cell>
          <cell r="I53">
            <v>29561.304539999997</v>
          </cell>
          <cell r="J53">
            <v>25105.80011</v>
          </cell>
          <cell r="K53">
            <v>31340.195070000002</v>
          </cell>
          <cell r="L53">
            <v>31557.267940000002</v>
          </cell>
        </row>
        <row r="54">
          <cell r="A54" t="str">
            <v>Telerj21142200</v>
          </cell>
          <cell r="B54">
            <v>8271.921049999999</v>
          </cell>
          <cell r="C54">
            <v>8953.80098</v>
          </cell>
          <cell r="D54">
            <v>27266.905220000001</v>
          </cell>
          <cell r="E54">
            <v>17222.568010000003</v>
          </cell>
          <cell r="F54">
            <v>32529.636399999999</v>
          </cell>
          <cell r="G54">
            <v>18988.614570000002</v>
          </cell>
          <cell r="H54">
            <v>36.580059999999996</v>
          </cell>
          <cell r="I54">
            <v>36.580059999999996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A55" t="str">
            <v>Telerj21150000</v>
          </cell>
          <cell r="B55">
            <v>37945.043159999994</v>
          </cell>
          <cell r="C55">
            <v>31379.58567</v>
          </cell>
          <cell r="D55">
            <v>31732.72076</v>
          </cell>
          <cell r="E55">
            <v>25703.483600000003</v>
          </cell>
          <cell r="F55">
            <v>17952.57891</v>
          </cell>
          <cell r="G55">
            <v>31646.318739999999</v>
          </cell>
          <cell r="H55">
            <v>19520.751920000002</v>
          </cell>
          <cell r="I55">
            <v>9191.566929999999</v>
          </cell>
          <cell r="J55">
            <v>16905.327699999998</v>
          </cell>
          <cell r="K55">
            <v>12994.7634</v>
          </cell>
          <cell r="L55">
            <v>13423.864079999999</v>
          </cell>
        </row>
        <row r="56">
          <cell r="A56" t="str">
            <v>Telerj21160000</v>
          </cell>
          <cell r="B56">
            <v>15755.594509999999</v>
          </cell>
          <cell r="C56">
            <v>15653.995949999999</v>
          </cell>
          <cell r="D56">
            <v>15633.847009999999</v>
          </cell>
          <cell r="E56">
            <v>15574.58107</v>
          </cell>
          <cell r="F56">
            <v>15546.23101</v>
          </cell>
          <cell r="G56">
            <v>15518.064960000002</v>
          </cell>
          <cell r="H56">
            <v>24582.766010000003</v>
          </cell>
          <cell r="I56">
            <v>26337.84419</v>
          </cell>
          <cell r="J56">
            <v>18539.339370000002</v>
          </cell>
          <cell r="K56">
            <v>19987.163</v>
          </cell>
          <cell r="L56">
            <v>18425.241020000001</v>
          </cell>
        </row>
        <row r="57">
          <cell r="A57" t="str">
            <v>Telerj21170000</v>
          </cell>
          <cell r="B57">
            <v>157589.02519999997</v>
          </cell>
          <cell r="C57">
            <v>161851.27600000001</v>
          </cell>
          <cell r="D57">
            <v>168868.4172</v>
          </cell>
          <cell r="E57">
            <v>176881.829</v>
          </cell>
          <cell r="F57">
            <v>178077.14850000001</v>
          </cell>
          <cell r="G57">
            <v>172162.52619999999</v>
          </cell>
          <cell r="H57">
            <v>15484.961210000001</v>
          </cell>
          <cell r="I57">
            <v>12890.6013</v>
          </cell>
          <cell r="J57">
            <v>12890.6013</v>
          </cell>
          <cell r="K57">
            <v>12878.20505</v>
          </cell>
          <cell r="L57">
            <v>12859.946029999999</v>
          </cell>
        </row>
        <row r="58">
          <cell r="A58" t="str">
            <v>Telerj21190000</v>
          </cell>
          <cell r="B58">
            <v>42994.335370000001</v>
          </cell>
          <cell r="C58">
            <v>47062.525580000001</v>
          </cell>
          <cell r="D58">
            <v>44094.3943</v>
          </cell>
          <cell r="E58">
            <v>40500.332549999999</v>
          </cell>
          <cell r="F58">
            <v>42241.083030000002</v>
          </cell>
          <cell r="G58">
            <v>40098.539340000003</v>
          </cell>
          <cell r="H58">
            <v>177176.25719999999</v>
          </cell>
          <cell r="I58">
            <v>178654.6943</v>
          </cell>
          <cell r="J58">
            <v>203660.47839999999</v>
          </cell>
          <cell r="K58">
            <v>202257.02069999999</v>
          </cell>
          <cell r="L58">
            <v>204203.1151</v>
          </cell>
        </row>
        <row r="59">
          <cell r="A59" t="str">
            <v>Telerj22130000</v>
          </cell>
          <cell r="B59">
            <v>81285.795400000003</v>
          </cell>
          <cell r="C59">
            <v>135764.30859999999</v>
          </cell>
          <cell r="D59">
            <v>135764.30859999999</v>
          </cell>
          <cell r="E59">
            <v>135764.30859999999</v>
          </cell>
          <cell r="F59">
            <v>154928.12640000001</v>
          </cell>
          <cell r="G59">
            <v>154928.12640000001</v>
          </cell>
          <cell r="H59">
            <v>37234.792520000003</v>
          </cell>
          <cell r="I59">
            <v>31085.445769999998</v>
          </cell>
          <cell r="J59">
            <v>3480.24548</v>
          </cell>
          <cell r="K59">
            <v>144154.30869999999</v>
          </cell>
          <cell r="L59">
            <v>118831.01879999999</v>
          </cell>
        </row>
        <row r="60">
          <cell r="A60" t="str">
            <v>Telerj22141200</v>
          </cell>
          <cell r="B60">
            <v>14124.364</v>
          </cell>
          <cell r="C60">
            <v>25179.7</v>
          </cell>
          <cell r="D60">
            <v>24879.508000000002</v>
          </cell>
          <cell r="E60">
            <v>25720.612000000001</v>
          </cell>
          <cell r="F60">
            <v>26002.396000000001</v>
          </cell>
          <cell r="G60">
            <v>44825.428610000003</v>
          </cell>
          <cell r="H60">
            <v>154689.35809999998</v>
          </cell>
          <cell r="I60">
            <v>154689.35809999998</v>
          </cell>
          <cell r="J60">
            <v>31420.32487</v>
          </cell>
          <cell r="K60">
            <v>31420.32487</v>
          </cell>
          <cell r="L60">
            <v>31420.32487</v>
          </cell>
        </row>
        <row r="61">
          <cell r="A61" t="str">
            <v>Telerj22142100</v>
          </cell>
          <cell r="B61">
            <v>58330.14258</v>
          </cell>
          <cell r="C61">
            <v>116450.05990000001</v>
          </cell>
          <cell r="D61">
            <v>-8745.6615399999991</v>
          </cell>
          <cell r="E61">
            <v>0</v>
          </cell>
          <cell r="F61">
            <v>0</v>
          </cell>
          <cell r="G61">
            <v>0</v>
          </cell>
          <cell r="H61">
            <v>44062.060969999999</v>
          </cell>
          <cell r="I61">
            <v>117478.15459999999</v>
          </cell>
          <cell r="J61">
            <v>122003.6387</v>
          </cell>
          <cell r="K61">
            <v>144268.07619999998</v>
          </cell>
          <cell r="L61">
            <v>140189.66780000002</v>
          </cell>
        </row>
        <row r="62">
          <cell r="A62" t="str">
            <v>Telerj22142200</v>
          </cell>
          <cell r="B62">
            <v>31993.311140000002</v>
          </cell>
          <cell r="C62">
            <v>33219.10471</v>
          </cell>
          <cell r="D62">
            <v>108851.97959999999</v>
          </cell>
          <cell r="E62">
            <v>103549.1474</v>
          </cell>
          <cell r="F62">
            <v>88707.642349999995</v>
          </cell>
          <cell r="G62">
            <v>66435.793479999993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 t="str">
            <v>Telerj22150000</v>
          </cell>
          <cell r="B63">
            <v>132.56882999999999</v>
          </cell>
          <cell r="C63">
            <v>132.56882999999999</v>
          </cell>
          <cell r="D63">
            <v>132.56882999999999</v>
          </cell>
          <cell r="E63">
            <v>132.56882999999999</v>
          </cell>
          <cell r="F63">
            <v>132.56882999999999</v>
          </cell>
          <cell r="G63">
            <v>132.56882999999999</v>
          </cell>
          <cell r="H63">
            <v>65505.692369999997</v>
          </cell>
          <cell r="I63">
            <v>30692.130880000001</v>
          </cell>
          <cell r="J63">
            <v>27475.554350000002</v>
          </cell>
          <cell r="K63">
            <v>28448.681049999999</v>
          </cell>
          <cell r="L63">
            <v>29202.742469999997</v>
          </cell>
        </row>
        <row r="64">
          <cell r="A64" t="str">
            <v>Telerj22170000</v>
          </cell>
          <cell r="B64">
            <v>53098.951580000001</v>
          </cell>
          <cell r="C64">
            <v>69060.743829999992</v>
          </cell>
          <cell r="D64">
            <v>69216.043860000005</v>
          </cell>
          <cell r="E64">
            <v>69216.089489999998</v>
          </cell>
          <cell r="F64">
            <v>69600.857150000011</v>
          </cell>
          <cell r="G64">
            <v>70454.546029999998</v>
          </cell>
          <cell r="H64">
            <v>130.78380999999999</v>
          </cell>
          <cell r="I64">
            <v>130.78380999999999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Telerj22190000</v>
          </cell>
          <cell r="B65">
            <v>3628.3110200000001</v>
          </cell>
          <cell r="C65">
            <v>389.81346000000002</v>
          </cell>
          <cell r="D65">
            <v>356.26573999999999</v>
          </cell>
          <cell r="E65">
            <v>334.96596</v>
          </cell>
          <cell r="F65">
            <v>341.46941999999996</v>
          </cell>
          <cell r="G65">
            <v>334.04897</v>
          </cell>
          <cell r="H65">
            <v>56924.026429999998</v>
          </cell>
          <cell r="I65">
            <v>59951.444539999997</v>
          </cell>
          <cell r="J65">
            <v>60469.573049999999</v>
          </cell>
          <cell r="K65">
            <v>63686.063150000002</v>
          </cell>
          <cell r="L65">
            <v>73831.779829999999</v>
          </cell>
        </row>
        <row r="66">
          <cell r="A66" t="str">
            <v>Telerj23100000</v>
          </cell>
          <cell r="B66">
            <v>4455.27592</v>
          </cell>
          <cell r="C66">
            <v>4455.27592</v>
          </cell>
          <cell r="D66">
            <v>6259.6050300000006</v>
          </cell>
          <cell r="E66">
            <v>4326.5094000000008</v>
          </cell>
          <cell r="F66">
            <v>4294.3177699999997</v>
          </cell>
          <cell r="G66">
            <v>4262.1261399999994</v>
          </cell>
          <cell r="H66">
            <v>324.9502</v>
          </cell>
          <cell r="I66">
            <v>313.01559999999995</v>
          </cell>
          <cell r="J66">
            <v>123716.9442</v>
          </cell>
          <cell r="K66">
            <v>123728.7399</v>
          </cell>
          <cell r="L66">
            <v>123735.76890000001</v>
          </cell>
        </row>
        <row r="67">
          <cell r="A67" t="str">
            <v>Telerj24100000</v>
          </cell>
          <cell r="B67">
            <v>258.85329999999999</v>
          </cell>
          <cell r="C67">
            <v>258.22017999999997</v>
          </cell>
          <cell r="D67">
            <v>259.48716000000002</v>
          </cell>
          <cell r="E67">
            <v>259.48716000000002</v>
          </cell>
          <cell r="F67">
            <v>259.48716000000002</v>
          </cell>
          <cell r="G67">
            <v>256.95317</v>
          </cell>
          <cell r="H67">
            <v>4229.93451</v>
          </cell>
          <cell r="I67">
            <v>4197.7428799999998</v>
          </cell>
          <cell r="J67">
            <v>4197.7428799999998</v>
          </cell>
          <cell r="K67">
            <v>4197.7428799999998</v>
          </cell>
          <cell r="L67">
            <v>4101.1679899999999</v>
          </cell>
        </row>
        <row r="68">
          <cell r="A68" t="str">
            <v>Telerj25100000</v>
          </cell>
          <cell r="B68">
            <v>3816111.7370000002</v>
          </cell>
          <cell r="C68">
            <v>3816111.7370000002</v>
          </cell>
          <cell r="D68">
            <v>3816111.7370000002</v>
          </cell>
          <cell r="E68">
            <v>3816111.7370000002</v>
          </cell>
          <cell r="F68">
            <v>3816111.7370000002</v>
          </cell>
          <cell r="G68">
            <v>3816111.7370000002</v>
          </cell>
          <cell r="H68">
            <v>256.95317</v>
          </cell>
          <cell r="I68">
            <v>256.95317</v>
          </cell>
          <cell r="J68">
            <v>256.95317</v>
          </cell>
          <cell r="K68">
            <v>256.95317</v>
          </cell>
          <cell r="L68">
            <v>256.95317</v>
          </cell>
        </row>
        <row r="69">
          <cell r="A69" t="str">
            <v>Telerj25210000</v>
          </cell>
          <cell r="B69">
            <v>456637.9068</v>
          </cell>
          <cell r="C69">
            <v>456670.8763</v>
          </cell>
          <cell r="D69">
            <v>456672.4497</v>
          </cell>
          <cell r="E69">
            <v>456672.4497</v>
          </cell>
          <cell r="F69">
            <v>456676.34960000002</v>
          </cell>
          <cell r="G69">
            <v>456737.15649999998</v>
          </cell>
          <cell r="H69">
            <v>3816111.7370000002</v>
          </cell>
          <cell r="I69">
            <v>3816111.7370000002</v>
          </cell>
          <cell r="J69">
            <v>3816111.7370000002</v>
          </cell>
          <cell r="K69">
            <v>3816111.7370000002</v>
          </cell>
          <cell r="L69">
            <v>3816111.7370000002</v>
          </cell>
        </row>
        <row r="70">
          <cell r="A70" t="str">
            <v>Telerj25310000</v>
          </cell>
          <cell r="B70">
            <v>-451775.39010000002</v>
          </cell>
          <cell r="C70">
            <v>-492527.29439999996</v>
          </cell>
          <cell r="D70">
            <v>-492527.29439999996</v>
          </cell>
          <cell r="E70">
            <v>-492527.29439999996</v>
          </cell>
          <cell r="F70">
            <v>-492527.29439999996</v>
          </cell>
          <cell r="G70">
            <v>-492527.29439999996</v>
          </cell>
          <cell r="H70">
            <v>456737.15649999998</v>
          </cell>
          <cell r="I70">
            <v>456737.15649999998</v>
          </cell>
          <cell r="J70">
            <v>456737.15649999998</v>
          </cell>
          <cell r="K70">
            <v>456737.15649999998</v>
          </cell>
          <cell r="L70">
            <v>456737.15649999998</v>
          </cell>
        </row>
        <row r="71">
          <cell r="A71" t="str">
            <v>Telerj25320000</v>
          </cell>
          <cell r="B71">
            <v>-18161.623059999998</v>
          </cell>
          <cell r="C71">
            <v>-19927.141460000003</v>
          </cell>
          <cell r="D71">
            <v>-27509.046260000003</v>
          </cell>
          <cell r="E71">
            <v>-35871.368049999997</v>
          </cell>
          <cell r="F71">
            <v>-45979.421780000004</v>
          </cell>
          <cell r="G71">
            <v>-43602.525479999997</v>
          </cell>
          <cell r="H71">
            <v>-492527.29439999996</v>
          </cell>
          <cell r="I71">
            <v>-489955.09039999999</v>
          </cell>
          <cell r="J71">
            <v>-489955.09039999999</v>
          </cell>
          <cell r="K71">
            <v>-489955.09039999999</v>
          </cell>
          <cell r="L71">
            <v>-489955.09039999999</v>
          </cell>
        </row>
        <row r="72">
          <cell r="A72" t="str">
            <v>Telerj31289120</v>
          </cell>
          <cell r="B72">
            <v>4045.4060800000002</v>
          </cell>
          <cell r="C72">
            <v>940.44792000000007</v>
          </cell>
          <cell r="D72">
            <v>21.927879999999277</v>
          </cell>
          <cell r="E72">
            <v>0</v>
          </cell>
          <cell r="F72">
            <v>0</v>
          </cell>
          <cell r="G72">
            <v>0</v>
          </cell>
          <cell r="H72">
            <v>-54845.019319999999</v>
          </cell>
          <cell r="I72">
            <v>-36720.71675</v>
          </cell>
          <cell r="J72">
            <v>-38850.296119999999</v>
          </cell>
          <cell r="K72">
            <v>-24955.359579999997</v>
          </cell>
          <cell r="L72">
            <v>-21321.97064</v>
          </cell>
        </row>
        <row r="73">
          <cell r="A73" t="str">
            <v>Telerj31986210</v>
          </cell>
          <cell r="B73">
            <v>1489.33242</v>
          </cell>
          <cell r="C73">
            <v>1518.5167000000004</v>
          </cell>
          <cell r="D73">
            <v>1570.2897599999992</v>
          </cell>
          <cell r="E73">
            <v>1574.6758800000007</v>
          </cell>
          <cell r="F73">
            <v>1579.55879</v>
          </cell>
          <cell r="G73">
            <v>1598.2392099999997</v>
          </cell>
          <cell r="H73">
            <v>0</v>
          </cell>
          <cell r="I73">
            <v>0</v>
          </cell>
          <cell r="J73">
            <v>-5007.7818799999995</v>
          </cell>
          <cell r="K73">
            <v>0</v>
          </cell>
          <cell r="L73">
            <v>-5007.7818799999995</v>
          </cell>
        </row>
        <row r="74">
          <cell r="A74" t="str">
            <v>Telerj31986500</v>
          </cell>
          <cell r="B74">
            <v>52695.264380000001</v>
          </cell>
          <cell r="C74">
            <v>51242.036719999996</v>
          </cell>
          <cell r="D74">
            <v>51265.104500000001</v>
          </cell>
          <cell r="E74">
            <v>49890.18220000001</v>
          </cell>
          <cell r="F74">
            <v>42237.343599999993</v>
          </cell>
          <cell r="G74">
            <v>51507.25410000002</v>
          </cell>
          <cell r="H74">
            <v>1706.6104799999994</v>
          </cell>
          <cell r="I74">
            <v>1653.9277999999995</v>
          </cell>
          <cell r="J74">
            <v>1799.0116000000016</v>
          </cell>
          <cell r="K74">
            <v>1937.5761599999987</v>
          </cell>
          <cell r="L74">
            <v>1851.2783100000015</v>
          </cell>
        </row>
        <row r="75">
          <cell r="A75" t="str">
            <v>Telerj31986710</v>
          </cell>
          <cell r="B75">
            <v>6873.8418799999999</v>
          </cell>
          <cell r="C75">
            <v>7008.5386800000015</v>
          </cell>
          <cell r="D75">
            <v>7247.4912199999999</v>
          </cell>
          <cell r="E75">
            <v>7267.7347300000001</v>
          </cell>
          <cell r="F75">
            <v>7290.2714799999994</v>
          </cell>
          <cell r="G75">
            <v>7376.4113799999977</v>
          </cell>
          <cell r="H75">
            <v>55664.297699999996</v>
          </cell>
          <cell r="I75">
            <v>59581.084600000002</v>
          </cell>
          <cell r="J75">
            <v>61680.838199999998</v>
          </cell>
          <cell r="K75">
            <v>60304.666099999973</v>
          </cell>
          <cell r="L75">
            <v>61221.410700000008</v>
          </cell>
        </row>
        <row r="76">
          <cell r="A76" t="str">
            <v>Telerj41100000</v>
          </cell>
          <cell r="B76">
            <v>232768.0177</v>
          </cell>
          <cell r="C76">
            <v>235668.95170000001</v>
          </cell>
          <cell r="D76">
            <v>243294.79620000004</v>
          </cell>
          <cell r="E76">
            <v>243708.08</v>
          </cell>
          <cell r="F76">
            <v>244769.22939999995</v>
          </cell>
          <cell r="G76">
            <v>247520.52300000004</v>
          </cell>
          <cell r="H76">
            <v>7876.4866299999994</v>
          </cell>
          <cell r="I76">
            <v>7480.8571100000045</v>
          </cell>
          <cell r="J76">
            <v>8303.1301199999943</v>
          </cell>
          <cell r="K76">
            <v>8942.6590800000122</v>
          </cell>
          <cell r="L76">
            <v>8544.3614299999899</v>
          </cell>
        </row>
        <row r="77">
          <cell r="A77" t="str">
            <v>Telerj49100000</v>
          </cell>
          <cell r="B77">
            <v>-3639.9590699999999</v>
          </cell>
          <cell r="C77">
            <v>-2050.9963600000001</v>
          </cell>
          <cell r="D77">
            <v>-1711.7547600000007</v>
          </cell>
          <cell r="E77">
            <v>-1450.2555899999979</v>
          </cell>
          <cell r="F77">
            <v>-1760.1804200000006</v>
          </cell>
          <cell r="G77">
            <v>-1640.1434300000019</v>
          </cell>
          <cell r="H77">
            <v>238967.96800000011</v>
          </cell>
          <cell r="I77">
            <v>272347.14299999992</v>
          </cell>
          <cell r="J77">
            <v>278776.96000000002</v>
          </cell>
          <cell r="K77">
            <v>300277.7629999998</v>
          </cell>
          <cell r="L77">
            <v>287595.3459999999</v>
          </cell>
        </row>
        <row r="78">
          <cell r="A78" t="str">
            <v>Telerj49100000</v>
          </cell>
          <cell r="B78">
            <v>-3639.9590699999999</v>
          </cell>
          <cell r="C78">
            <v>-2050.9963600000001</v>
          </cell>
          <cell r="D78">
            <v>-1711.7547600000007</v>
          </cell>
          <cell r="E78">
            <v>-1450.2555899999979</v>
          </cell>
          <cell r="F78">
            <v>-1760.1804200000006</v>
          </cell>
          <cell r="G78">
            <v>-1640.1434300000019</v>
          </cell>
          <cell r="H78">
            <v>-1418.4145499999977</v>
          </cell>
          <cell r="I78">
            <v>-2011.9082300000009</v>
          </cell>
          <cell r="J78">
            <v>-2005.9572800000005</v>
          </cell>
          <cell r="K78">
            <v>-2189.1276499999985</v>
          </cell>
          <cell r="L78">
            <v>-2783.2974300000024</v>
          </cell>
        </row>
      </sheetData>
      <sheetData sheetId="17"/>
      <sheetData sheetId="18" refreshError="1"/>
      <sheetData sheetId="19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_TNL"/>
      <sheetName val="_NRJ"/>
      <sheetName val="_MG"/>
      <sheetName val="_ES"/>
      <sheetName val="_NMG"/>
      <sheetName val="_BA"/>
      <sheetName val="_SE"/>
      <sheetName val="_AL"/>
      <sheetName val="_NBA"/>
      <sheetName val="_PE"/>
      <sheetName val="_PB"/>
      <sheetName val="_RN"/>
      <sheetName val="_NPE"/>
      <sheetName val="_CE"/>
      <sheetName val="_PI"/>
      <sheetName val="_MA"/>
      <sheetName val="_PA"/>
      <sheetName val="_AP"/>
      <sheetName val="_AM"/>
      <sheetName val="_RR"/>
      <sheetName val="_NCE"/>
      <sheetName val="Resumo"/>
      <sheetName val="Sispec99"/>
      <sheetName val="Tabelas"/>
      <sheetName val="MêsBase"/>
      <sheetName val="Sisp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>
        <row r="1">
          <cell r="A1" t="str">
            <v>Chave</v>
          </cell>
          <cell r="B1" t="str">
            <v>01/01/99</v>
          </cell>
          <cell r="C1" t="str">
            <v>01/02/99</v>
          </cell>
          <cell r="D1" t="str">
            <v>01/03/99</v>
          </cell>
          <cell r="E1" t="str">
            <v>01/04/99</v>
          </cell>
          <cell r="F1" t="str">
            <v>01/05/99</v>
          </cell>
          <cell r="G1" t="str">
            <v>01/06/99</v>
          </cell>
          <cell r="H1" t="str">
            <v>01/07/99</v>
          </cell>
          <cell r="I1" t="str">
            <v>01/08/99</v>
          </cell>
          <cell r="J1" t="str">
            <v>01/09/99</v>
          </cell>
          <cell r="K1" t="str">
            <v>01/10/99</v>
          </cell>
          <cell r="L1" t="str">
            <v>01/11/99</v>
          </cell>
          <cell r="M1" t="str">
            <v>01/12/99</v>
          </cell>
        </row>
        <row r="2">
          <cell r="A2" t="str">
            <v>Telaima31138100</v>
          </cell>
          <cell r="B2">
            <v>167.24135000000001</v>
          </cell>
          <cell r="C2">
            <v>156.62540000000001</v>
          </cell>
          <cell r="D2">
            <v>209.32893000000001</v>
          </cell>
          <cell r="E2">
            <v>224.96592999999996</v>
          </cell>
          <cell r="F2">
            <v>41.79663000000005</v>
          </cell>
          <cell r="G2">
            <v>369.67239999999981</v>
          </cell>
          <cell r="H2">
            <v>217.33852999999999</v>
          </cell>
          <cell r="I2">
            <v>230.96537000000012</v>
          </cell>
          <cell r="J2">
            <v>160.79710999999998</v>
          </cell>
          <cell r="K2">
            <v>293.21443000000022</v>
          </cell>
          <cell r="L2">
            <v>487.69270999999981</v>
          </cell>
          <cell r="M2">
            <v>167.33993000000009</v>
          </cell>
        </row>
        <row r="3">
          <cell r="A3" t="str">
            <v>Telaima31138110</v>
          </cell>
          <cell r="B3">
            <v>156.30948999999998</v>
          </cell>
          <cell r="C3">
            <v>147.84411999999998</v>
          </cell>
          <cell r="D3">
            <v>187.93608000000006</v>
          </cell>
          <cell r="E3">
            <v>213.49630999999999</v>
          </cell>
          <cell r="F3">
            <v>31.404329999999959</v>
          </cell>
          <cell r="G3">
            <v>354.32413000000008</v>
          </cell>
          <cell r="H3">
            <v>204.57781999999997</v>
          </cell>
          <cell r="I3">
            <v>218.21349000000009</v>
          </cell>
          <cell r="J3">
            <v>167.12979999999993</v>
          </cell>
          <cell r="K3">
            <v>266.63920000000007</v>
          </cell>
          <cell r="L3">
            <v>479.37333000000012</v>
          </cell>
          <cell r="M3">
            <v>168.90086999999994</v>
          </cell>
        </row>
        <row r="4">
          <cell r="A4" t="str">
            <v>Telaima31138113</v>
          </cell>
          <cell r="B4">
            <v>156.30948999999998</v>
          </cell>
          <cell r="C4">
            <v>147.84411999999998</v>
          </cell>
          <cell r="D4">
            <v>187.93608000000006</v>
          </cell>
          <cell r="E4">
            <v>213.49630999999999</v>
          </cell>
          <cell r="F4">
            <v>31.404329999999959</v>
          </cell>
          <cell r="G4">
            <v>354.32413000000008</v>
          </cell>
          <cell r="H4">
            <v>204.57781999999997</v>
          </cell>
          <cell r="I4">
            <v>218.21349000000009</v>
          </cell>
          <cell r="J4">
            <v>167.12979999999993</v>
          </cell>
          <cell r="K4">
            <v>266.63920000000007</v>
          </cell>
          <cell r="L4">
            <v>479.37333000000012</v>
          </cell>
          <cell r="M4">
            <v>168.90086999999994</v>
          </cell>
        </row>
        <row r="5">
          <cell r="A5" t="str">
            <v>Telaima31138120</v>
          </cell>
          <cell r="B5">
            <v>0.33882000000000001</v>
          </cell>
          <cell r="C5">
            <v>0.11074000000000001</v>
          </cell>
          <cell r="D5">
            <v>0.78698000000000001</v>
          </cell>
          <cell r="E5">
            <v>0.33048000000000011</v>
          </cell>
          <cell r="F5">
            <v>0.37259999999999982</v>
          </cell>
          <cell r="G5">
            <v>0.33506000000000014</v>
          </cell>
          <cell r="H5">
            <v>0.32462000000000035</v>
          </cell>
          <cell r="I5">
            <v>0.34400999999999948</v>
          </cell>
          <cell r="J5">
            <v>-0.24617999999999984</v>
          </cell>
          <cell r="K5">
            <v>0.29585999999999979</v>
          </cell>
          <cell r="L5">
            <v>2.1450000000000191E-2</v>
          </cell>
          <cell r="M5">
            <v>-0.21126999999999985</v>
          </cell>
        </row>
        <row r="6">
          <cell r="A6" t="str">
            <v>Telaima31138122</v>
          </cell>
          <cell r="B6">
            <v>3.7450000000000004E-2</v>
          </cell>
          <cell r="C6">
            <v>2.325E-2</v>
          </cell>
          <cell r="D6">
            <v>7.9149999999999998E-2</v>
          </cell>
          <cell r="E6">
            <v>2.9409999999999992E-2</v>
          </cell>
          <cell r="F6">
            <v>-0.16925999999999999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Telaima31138123</v>
          </cell>
          <cell r="B7">
            <v>0.30137000000000003</v>
          </cell>
          <cell r="C7">
            <v>8.7490000000000012E-2</v>
          </cell>
          <cell r="D7">
            <v>0.70783000000000018</v>
          </cell>
          <cell r="E7">
            <v>0.30106999999999973</v>
          </cell>
          <cell r="F7">
            <v>0.54186000000000001</v>
          </cell>
          <cell r="G7">
            <v>0.33506000000000014</v>
          </cell>
          <cell r="H7">
            <v>0.32462000000000035</v>
          </cell>
          <cell r="I7">
            <v>0.34400999999999948</v>
          </cell>
          <cell r="J7">
            <v>-0.24617999999999984</v>
          </cell>
          <cell r="K7">
            <v>0.29585999999999979</v>
          </cell>
          <cell r="L7">
            <v>2.1450000000000191E-2</v>
          </cell>
          <cell r="M7">
            <v>-0.21126999999999985</v>
          </cell>
        </row>
        <row r="8">
          <cell r="A8" t="str">
            <v>Telaima31138130</v>
          </cell>
          <cell r="B8">
            <v>10.59304</v>
          </cell>
          <cell r="C8">
            <v>8.6705400000000008</v>
          </cell>
          <cell r="D8">
            <v>20.605869999999999</v>
          </cell>
          <cell r="E8">
            <v>11.139139999999998</v>
          </cell>
          <cell r="F8">
            <v>10.0197</v>
          </cell>
          <cell r="G8">
            <v>15.013210000000001</v>
          </cell>
          <cell r="H8">
            <v>12.436089999999993</v>
          </cell>
          <cell r="I8">
            <v>12.407870000000017</v>
          </cell>
          <cell r="J8">
            <v>-6.0865100000000183</v>
          </cell>
          <cell r="K8">
            <v>26.279370000000014</v>
          </cell>
          <cell r="L8">
            <v>8.2979299999999938</v>
          </cell>
          <cell r="M8">
            <v>-1.3496700000000033</v>
          </cell>
        </row>
        <row r="9">
          <cell r="A9" t="str">
            <v>Telaima31138133</v>
          </cell>
          <cell r="B9">
            <v>10.59304</v>
          </cell>
          <cell r="C9">
            <v>8.6705400000000008</v>
          </cell>
          <cell r="D9">
            <v>20.605869999999999</v>
          </cell>
          <cell r="E9">
            <v>11.139139999999998</v>
          </cell>
          <cell r="F9">
            <v>10.0197</v>
          </cell>
          <cell r="G9">
            <v>15.013210000000001</v>
          </cell>
          <cell r="H9">
            <v>12.436089999999993</v>
          </cell>
          <cell r="I9">
            <v>12.407870000000017</v>
          </cell>
          <cell r="J9">
            <v>-6.0865100000000183</v>
          </cell>
          <cell r="K9">
            <v>26.279370000000014</v>
          </cell>
          <cell r="L9">
            <v>8.2979299999999938</v>
          </cell>
          <cell r="M9">
            <v>-1.3496700000000033</v>
          </cell>
        </row>
        <row r="10">
          <cell r="A10" t="str">
            <v>Telaima31138300</v>
          </cell>
          <cell r="B10">
            <v>38.823190000000004</v>
          </cell>
          <cell r="C10">
            <v>33.661470000000001</v>
          </cell>
          <cell r="D10">
            <v>40.258179999999996</v>
          </cell>
          <cell r="E10">
            <v>40.258179999999982</v>
          </cell>
          <cell r="F10">
            <v>37.203280000000007</v>
          </cell>
          <cell r="G10">
            <v>37.038070000000005</v>
          </cell>
          <cell r="H10">
            <v>23.569040000000001</v>
          </cell>
          <cell r="I10">
            <v>38.389690000000002</v>
          </cell>
          <cell r="J10">
            <v>493.38181000000009</v>
          </cell>
          <cell r="K10">
            <v>-186.84473000000003</v>
          </cell>
          <cell r="L10">
            <v>118.28675999999984</v>
          </cell>
          <cell r="M10">
            <v>113.14755000000014</v>
          </cell>
        </row>
        <row r="11">
          <cell r="A11" t="str">
            <v>Telaima31138310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164.98442</v>
          </cell>
          <cell r="K11">
            <v>-164.24032</v>
          </cell>
          <cell r="L11">
            <v>0.29262999999999995</v>
          </cell>
          <cell r="M11">
            <v>0.19928999999999997</v>
          </cell>
        </row>
        <row r="12">
          <cell r="A12" t="str">
            <v>Telaima31138313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164.98442</v>
          </cell>
          <cell r="K12">
            <v>-164.24032</v>
          </cell>
          <cell r="L12">
            <v>0.29262999999999995</v>
          </cell>
          <cell r="M12">
            <v>0.19928999999999997</v>
          </cell>
        </row>
        <row r="13">
          <cell r="A13" t="str">
            <v>Telaima31138320</v>
          </cell>
          <cell r="B13">
            <v>12.21576</v>
          </cell>
          <cell r="C13">
            <v>9.75685</v>
          </cell>
          <cell r="D13">
            <v>11.830409999999997</v>
          </cell>
          <cell r="E13">
            <v>11.830410000000001</v>
          </cell>
          <cell r="F13">
            <v>10.324170000000002</v>
          </cell>
          <cell r="G13">
            <v>11.284849999999992</v>
          </cell>
          <cell r="H13">
            <v>-4.3838099999999898</v>
          </cell>
          <cell r="I13">
            <v>11.061600000000006</v>
          </cell>
          <cell r="J13">
            <v>310.25761</v>
          </cell>
          <cell r="K13">
            <v>-38.155859999999961</v>
          </cell>
          <cell r="L13">
            <v>92.303179999999941</v>
          </cell>
          <cell r="M13">
            <v>91.165840000000003</v>
          </cell>
        </row>
        <row r="14">
          <cell r="A14" t="str">
            <v>Telaima31138323</v>
          </cell>
          <cell r="B14">
            <v>12.21576</v>
          </cell>
          <cell r="C14">
            <v>9.75685</v>
          </cell>
          <cell r="D14">
            <v>11.830409999999997</v>
          </cell>
          <cell r="E14">
            <v>11.830410000000001</v>
          </cell>
          <cell r="F14">
            <v>10.324170000000002</v>
          </cell>
          <cell r="G14">
            <v>11.284849999999992</v>
          </cell>
          <cell r="H14">
            <v>-4.3838099999999898</v>
          </cell>
          <cell r="I14">
            <v>11.061600000000006</v>
          </cell>
          <cell r="J14">
            <v>310.25761</v>
          </cell>
          <cell r="K14">
            <v>-38.155859999999961</v>
          </cell>
          <cell r="L14">
            <v>92.303179999999941</v>
          </cell>
          <cell r="M14">
            <v>91.165840000000003</v>
          </cell>
        </row>
        <row r="15">
          <cell r="A15" t="str">
            <v>Telaima31138330</v>
          </cell>
          <cell r="B15">
            <v>26.607430000000001</v>
          </cell>
          <cell r="C15">
            <v>23.904620000000001</v>
          </cell>
          <cell r="D15">
            <v>28.42777000000001</v>
          </cell>
          <cell r="E15">
            <v>28.427769999999981</v>
          </cell>
          <cell r="F15">
            <v>26.879110000000011</v>
          </cell>
          <cell r="G15">
            <v>25.753219999999999</v>
          </cell>
          <cell r="H15">
            <v>27.952849999999984</v>
          </cell>
          <cell r="I15">
            <v>27.328090000000003</v>
          </cell>
          <cell r="J15">
            <v>18.13978000000003</v>
          </cell>
          <cell r="K15">
            <v>15.31553999999997</v>
          </cell>
          <cell r="L15">
            <v>25.59820000000002</v>
          </cell>
          <cell r="M15">
            <v>21.719249999999988</v>
          </cell>
        </row>
        <row r="16">
          <cell r="A16" t="str">
            <v>Telaima31138333</v>
          </cell>
          <cell r="B16">
            <v>26.607430000000001</v>
          </cell>
          <cell r="C16">
            <v>23.904620000000001</v>
          </cell>
          <cell r="D16">
            <v>28.42777000000001</v>
          </cell>
          <cell r="E16">
            <v>28.427769999999981</v>
          </cell>
          <cell r="F16">
            <v>26.879110000000011</v>
          </cell>
          <cell r="G16">
            <v>25.753219999999999</v>
          </cell>
          <cell r="H16">
            <v>27.952849999999984</v>
          </cell>
          <cell r="I16">
            <v>27.328090000000003</v>
          </cell>
          <cell r="J16">
            <v>18.13978000000003</v>
          </cell>
          <cell r="K16">
            <v>15.31553999999997</v>
          </cell>
          <cell r="L16">
            <v>25.59820000000002</v>
          </cell>
          <cell r="M16">
            <v>21.719249999999988</v>
          </cell>
        </row>
        <row r="17">
          <cell r="A17" t="str">
            <v>Telaima31138340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0.23591000000000001</v>
          </cell>
          <cell r="L17">
            <v>9.2749999999999999E-2</v>
          </cell>
          <cell r="M17">
            <v>6.3170000000000004E-2</v>
          </cell>
        </row>
        <row r="18">
          <cell r="A18" t="str">
            <v>Telaima31138343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0.23591000000000001</v>
          </cell>
          <cell r="L18">
            <v>9.2749999999999999E-2</v>
          </cell>
          <cell r="M18">
            <v>6.3170000000000004E-2</v>
          </cell>
        </row>
        <row r="19">
          <cell r="A19" t="str">
            <v>Telaima31144300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6.6001000000000003</v>
          </cell>
          <cell r="H19">
            <v>0</v>
          </cell>
          <cell r="I19">
            <v>7.9201299999999994</v>
          </cell>
          <cell r="J19">
            <v>15.840260000000002</v>
          </cell>
          <cell r="K19">
            <v>7.9201300000000039</v>
          </cell>
          <cell r="L19">
            <v>7.9021299999999925</v>
          </cell>
          <cell r="M19">
            <v>18.081130000000002</v>
          </cell>
        </row>
        <row r="20">
          <cell r="A20" t="str">
            <v>Telaima41111320</v>
          </cell>
          <cell r="B20">
            <v>146.74630999999999</v>
          </cell>
          <cell r="C20">
            <v>147.91497999999996</v>
          </cell>
          <cell r="D20">
            <v>139.30282000000005</v>
          </cell>
          <cell r="E20">
            <v>151.65881000000002</v>
          </cell>
          <cell r="F20">
            <v>112.77866999999992</v>
          </cell>
          <cell r="G20">
            <v>102.69937000000004</v>
          </cell>
          <cell r="H20">
            <v>62.413070000000062</v>
          </cell>
          <cell r="I20">
            <v>68.281439999999975</v>
          </cell>
          <cell r="J20">
            <v>60.628889999999956</v>
          </cell>
          <cell r="K20">
            <v>67.291099999999915</v>
          </cell>
          <cell r="L20">
            <v>48.391330000000153</v>
          </cell>
          <cell r="M20">
            <v>57.863689999999906</v>
          </cell>
        </row>
        <row r="21">
          <cell r="A21" t="str">
            <v>Telaima41111323</v>
          </cell>
          <cell r="B21">
            <v>0</v>
          </cell>
          <cell r="C21">
            <v>3.7599999999999999E-3</v>
          </cell>
          <cell r="D21">
            <v>5.6000000000000017E-4</v>
          </cell>
          <cell r="E21">
            <v>5.0099999999999997E-3</v>
          </cell>
          <cell r="F21">
            <v>2.1150000000000002E-2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Telaima41111324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6.4000000000000005E-4</v>
          </cell>
          <cell r="H22">
            <v>4.0000000000000007E-4</v>
          </cell>
          <cell r="I22">
            <v>0</v>
          </cell>
          <cell r="J22">
            <v>3.2699999999999995E-3</v>
          </cell>
          <cell r="K22">
            <v>-2.0699999999999994E-3</v>
          </cell>
          <cell r="L22">
            <v>0</v>
          </cell>
          <cell r="M22">
            <v>0</v>
          </cell>
        </row>
        <row r="23">
          <cell r="A23" t="str">
            <v>Telaima41111330</v>
          </cell>
          <cell r="B23">
            <v>-83.426580000000001</v>
          </cell>
          <cell r="C23">
            <v>-23.178089999999997</v>
          </cell>
          <cell r="D23">
            <v>-162.70425999999998</v>
          </cell>
          <cell r="E23">
            <v>-132.91721000000001</v>
          </cell>
          <cell r="F23">
            <v>402.43385000000001</v>
          </cell>
          <cell r="G23">
            <v>-0.20771000000000001</v>
          </cell>
          <cell r="H23">
            <v>181.01758999999998</v>
          </cell>
          <cell r="I23">
            <v>229.37259</v>
          </cell>
          <cell r="J23">
            <v>201.73985000000005</v>
          </cell>
          <cell r="K23">
            <v>194.20590000000004</v>
          </cell>
          <cell r="L23">
            <v>417.55320999999992</v>
          </cell>
          <cell r="M23">
            <v>256.79078000000004</v>
          </cell>
        </row>
        <row r="24">
          <cell r="A24" t="str">
            <v>Telaima41111333</v>
          </cell>
          <cell r="B24">
            <v>0</v>
          </cell>
          <cell r="C24">
            <v>0.105</v>
          </cell>
          <cell r="D24">
            <v>7.7659999999999993E-2</v>
          </cell>
          <cell r="E24">
            <v>2.5050000000000017E-2</v>
          </cell>
          <cell r="F24">
            <v>0</v>
          </cell>
          <cell r="G24">
            <v>-0.20771000000000001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Telasa31138100</v>
          </cell>
          <cell r="B25">
            <v>1824.3725400000001</v>
          </cell>
          <cell r="C25">
            <v>1646.4803100000001</v>
          </cell>
          <cell r="D25">
            <v>1575.1603800000003</v>
          </cell>
          <cell r="E25">
            <v>1483.5807500000001</v>
          </cell>
          <cell r="F25">
            <v>1728.7082999999993</v>
          </cell>
          <cell r="G25">
            <v>1876.1384500000004</v>
          </cell>
          <cell r="H25">
            <v>2580.8756199999989</v>
          </cell>
          <cell r="I25">
            <v>1942.4391200000009</v>
          </cell>
          <cell r="J25">
            <v>1743.3973699999988</v>
          </cell>
          <cell r="K25">
            <v>1691.7175300000017</v>
          </cell>
          <cell r="L25">
            <v>2766.0595599999979</v>
          </cell>
          <cell r="M25">
            <v>1956.3073000000004</v>
          </cell>
        </row>
        <row r="26">
          <cell r="A26" t="str">
            <v>Telasa31138110</v>
          </cell>
          <cell r="B26">
            <v>1719.6673899999998</v>
          </cell>
          <cell r="C26">
            <v>1558.0046599999998</v>
          </cell>
          <cell r="D26">
            <v>1427.568850000001</v>
          </cell>
          <cell r="E26">
            <v>1352.162119999999</v>
          </cell>
          <cell r="F26">
            <v>1630.3283300000003</v>
          </cell>
          <cell r="G26">
            <v>1810.0963600000014</v>
          </cell>
          <cell r="H26">
            <v>2484.6073999999971</v>
          </cell>
          <cell r="I26">
            <v>1846.170900000001</v>
          </cell>
          <cell r="J26">
            <v>1703.5338800000009</v>
          </cell>
          <cell r="K26">
            <v>1631.4625300000025</v>
          </cell>
          <cell r="L26">
            <v>2659.6721799999978</v>
          </cell>
          <cell r="M26">
            <v>1748.8009799999963</v>
          </cell>
        </row>
        <row r="27">
          <cell r="A27" t="str">
            <v>Telasa31138113</v>
          </cell>
          <cell r="B27">
            <v>1719.6673899999998</v>
          </cell>
          <cell r="C27">
            <v>1558.0046599999998</v>
          </cell>
          <cell r="D27">
            <v>1427.568850000001</v>
          </cell>
          <cell r="E27">
            <v>1352.162119999999</v>
          </cell>
          <cell r="F27">
            <v>1630.3283300000003</v>
          </cell>
          <cell r="G27">
            <v>1810.0963600000014</v>
          </cell>
          <cell r="H27">
            <v>2484.6073999999971</v>
          </cell>
          <cell r="I27">
            <v>1846.170900000001</v>
          </cell>
          <cell r="J27">
            <v>1703.5338800000009</v>
          </cell>
          <cell r="K27">
            <v>1631.4625300000025</v>
          </cell>
          <cell r="L27">
            <v>2659.6721799999978</v>
          </cell>
          <cell r="M27">
            <v>1748.8009799999963</v>
          </cell>
        </row>
        <row r="28">
          <cell r="A28" t="str">
            <v>Telasa31138120</v>
          </cell>
          <cell r="B28">
            <v>4.7285200000000005</v>
          </cell>
          <cell r="C28">
            <v>3.9293400000000007</v>
          </cell>
          <cell r="D28">
            <v>9.0865199999999984</v>
          </cell>
          <cell r="E28">
            <v>5.2530599999999978</v>
          </cell>
          <cell r="F28">
            <v>6.0499700000000018</v>
          </cell>
          <cell r="G28">
            <v>3.7948000000000022</v>
          </cell>
          <cell r="H28">
            <v>20.828609999999998</v>
          </cell>
          <cell r="I28">
            <v>20.828609999999991</v>
          </cell>
          <cell r="J28">
            <v>4.7956200000000138</v>
          </cell>
          <cell r="K28">
            <v>4.9349999999999996</v>
          </cell>
          <cell r="L28">
            <v>275.54874999999998</v>
          </cell>
          <cell r="M28">
            <v>182.99751999999995</v>
          </cell>
        </row>
        <row r="29">
          <cell r="A29" t="str">
            <v>Telasa31138122</v>
          </cell>
          <cell r="B29">
            <v>1.97986</v>
          </cell>
          <cell r="C29">
            <v>1.5935800000000002</v>
          </cell>
          <cell r="D29">
            <v>4.3383399999999988</v>
          </cell>
          <cell r="E29">
            <v>2.6624399999999993</v>
          </cell>
          <cell r="F29">
            <v>2.85</v>
          </cell>
          <cell r="G29">
            <v>1.4561299999999999</v>
          </cell>
          <cell r="H29">
            <v>18.074999999999999</v>
          </cell>
          <cell r="I29">
            <v>18.074999999999999</v>
          </cell>
          <cell r="J29">
            <v>0.97144000000000119</v>
          </cell>
          <cell r="K29">
            <v>1.085</v>
          </cell>
          <cell r="L29">
            <v>288.73014999999998</v>
          </cell>
          <cell r="M29">
            <v>182.99751999999995</v>
          </cell>
        </row>
        <row r="30">
          <cell r="A30" t="str">
            <v>Telasa31138123</v>
          </cell>
          <cell r="B30">
            <v>2.7486599999999997</v>
          </cell>
          <cell r="C30">
            <v>2.3357600000000001</v>
          </cell>
          <cell r="D30">
            <v>4.7481800000000014</v>
          </cell>
          <cell r="E30">
            <v>2.5906199999999977</v>
          </cell>
          <cell r="F30">
            <v>3.1999700000000022</v>
          </cell>
          <cell r="G30">
            <v>2.3386700000000005</v>
          </cell>
          <cell r="H30">
            <v>2.7536099999999983</v>
          </cell>
          <cell r="I30">
            <v>2.7536100000000019</v>
          </cell>
          <cell r="J30">
            <v>3.8241799999999984</v>
          </cell>
          <cell r="K30">
            <v>3.85</v>
          </cell>
          <cell r="L30">
            <v>-13.181399999999996</v>
          </cell>
          <cell r="M30">
            <v>0</v>
          </cell>
        </row>
        <row r="31">
          <cell r="A31" t="str">
            <v>Telasa31138130</v>
          </cell>
          <cell r="B31">
            <v>99.97663</v>
          </cell>
          <cell r="C31">
            <v>84.546310000000005</v>
          </cell>
          <cell r="D31">
            <v>138.50501000000003</v>
          </cell>
          <cell r="E31">
            <v>126.16557</v>
          </cell>
          <cell r="F31">
            <v>92.329999999999927</v>
          </cell>
          <cell r="G31">
            <v>62.247290000000135</v>
          </cell>
          <cell r="H31">
            <v>75.439609999999902</v>
          </cell>
          <cell r="I31">
            <v>75.439610000000016</v>
          </cell>
          <cell r="J31">
            <v>35.067869999999971</v>
          </cell>
          <cell r="K31">
            <v>55.32000000000005</v>
          </cell>
          <cell r="L31">
            <v>-169.16137000000003</v>
          </cell>
          <cell r="M31">
            <v>24.508799999999951</v>
          </cell>
        </row>
        <row r="32">
          <cell r="A32" t="str">
            <v>Telasa31138133</v>
          </cell>
          <cell r="B32">
            <v>99.97663</v>
          </cell>
          <cell r="C32">
            <v>84.546310000000005</v>
          </cell>
          <cell r="D32">
            <v>138.50501000000003</v>
          </cell>
          <cell r="E32">
            <v>126.16557</v>
          </cell>
          <cell r="F32">
            <v>92.329999999999927</v>
          </cell>
          <cell r="G32">
            <v>62.247290000000135</v>
          </cell>
          <cell r="H32">
            <v>75.439609999999902</v>
          </cell>
          <cell r="I32">
            <v>75.439610000000016</v>
          </cell>
          <cell r="J32">
            <v>35.067869999999971</v>
          </cell>
          <cell r="K32">
            <v>55.32000000000005</v>
          </cell>
          <cell r="L32">
            <v>-169.16137000000003</v>
          </cell>
          <cell r="M32">
            <v>24.508799999999951</v>
          </cell>
        </row>
        <row r="33">
          <cell r="A33" t="str">
            <v>Telasa31138300</v>
          </cell>
          <cell r="B33">
            <v>309.32362000000001</v>
          </cell>
          <cell r="C33">
            <v>273.5624499999999</v>
          </cell>
          <cell r="D33">
            <v>297.65797000000009</v>
          </cell>
          <cell r="E33">
            <v>297.65796999999998</v>
          </cell>
          <cell r="F33">
            <v>138.31485000000021</v>
          </cell>
          <cell r="G33">
            <v>100.30341999999996</v>
          </cell>
          <cell r="H33">
            <v>100.30341999999973</v>
          </cell>
          <cell r="I33">
            <v>100.30342000000019</v>
          </cell>
          <cell r="J33">
            <v>926.10898999999995</v>
          </cell>
          <cell r="K33">
            <v>481.76201999999967</v>
          </cell>
          <cell r="L33">
            <v>-1445.2758399999996</v>
          </cell>
          <cell r="M33">
            <v>-0.46396000000004278</v>
          </cell>
        </row>
        <row r="34">
          <cell r="A34" t="str">
            <v>Telasa31138310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323.99178000000001</v>
          </cell>
          <cell r="K34">
            <v>230.10736000000003</v>
          </cell>
          <cell r="L34">
            <v>-552.69139000000007</v>
          </cell>
          <cell r="M34">
            <v>-0.18873000000000006</v>
          </cell>
        </row>
        <row r="35">
          <cell r="A35" t="str">
            <v>Telasa31138312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321.84747999999996</v>
          </cell>
          <cell r="K35">
            <v>228.34682000000004</v>
          </cell>
          <cell r="L35">
            <v>-548.78655000000003</v>
          </cell>
          <cell r="M35">
            <v>-0.24510999999999994</v>
          </cell>
        </row>
        <row r="36">
          <cell r="A36" t="str">
            <v>Telasa31138313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2.1443000000000003</v>
          </cell>
          <cell r="K36">
            <v>1.7605399999999998</v>
          </cell>
          <cell r="L36">
            <v>-3.9048400000000001</v>
          </cell>
          <cell r="M36">
            <v>5.638E-2</v>
          </cell>
        </row>
        <row r="37">
          <cell r="A37" t="str">
            <v>Telasa31138320</v>
          </cell>
          <cell r="B37">
            <v>177.27742000000001</v>
          </cell>
          <cell r="C37">
            <v>157.81939999999997</v>
          </cell>
          <cell r="D37">
            <v>175.25337000000002</v>
          </cell>
          <cell r="E37">
            <v>175.25337000000002</v>
          </cell>
          <cell r="F37">
            <v>98.867419999999925</v>
          </cell>
          <cell r="G37">
            <v>77.490760000000023</v>
          </cell>
          <cell r="H37">
            <v>100.30342000000007</v>
          </cell>
          <cell r="I37">
            <v>77.490760000000023</v>
          </cell>
          <cell r="J37">
            <v>477.54736000000003</v>
          </cell>
          <cell r="K37">
            <v>177.24328999999989</v>
          </cell>
          <cell r="L37">
            <v>-744.12938000000008</v>
          </cell>
          <cell r="M37">
            <v>-0.21539999999981774</v>
          </cell>
        </row>
        <row r="38">
          <cell r="A38" t="str">
            <v>Telasa31138322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144.69263000000001</v>
          </cell>
          <cell r="K38">
            <v>116.76819999999998</v>
          </cell>
          <cell r="L38">
            <v>-260.08037999999999</v>
          </cell>
          <cell r="M38">
            <v>-0.22753999999999985</v>
          </cell>
        </row>
        <row r="39">
          <cell r="A39" t="str">
            <v>Telasa31138323</v>
          </cell>
          <cell r="B39">
            <v>177.27742000000001</v>
          </cell>
          <cell r="C39">
            <v>157.81939999999997</v>
          </cell>
          <cell r="D39">
            <v>175.25337000000002</v>
          </cell>
          <cell r="E39">
            <v>175.25337000000002</v>
          </cell>
          <cell r="F39">
            <v>98.867419999999925</v>
          </cell>
          <cell r="G39">
            <v>77.490760000000023</v>
          </cell>
          <cell r="H39">
            <v>100.30342000000007</v>
          </cell>
          <cell r="I39">
            <v>77.490760000000023</v>
          </cell>
          <cell r="J39">
            <v>332.85472999999979</v>
          </cell>
          <cell r="K39">
            <v>60.475090000000137</v>
          </cell>
          <cell r="L39">
            <v>-484.04899999999998</v>
          </cell>
          <cell r="M39">
            <v>1.2140000000044893E-2</v>
          </cell>
        </row>
        <row r="40">
          <cell r="A40" t="str">
            <v>Telasa31138330</v>
          </cell>
          <cell r="B40">
            <v>132.0462</v>
          </cell>
          <cell r="C40">
            <v>115.74305000000001</v>
          </cell>
          <cell r="D40">
            <v>122.40459999999999</v>
          </cell>
          <cell r="E40">
            <v>122.40460000000002</v>
          </cell>
          <cell r="F40">
            <v>39.447429999999997</v>
          </cell>
          <cell r="G40">
            <v>22.812660000000051</v>
          </cell>
          <cell r="H40">
            <v>0</v>
          </cell>
          <cell r="I40">
            <v>22.812659999999937</v>
          </cell>
          <cell r="J40">
            <v>25.346730000000093</v>
          </cell>
          <cell r="K40">
            <v>15.022969999999987</v>
          </cell>
          <cell r="L40">
            <v>-48.673910000000092</v>
          </cell>
          <cell r="M40">
            <v>0</v>
          </cell>
        </row>
        <row r="41">
          <cell r="A41" t="str">
            <v>Telasa31138333</v>
          </cell>
          <cell r="B41">
            <v>132.0462</v>
          </cell>
          <cell r="C41">
            <v>115.74305000000001</v>
          </cell>
          <cell r="D41">
            <v>122.40459999999999</v>
          </cell>
          <cell r="E41">
            <v>122.40460000000002</v>
          </cell>
          <cell r="F41">
            <v>39.447429999999997</v>
          </cell>
          <cell r="G41">
            <v>22.812660000000051</v>
          </cell>
          <cell r="H41">
            <v>0</v>
          </cell>
          <cell r="I41">
            <v>22.812659999999937</v>
          </cell>
          <cell r="J41">
            <v>25.346730000000093</v>
          </cell>
          <cell r="K41">
            <v>15.022969999999987</v>
          </cell>
          <cell r="L41">
            <v>-48.673910000000092</v>
          </cell>
          <cell r="M41">
            <v>0</v>
          </cell>
        </row>
        <row r="42">
          <cell r="A42" t="str">
            <v>Telasa31138340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99.223119999999994</v>
          </cell>
          <cell r="K42">
            <v>59.38839999999999</v>
          </cell>
          <cell r="L42">
            <v>-99.781159999999986</v>
          </cell>
          <cell r="M42">
            <v>-5.9829999999998051E-2</v>
          </cell>
        </row>
        <row r="43">
          <cell r="A43" t="str">
            <v>Telasa31138342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98.544730000000001</v>
          </cell>
          <cell r="K43">
            <v>58.830200000000005</v>
          </cell>
          <cell r="L43">
            <v>-156.92867000000001</v>
          </cell>
          <cell r="M43">
            <v>-5.9829999999999994E-2</v>
          </cell>
        </row>
        <row r="44">
          <cell r="A44" t="str">
            <v>Telasa31138343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0.67838999999999994</v>
          </cell>
          <cell r="K44">
            <v>0.55819999999999992</v>
          </cell>
          <cell r="L44">
            <v>57.147509999999997</v>
          </cell>
          <cell r="M44">
            <v>0</v>
          </cell>
        </row>
        <row r="45">
          <cell r="A45" t="str">
            <v>Telasa31144300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239.74086</v>
          </cell>
          <cell r="L45">
            <v>195.99621000000002</v>
          </cell>
          <cell r="M45">
            <v>217.71388999999999</v>
          </cell>
        </row>
        <row r="46">
          <cell r="A46" t="str">
            <v>Telasa41111320</v>
          </cell>
          <cell r="B46">
            <v>746.87315000000001</v>
          </cell>
          <cell r="C46">
            <v>699.81579999999997</v>
          </cell>
          <cell r="D46">
            <v>717.71487000000002</v>
          </cell>
          <cell r="E46">
            <v>767.54746999999998</v>
          </cell>
          <cell r="F46">
            <v>463.74353999999994</v>
          </cell>
          <cell r="G46">
            <v>851.54854000000023</v>
          </cell>
          <cell r="H46">
            <v>715.71699999999964</v>
          </cell>
          <cell r="I46">
            <v>591.48812000000089</v>
          </cell>
          <cell r="J46">
            <v>1493.7249499999998</v>
          </cell>
          <cell r="K46">
            <v>829.54428999999982</v>
          </cell>
          <cell r="L46">
            <v>48.065459999999803</v>
          </cell>
          <cell r="M46">
            <v>-271.94074999999975</v>
          </cell>
        </row>
        <row r="47">
          <cell r="A47" t="str">
            <v>Telasa41111330</v>
          </cell>
          <cell r="B47">
            <v>5.1560000000000002E-2</v>
          </cell>
          <cell r="C47">
            <v>-5.1560000000000002E-2</v>
          </cell>
          <cell r="D47">
            <v>0</v>
          </cell>
          <cell r="E47">
            <v>0</v>
          </cell>
          <cell r="F47">
            <v>14.794</v>
          </cell>
          <cell r="G47">
            <v>64.976230000000001</v>
          </cell>
          <cell r="H47">
            <v>253.67904000000001</v>
          </cell>
          <cell r="I47">
            <v>206.34791999999999</v>
          </cell>
          <cell r="J47">
            <v>267.39834000000008</v>
          </cell>
          <cell r="K47">
            <v>970.78171999999984</v>
          </cell>
          <cell r="L47">
            <v>210.32063999999991</v>
          </cell>
          <cell r="M47">
            <v>192.37570000000005</v>
          </cell>
        </row>
        <row r="48">
          <cell r="A48" t="str">
            <v>Teleamapa31138100</v>
          </cell>
          <cell r="B48">
            <v>43.860289999999999</v>
          </cell>
          <cell r="C48">
            <v>28.598649999999999</v>
          </cell>
          <cell r="D48">
            <v>717.24206000000004</v>
          </cell>
          <cell r="E48">
            <v>246.08978000000002</v>
          </cell>
          <cell r="F48">
            <v>337.6429599999999</v>
          </cell>
          <cell r="G48">
            <v>247.19938000000025</v>
          </cell>
          <cell r="H48">
            <v>321.53846999999996</v>
          </cell>
          <cell r="I48">
            <v>285.83155999999985</v>
          </cell>
          <cell r="J48">
            <v>309.99882000000025</v>
          </cell>
          <cell r="K48">
            <v>103.45369999999957</v>
          </cell>
          <cell r="L48">
            <v>663.77070000000049</v>
          </cell>
          <cell r="M48">
            <v>310.87079999999969</v>
          </cell>
        </row>
        <row r="49">
          <cell r="A49" t="str">
            <v>Teleamapa31138110</v>
          </cell>
          <cell r="B49">
            <v>33.007089999999998</v>
          </cell>
          <cell r="C49">
            <v>21.452980000000004</v>
          </cell>
          <cell r="D49">
            <v>695.34951000000001</v>
          </cell>
          <cell r="E49">
            <v>235.27265999999997</v>
          </cell>
          <cell r="F49">
            <v>326.8258400000002</v>
          </cell>
          <cell r="G49">
            <v>239.91512999999986</v>
          </cell>
          <cell r="H49">
            <v>302.51565000000005</v>
          </cell>
          <cell r="I49">
            <v>283.04099999999994</v>
          </cell>
          <cell r="J49">
            <v>296.13175000000001</v>
          </cell>
          <cell r="K49">
            <v>95.148459999999886</v>
          </cell>
          <cell r="L49">
            <v>656.58028999999988</v>
          </cell>
          <cell r="M49">
            <v>298.49553000000014</v>
          </cell>
        </row>
        <row r="50">
          <cell r="A50" t="str">
            <v>Teleamapa31138112</v>
          </cell>
          <cell r="B50">
            <v>0</v>
          </cell>
          <cell r="C50">
            <v>0</v>
          </cell>
          <cell r="D50">
            <v>6.720000000000001E-2</v>
          </cell>
          <cell r="E50">
            <v>3.8269999999999985E-2</v>
          </cell>
          <cell r="F50">
            <v>3.8270000000000012E-2</v>
          </cell>
          <cell r="G50">
            <v>2.3549999999999988E-2</v>
          </cell>
          <cell r="H50">
            <v>-3.0909999999999993E-2</v>
          </cell>
          <cell r="I50">
            <v>5.2899999999999892E-3</v>
          </cell>
          <cell r="J50">
            <v>0</v>
          </cell>
          <cell r="K50">
            <v>-0.14166999999999999</v>
          </cell>
          <cell r="L50">
            <v>0</v>
          </cell>
          <cell r="M50">
            <v>0</v>
          </cell>
        </row>
        <row r="51">
          <cell r="A51" t="str">
            <v>Teleamapa31138113</v>
          </cell>
          <cell r="B51">
            <v>33.007089999999998</v>
          </cell>
          <cell r="C51">
            <v>21.452980000000004</v>
          </cell>
          <cell r="D51">
            <v>695.28231000000005</v>
          </cell>
          <cell r="E51">
            <v>235.23438999999996</v>
          </cell>
          <cell r="F51">
            <v>326.78757000000019</v>
          </cell>
          <cell r="G51">
            <v>239.89157999999975</v>
          </cell>
          <cell r="H51">
            <v>302.54656</v>
          </cell>
          <cell r="I51">
            <v>283.03571000000011</v>
          </cell>
          <cell r="J51">
            <v>296.13175000000001</v>
          </cell>
          <cell r="K51">
            <v>95.290129999999863</v>
          </cell>
          <cell r="L51">
            <v>656.58028999999988</v>
          </cell>
          <cell r="M51">
            <v>298.49553000000014</v>
          </cell>
        </row>
        <row r="52">
          <cell r="A52" t="str">
            <v>Teleamapa31138120</v>
          </cell>
          <cell r="B52">
            <v>0.41652999999999996</v>
          </cell>
          <cell r="C52">
            <v>0.34077999999999997</v>
          </cell>
          <cell r="D52">
            <v>0.69138000000000011</v>
          </cell>
          <cell r="E52">
            <v>0.37409000000000003</v>
          </cell>
          <cell r="F52">
            <v>0.37409000000000003</v>
          </cell>
          <cell r="G52">
            <v>0.22636999999999974</v>
          </cell>
          <cell r="H52">
            <v>0.38809000000000005</v>
          </cell>
          <cell r="I52">
            <v>8.9630000000000098E-2</v>
          </cell>
          <cell r="J52">
            <v>0.34416000000000002</v>
          </cell>
          <cell r="K52">
            <v>-0.10526999999999997</v>
          </cell>
          <cell r="L52">
            <v>0.11312999999999995</v>
          </cell>
          <cell r="M52">
            <v>0.13438000000000017</v>
          </cell>
        </row>
        <row r="53">
          <cell r="A53" t="str">
            <v>Teleamapa31138122</v>
          </cell>
          <cell r="B53">
            <v>5.1679999999999997E-2</v>
          </cell>
          <cell r="C53">
            <v>7.3130000000000001E-2</v>
          </cell>
          <cell r="D53">
            <v>7.8320000000000001E-2</v>
          </cell>
          <cell r="E53">
            <v>1.7599999999999977E-2</v>
          </cell>
          <cell r="F53">
            <v>1.7600000000000032E-2</v>
          </cell>
          <cell r="G53">
            <v>-1.7200000000000021E-2</v>
          </cell>
          <cell r="H53">
            <v>6.7200000000000037E-3</v>
          </cell>
          <cell r="I53">
            <v>1.7000000000000348E-4</v>
          </cell>
          <cell r="J53">
            <v>3.4599999999999909E-3</v>
          </cell>
          <cell r="K53">
            <v>-0.23147999999999999</v>
          </cell>
          <cell r="L53">
            <v>0</v>
          </cell>
          <cell r="M53">
            <v>0</v>
          </cell>
        </row>
        <row r="54">
          <cell r="A54" t="str">
            <v>Teleamapa31138123</v>
          </cell>
          <cell r="B54">
            <v>0.36485000000000001</v>
          </cell>
          <cell r="C54">
            <v>0.26764999999999994</v>
          </cell>
          <cell r="D54">
            <v>0.61306000000000005</v>
          </cell>
          <cell r="E54">
            <v>0.35648999999999997</v>
          </cell>
          <cell r="F54">
            <v>0.35648999999999997</v>
          </cell>
          <cell r="G54">
            <v>0.24357000000000029</v>
          </cell>
          <cell r="H54">
            <v>0.38136999999999999</v>
          </cell>
          <cell r="I54">
            <v>8.9459999999999873E-2</v>
          </cell>
          <cell r="J54">
            <v>0.34069999999999956</v>
          </cell>
          <cell r="K54">
            <v>0.12621000000000038</v>
          </cell>
          <cell r="L54">
            <v>0.11312999999999995</v>
          </cell>
          <cell r="M54">
            <v>0.13438000000000017</v>
          </cell>
        </row>
        <row r="55">
          <cell r="A55" t="str">
            <v>Teleamapa31138130</v>
          </cell>
          <cell r="B55">
            <v>10.436669999999999</v>
          </cell>
          <cell r="C55">
            <v>6.8048900000000003</v>
          </cell>
          <cell r="D55">
            <v>21.201170000000005</v>
          </cell>
          <cell r="E55">
            <v>10.44303</v>
          </cell>
          <cell r="F55">
            <v>10.443029999999993</v>
          </cell>
          <cell r="G55">
            <v>7.0578799999999973</v>
          </cell>
          <cell r="H55">
            <v>18.634730000000005</v>
          </cell>
          <cell r="I55">
            <v>2.7009299999999996</v>
          </cell>
          <cell r="J55">
            <v>13.52291000000001</v>
          </cell>
          <cell r="K55">
            <v>8.4105099999999879</v>
          </cell>
          <cell r="L55">
            <v>7.0772800000000018</v>
          </cell>
          <cell r="M55">
            <v>12.240889999999993</v>
          </cell>
        </row>
        <row r="56">
          <cell r="A56" t="str">
            <v>Teleamapa31138133</v>
          </cell>
          <cell r="B56">
            <v>10.436669999999999</v>
          </cell>
          <cell r="C56">
            <v>6.8048900000000003</v>
          </cell>
          <cell r="D56">
            <v>21.201170000000005</v>
          </cell>
          <cell r="E56">
            <v>10.44303</v>
          </cell>
          <cell r="F56">
            <v>10.443029999999993</v>
          </cell>
          <cell r="G56">
            <v>7.0578799999999973</v>
          </cell>
          <cell r="H56">
            <v>18.634730000000005</v>
          </cell>
          <cell r="I56">
            <v>2.7009299999999996</v>
          </cell>
          <cell r="J56">
            <v>13.52291000000001</v>
          </cell>
          <cell r="K56">
            <v>8.4105099999999879</v>
          </cell>
          <cell r="L56">
            <v>7.0772800000000018</v>
          </cell>
          <cell r="M56">
            <v>12.240889999999993</v>
          </cell>
        </row>
        <row r="57">
          <cell r="A57" t="str">
            <v>Teleamapa31138300</v>
          </cell>
          <cell r="B57">
            <v>34.20055</v>
          </cell>
          <cell r="C57">
            <v>30.460259999999998</v>
          </cell>
          <cell r="D57">
            <v>30.460260000000005</v>
          </cell>
          <cell r="E57">
            <v>41.435959999999994</v>
          </cell>
          <cell r="F57">
            <v>35.493210000000005</v>
          </cell>
          <cell r="G57">
            <v>40.663289999999989</v>
          </cell>
          <cell r="H57">
            <v>36.390590000000003</v>
          </cell>
          <cell r="I57">
            <v>4.6574500000000114</v>
          </cell>
          <cell r="J57">
            <v>203.64148999999998</v>
          </cell>
          <cell r="K57">
            <v>511.08615999999995</v>
          </cell>
          <cell r="L57">
            <v>161.47874000000002</v>
          </cell>
          <cell r="M57">
            <v>197.27881000000002</v>
          </cell>
        </row>
        <row r="58">
          <cell r="A58" t="str">
            <v>Teleamapa31138310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24.617459999999998</v>
          </cell>
          <cell r="K58">
            <v>23.112830000000006</v>
          </cell>
          <cell r="L58">
            <v>0.12164999999999537</v>
          </cell>
          <cell r="M58">
            <v>0.18778000000000361</v>
          </cell>
        </row>
        <row r="59">
          <cell r="A59" t="str">
            <v>Teleamapa31138313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24.617459999999998</v>
          </cell>
          <cell r="K59">
            <v>23.112830000000006</v>
          </cell>
          <cell r="L59">
            <v>0.12164999999999537</v>
          </cell>
          <cell r="M59">
            <v>0.18778000000000361</v>
          </cell>
        </row>
        <row r="60">
          <cell r="A60" t="str">
            <v>Teleamapa31138320</v>
          </cell>
          <cell r="B60">
            <v>21.486519999999999</v>
          </cell>
          <cell r="C60">
            <v>19.082480000000004</v>
          </cell>
          <cell r="D60">
            <v>19.082480000000004</v>
          </cell>
          <cell r="E60">
            <v>24.249340000000004</v>
          </cell>
          <cell r="F60">
            <v>20.952339999999992</v>
          </cell>
          <cell r="G60">
            <v>25.880380000000002</v>
          </cell>
          <cell r="H60">
            <v>22.723060000000004</v>
          </cell>
          <cell r="I60">
            <v>17.044749999999993</v>
          </cell>
          <cell r="J60">
            <v>157.55800999999997</v>
          </cell>
          <cell r="K60">
            <v>480.77733000000001</v>
          </cell>
          <cell r="L60">
            <v>161.01477999999997</v>
          </cell>
          <cell r="M60">
            <v>196.32132000000013</v>
          </cell>
        </row>
        <row r="61">
          <cell r="A61" t="str">
            <v>Teleamapa31138323</v>
          </cell>
          <cell r="B61">
            <v>21.486519999999999</v>
          </cell>
          <cell r="C61">
            <v>19.082480000000004</v>
          </cell>
          <cell r="D61">
            <v>19.082480000000004</v>
          </cell>
          <cell r="E61">
            <v>24.249340000000004</v>
          </cell>
          <cell r="F61">
            <v>20.952339999999992</v>
          </cell>
          <cell r="G61">
            <v>25.880380000000002</v>
          </cell>
          <cell r="H61">
            <v>22.723060000000004</v>
          </cell>
          <cell r="I61">
            <v>17.044749999999993</v>
          </cell>
          <cell r="J61">
            <v>157.55800999999997</v>
          </cell>
          <cell r="K61">
            <v>480.77733000000001</v>
          </cell>
          <cell r="L61">
            <v>161.01477999999997</v>
          </cell>
          <cell r="M61">
            <v>196.32132000000013</v>
          </cell>
        </row>
        <row r="62">
          <cell r="A62" t="str">
            <v>Teleamapa31138330</v>
          </cell>
          <cell r="B62">
            <v>12.714030000000001</v>
          </cell>
          <cell r="C62">
            <v>11.377780000000001</v>
          </cell>
          <cell r="D62">
            <v>11.377779999999994</v>
          </cell>
          <cell r="E62">
            <v>17.186620000000005</v>
          </cell>
          <cell r="F62">
            <v>14.540869999999998</v>
          </cell>
          <cell r="G62">
            <v>14.782910000000001</v>
          </cell>
          <cell r="H62">
            <v>13.667529999999999</v>
          </cell>
          <cell r="I62">
            <v>-12.387299999999996</v>
          </cell>
          <cell r="J62">
            <v>11.930929999999989</v>
          </cell>
          <cell r="K62">
            <v>6.9635300000000058</v>
          </cell>
          <cell r="L62">
            <v>0.30374999999999375</v>
          </cell>
          <cell r="M62">
            <v>0.71018999999999721</v>
          </cell>
        </row>
        <row r="63">
          <cell r="A63" t="str">
            <v>Teleamapa31138333</v>
          </cell>
          <cell r="B63">
            <v>12.714030000000001</v>
          </cell>
          <cell r="C63">
            <v>11.377780000000001</v>
          </cell>
          <cell r="D63">
            <v>11.377779999999994</v>
          </cell>
          <cell r="E63">
            <v>17.186620000000005</v>
          </cell>
          <cell r="F63">
            <v>14.540869999999998</v>
          </cell>
          <cell r="G63">
            <v>14.782910000000001</v>
          </cell>
          <cell r="H63">
            <v>13.667529999999999</v>
          </cell>
          <cell r="I63">
            <v>-12.387299999999996</v>
          </cell>
          <cell r="J63">
            <v>11.930929999999989</v>
          </cell>
          <cell r="K63">
            <v>6.9635300000000058</v>
          </cell>
          <cell r="L63">
            <v>0.30374999999999375</v>
          </cell>
          <cell r="M63">
            <v>0.71018999999999721</v>
          </cell>
        </row>
        <row r="64">
          <cell r="A64" t="str">
            <v>Teleamapa31138340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9.5350900000000003</v>
          </cell>
          <cell r="K64">
            <v>0.23246999999999929</v>
          </cell>
          <cell r="L64">
            <v>3.8560000000000372E-2</v>
          </cell>
          <cell r="M64">
            <v>5.9519999999999129E-2</v>
          </cell>
        </row>
        <row r="65">
          <cell r="A65" t="str">
            <v>Teleamapa31138343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9.5350900000000003</v>
          </cell>
          <cell r="K65">
            <v>0.23246999999999929</v>
          </cell>
          <cell r="L65">
            <v>3.8560000000000372E-2</v>
          </cell>
          <cell r="M65">
            <v>5.9519999999999129E-2</v>
          </cell>
        </row>
        <row r="66">
          <cell r="A66" t="str">
            <v>Teleamapa31144300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0.16461000000000001</v>
          </cell>
          <cell r="L66">
            <v>0.17161000000000001</v>
          </cell>
          <cell r="M66">
            <v>0.16460999999999998</v>
          </cell>
        </row>
        <row r="67">
          <cell r="A67" t="str">
            <v>Teleamapa41111320</v>
          </cell>
          <cell r="B67">
            <v>182.05964</v>
          </cell>
          <cell r="C67">
            <v>161.99131</v>
          </cell>
          <cell r="D67">
            <v>165.19327999999996</v>
          </cell>
          <cell r="E67">
            <v>267.84863999999999</v>
          </cell>
          <cell r="F67">
            <v>72.08956000000012</v>
          </cell>
          <cell r="G67">
            <v>206.66685000000007</v>
          </cell>
          <cell r="H67">
            <v>378.12333999999987</v>
          </cell>
          <cell r="I67">
            <v>93.371039999999994</v>
          </cell>
          <cell r="J67">
            <v>125.21466000000009</v>
          </cell>
          <cell r="K67">
            <v>-134.34791000000018</v>
          </cell>
          <cell r="L67">
            <v>497.10837000000015</v>
          </cell>
          <cell r="M67">
            <v>280.91101999999955</v>
          </cell>
        </row>
        <row r="68">
          <cell r="A68" t="str">
            <v>Teleamapa41111324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2.3059999999999997E-2</v>
          </cell>
          <cell r="J68">
            <v>3.56E-2</v>
          </cell>
          <cell r="K68">
            <v>2.8833599999999997</v>
          </cell>
          <cell r="L68">
            <v>0.41526000000000041</v>
          </cell>
          <cell r="M68">
            <v>24.137309999999999</v>
          </cell>
        </row>
        <row r="69">
          <cell r="A69" t="str">
            <v>Teleamapa41111330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6.1050200000000006</v>
          </cell>
          <cell r="G69">
            <v>4.0094099999999999</v>
          </cell>
          <cell r="H69">
            <v>38.391030000000001</v>
          </cell>
          <cell r="I69">
            <v>314.10496999999998</v>
          </cell>
          <cell r="J69">
            <v>373.25686000000002</v>
          </cell>
          <cell r="K69">
            <v>260.14414999999997</v>
          </cell>
          <cell r="L69">
            <v>291.80349000000001</v>
          </cell>
          <cell r="M69">
            <v>342.92670999999996</v>
          </cell>
        </row>
        <row r="70">
          <cell r="A70" t="str">
            <v>Teleamazon31138100</v>
          </cell>
          <cell r="B70">
            <v>1436.9540200000001</v>
          </cell>
          <cell r="C70">
            <v>1337.0807099999997</v>
          </cell>
          <cell r="D70">
            <v>1705.5216500000001</v>
          </cell>
          <cell r="E70">
            <v>1629.3432899999998</v>
          </cell>
          <cell r="F70">
            <v>1140.0326100000002</v>
          </cell>
          <cell r="G70">
            <v>1779.7797499999988</v>
          </cell>
          <cell r="H70">
            <v>1758.7825500000017</v>
          </cell>
          <cell r="I70">
            <v>1744.95327</v>
          </cell>
          <cell r="J70">
            <v>1918.2232499999991</v>
          </cell>
          <cell r="K70">
            <v>2153.0633500000004</v>
          </cell>
          <cell r="L70">
            <v>2437.8238300000012</v>
          </cell>
          <cell r="M70">
            <v>2664.3763999999974</v>
          </cell>
        </row>
        <row r="71">
          <cell r="A71" t="str">
            <v>Teleamazon31138110</v>
          </cell>
          <cell r="B71">
            <v>1384.4344599999999</v>
          </cell>
          <cell r="C71">
            <v>1284.56115</v>
          </cell>
          <cell r="D71">
            <v>1646.6027699999995</v>
          </cell>
          <cell r="E71">
            <v>1573.1947100000007</v>
          </cell>
          <cell r="F71">
            <v>1098.3406699999996</v>
          </cell>
          <cell r="G71">
            <v>1695.6019500000011</v>
          </cell>
          <cell r="H71">
            <v>1683.3875000000007</v>
          </cell>
          <cell r="I71">
            <v>1694.4077199999974</v>
          </cell>
          <cell r="J71">
            <v>1866.7559300000012</v>
          </cell>
          <cell r="K71">
            <v>2022.9629999999997</v>
          </cell>
          <cell r="L71">
            <v>2307.6292899999971</v>
          </cell>
          <cell r="M71">
            <v>2715.3428100000056</v>
          </cell>
        </row>
        <row r="72">
          <cell r="A72" t="str">
            <v>Teleamazon31138113</v>
          </cell>
          <cell r="B72">
            <v>1384.4344599999999</v>
          </cell>
          <cell r="C72">
            <v>1284.56115</v>
          </cell>
          <cell r="D72">
            <v>1646.6027699999995</v>
          </cell>
          <cell r="E72">
            <v>1573.1947100000007</v>
          </cell>
          <cell r="F72">
            <v>1098.3406699999996</v>
          </cell>
          <cell r="G72">
            <v>1695.6019500000011</v>
          </cell>
          <cell r="H72">
            <v>1683.3875000000007</v>
          </cell>
          <cell r="I72">
            <v>1694.4077199999974</v>
          </cell>
          <cell r="J72">
            <v>1866.7559300000012</v>
          </cell>
          <cell r="K72">
            <v>2022.9629999999997</v>
          </cell>
          <cell r="L72">
            <v>2307.6292899999971</v>
          </cell>
          <cell r="M72">
            <v>2715.3428100000056</v>
          </cell>
        </row>
        <row r="73">
          <cell r="A73" t="str">
            <v>Teleamazon31138120</v>
          </cell>
          <cell r="B73">
            <v>2.2474499999999997</v>
          </cell>
          <cell r="C73">
            <v>2.2474499999999997</v>
          </cell>
          <cell r="D73">
            <v>4.0609900000000003</v>
          </cell>
          <cell r="E73">
            <v>2.1016200000000005</v>
          </cell>
          <cell r="F73">
            <v>2.2586199999999987</v>
          </cell>
          <cell r="G73">
            <v>2.0740200000000009</v>
          </cell>
          <cell r="H73">
            <v>2.1250500000000017</v>
          </cell>
          <cell r="I73">
            <v>2.2431699999999992</v>
          </cell>
          <cell r="J73">
            <v>0.46265000000000001</v>
          </cell>
          <cell r="K73">
            <v>1.0047800000000002</v>
          </cell>
          <cell r="L73">
            <v>0.2650599999999983</v>
          </cell>
          <cell r="M73">
            <v>-4.0444999999999993</v>
          </cell>
        </row>
        <row r="74">
          <cell r="A74" t="str">
            <v>Teleamazon31138123</v>
          </cell>
          <cell r="B74">
            <v>2.2474499999999997</v>
          </cell>
          <cell r="C74">
            <v>2.2474499999999997</v>
          </cell>
          <cell r="D74">
            <v>4.0609900000000003</v>
          </cell>
          <cell r="E74">
            <v>2.1016200000000005</v>
          </cell>
          <cell r="F74">
            <v>2.2586199999999987</v>
          </cell>
          <cell r="G74">
            <v>2.0740200000000009</v>
          </cell>
          <cell r="H74">
            <v>2.1250500000000017</v>
          </cell>
          <cell r="I74">
            <v>2.2431699999999992</v>
          </cell>
          <cell r="J74">
            <v>0.46265000000000001</v>
          </cell>
          <cell r="K74">
            <v>1.0047800000000002</v>
          </cell>
          <cell r="L74">
            <v>0.2650599999999983</v>
          </cell>
          <cell r="M74">
            <v>-4.0444999999999993</v>
          </cell>
        </row>
        <row r="75">
          <cell r="A75" t="str">
            <v>Teleamazon31138130</v>
          </cell>
          <cell r="B75">
            <v>50.272109999999998</v>
          </cell>
          <cell r="C75">
            <v>50.272109999999998</v>
          </cell>
          <cell r="D75">
            <v>54.857889999999998</v>
          </cell>
          <cell r="E75">
            <v>54.046960000000013</v>
          </cell>
          <cell r="F75">
            <v>39.433320000000009</v>
          </cell>
          <cell r="G75">
            <v>82.103779999999944</v>
          </cell>
          <cell r="H75">
            <v>73.27</v>
          </cell>
          <cell r="I75">
            <v>48.302379999999971</v>
          </cell>
          <cell r="J75">
            <v>51.004669999999976</v>
          </cell>
          <cell r="K75">
            <v>129.09557000000012</v>
          </cell>
          <cell r="L75">
            <v>129.9294799999999</v>
          </cell>
          <cell r="M75">
            <v>-46.921910000000025</v>
          </cell>
        </row>
        <row r="76">
          <cell r="A76" t="str">
            <v>Teleamazon31138133</v>
          </cell>
          <cell r="B76">
            <v>50.272109999999998</v>
          </cell>
          <cell r="C76">
            <v>50.272109999999998</v>
          </cell>
          <cell r="D76">
            <v>54.857889999999998</v>
          </cell>
          <cell r="E76">
            <v>54.046960000000013</v>
          </cell>
          <cell r="F76">
            <v>39.433320000000009</v>
          </cell>
          <cell r="G76">
            <v>82.103779999999944</v>
          </cell>
          <cell r="H76">
            <v>73.27</v>
          </cell>
          <cell r="I76">
            <v>48.302379999999971</v>
          </cell>
          <cell r="J76">
            <v>51.004669999999976</v>
          </cell>
          <cell r="K76">
            <v>129.09557000000012</v>
          </cell>
          <cell r="L76">
            <v>129.9294799999999</v>
          </cell>
          <cell r="M76">
            <v>-46.921910000000025</v>
          </cell>
        </row>
        <row r="77">
          <cell r="A77" t="str">
            <v>Teleamazon31138300</v>
          </cell>
          <cell r="B77">
            <v>305.27208000000002</v>
          </cell>
          <cell r="C77">
            <v>276.3848799999999</v>
          </cell>
          <cell r="D77">
            <v>276.38488000000007</v>
          </cell>
          <cell r="E77">
            <v>323.90207999999996</v>
          </cell>
          <cell r="F77">
            <v>382.97982000000002</v>
          </cell>
          <cell r="G77">
            <v>405.08952999999997</v>
          </cell>
          <cell r="H77">
            <v>307.75529000000006</v>
          </cell>
          <cell r="I77">
            <v>382.77696999999989</v>
          </cell>
          <cell r="J77">
            <v>1361.0636700000005</v>
          </cell>
          <cell r="K77">
            <v>-307.91853000000037</v>
          </cell>
          <cell r="L77">
            <v>897.14869999999974</v>
          </cell>
          <cell r="M77">
            <v>-237.2843499999999</v>
          </cell>
        </row>
        <row r="78">
          <cell r="A78" t="str">
            <v>Teleamazon31138310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329.57315</v>
          </cell>
          <cell r="K78">
            <v>-327.16541999999998</v>
          </cell>
          <cell r="L78">
            <v>117.33045</v>
          </cell>
          <cell r="M78">
            <v>-116.60439</v>
          </cell>
        </row>
        <row r="79">
          <cell r="A79" t="str">
            <v>Teleamazon31138313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329.57315</v>
          </cell>
          <cell r="K79">
            <v>-327.16541999999998</v>
          </cell>
          <cell r="L79">
            <v>117.33045</v>
          </cell>
          <cell r="M79">
            <v>-116.60439</v>
          </cell>
        </row>
        <row r="80">
          <cell r="A80" t="str">
            <v>Teleamazon31138320</v>
          </cell>
          <cell r="B80">
            <v>217.55723</v>
          </cell>
          <cell r="C80">
            <v>196.1336</v>
          </cell>
          <cell r="D80">
            <v>196.1336</v>
          </cell>
          <cell r="E80">
            <v>234.21155999999996</v>
          </cell>
          <cell r="F80">
            <v>363.00580000000002</v>
          </cell>
          <cell r="G80">
            <v>342.10624999999999</v>
          </cell>
          <cell r="H80">
            <v>258.38405000000012</v>
          </cell>
          <cell r="I80">
            <v>324.38725999999997</v>
          </cell>
          <cell r="J80">
            <v>827.78726999999981</v>
          </cell>
          <cell r="K80">
            <v>97.445709999999963</v>
          </cell>
          <cell r="L80">
            <v>662.61148000000003</v>
          </cell>
          <cell r="M80">
            <v>-55.861660000000029</v>
          </cell>
        </row>
        <row r="81">
          <cell r="A81" t="str">
            <v>Teleamazon31138323</v>
          </cell>
          <cell r="B81">
            <v>217.55723</v>
          </cell>
          <cell r="C81">
            <v>196.1336</v>
          </cell>
          <cell r="D81">
            <v>196.1336</v>
          </cell>
          <cell r="E81">
            <v>234.21155999999996</v>
          </cell>
          <cell r="F81">
            <v>363.00580000000002</v>
          </cell>
          <cell r="G81">
            <v>342.10624999999999</v>
          </cell>
          <cell r="H81">
            <v>258.38405000000012</v>
          </cell>
          <cell r="I81">
            <v>324.38725999999997</v>
          </cell>
          <cell r="J81">
            <v>827.78726999999981</v>
          </cell>
          <cell r="K81">
            <v>97.445709999999963</v>
          </cell>
          <cell r="L81">
            <v>662.61148000000003</v>
          </cell>
          <cell r="M81">
            <v>-55.861660000000029</v>
          </cell>
        </row>
        <row r="82">
          <cell r="A82" t="str">
            <v>Teleamazon31138330</v>
          </cell>
          <cell r="B82">
            <v>87.714850000000013</v>
          </cell>
          <cell r="C82">
            <v>80.25127999999998</v>
          </cell>
          <cell r="D82">
            <v>80.251280000000008</v>
          </cell>
          <cell r="E82">
            <v>89.690519999999964</v>
          </cell>
          <cell r="F82">
            <v>19.974020000000053</v>
          </cell>
          <cell r="G82">
            <v>62.983279999999979</v>
          </cell>
          <cell r="H82">
            <v>49.37124</v>
          </cell>
          <cell r="I82">
            <v>58.389710000000093</v>
          </cell>
          <cell r="J82">
            <v>87.490589999999884</v>
          </cell>
          <cell r="K82">
            <v>37.235169999999925</v>
          </cell>
          <cell r="L82">
            <v>77.855720000000133</v>
          </cell>
          <cell r="M82">
            <v>-25.682040000000029</v>
          </cell>
        </row>
        <row r="83">
          <cell r="A83" t="str">
            <v>Teleamazon31138333</v>
          </cell>
          <cell r="B83">
            <v>87.714850000000013</v>
          </cell>
          <cell r="C83">
            <v>80.25127999999998</v>
          </cell>
          <cell r="D83">
            <v>80.251280000000008</v>
          </cell>
          <cell r="E83">
            <v>89.690519999999964</v>
          </cell>
          <cell r="F83">
            <v>19.974020000000053</v>
          </cell>
          <cell r="G83">
            <v>62.983279999999979</v>
          </cell>
          <cell r="H83">
            <v>49.37124</v>
          </cell>
          <cell r="I83">
            <v>58.389710000000093</v>
          </cell>
          <cell r="J83">
            <v>87.490589999999884</v>
          </cell>
          <cell r="K83">
            <v>37.235169999999925</v>
          </cell>
          <cell r="L83">
            <v>77.855720000000133</v>
          </cell>
          <cell r="M83">
            <v>-25.682040000000029</v>
          </cell>
        </row>
        <row r="84">
          <cell r="A84" t="str">
            <v>Teleamazon31138340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116.21266</v>
          </cell>
          <cell r="K84">
            <v>-115.43398999999999</v>
          </cell>
          <cell r="L84">
            <v>39.351050000000001</v>
          </cell>
          <cell r="M84">
            <v>-39.13626</v>
          </cell>
        </row>
        <row r="85">
          <cell r="A85" t="str">
            <v>Teleamazon31138343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116.21266</v>
          </cell>
          <cell r="K85">
            <v>-115.43398999999999</v>
          </cell>
          <cell r="L85">
            <v>39.351050000000001</v>
          </cell>
          <cell r="M85">
            <v>-39.13626</v>
          </cell>
        </row>
        <row r="86">
          <cell r="A86" t="str">
            <v>Teleamazon31144300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6.7291000000000007</v>
          </cell>
          <cell r="K86">
            <v>6.7291000000000007</v>
          </cell>
          <cell r="L86">
            <v>0</v>
          </cell>
          <cell r="M86">
            <v>6.729099999999999</v>
          </cell>
        </row>
        <row r="87">
          <cell r="A87" t="str">
            <v>Teleamazon41111320</v>
          </cell>
          <cell r="B87">
            <v>1231.8193999999999</v>
          </cell>
          <cell r="C87">
            <v>960.82003000000032</v>
          </cell>
          <cell r="D87">
            <v>1115.88382</v>
          </cell>
          <cell r="E87">
            <v>1218.0415999999996</v>
          </cell>
          <cell r="F87">
            <v>1189.9394899999998</v>
          </cell>
          <cell r="G87">
            <v>973.4045900000001</v>
          </cell>
          <cell r="H87">
            <v>1048.21425</v>
          </cell>
          <cell r="I87">
            <v>1471.7546300000004</v>
          </cell>
          <cell r="J87">
            <v>926.93982000000142</v>
          </cell>
          <cell r="K87">
            <v>1112.7760599999983</v>
          </cell>
          <cell r="L87">
            <v>903.89025000000038</v>
          </cell>
          <cell r="M87">
            <v>764.91654999999992</v>
          </cell>
        </row>
        <row r="88">
          <cell r="A88" t="str">
            <v>Teleamazon41111323</v>
          </cell>
          <cell r="B88">
            <v>3.9710000000000002E-2</v>
          </cell>
          <cell r="C88">
            <v>2.3159999999999993E-2</v>
          </cell>
          <cell r="D88">
            <v>8.2519999999999996E-2</v>
          </cell>
          <cell r="E88">
            <v>0</v>
          </cell>
          <cell r="F88">
            <v>2.2120000000000001E-2</v>
          </cell>
          <cell r="G88">
            <v>-8.879999999999999E-3</v>
          </cell>
          <cell r="H88">
            <v>0</v>
          </cell>
          <cell r="I88">
            <v>0</v>
          </cell>
          <cell r="J88">
            <v>8.9700000000000057E-3</v>
          </cell>
          <cell r="K88">
            <v>0</v>
          </cell>
          <cell r="L88">
            <v>0</v>
          </cell>
          <cell r="M88">
            <v>0</v>
          </cell>
        </row>
        <row r="89">
          <cell r="A89" t="str">
            <v>Teleamazon41111324</v>
          </cell>
          <cell r="B89">
            <v>45.789629999999995</v>
          </cell>
          <cell r="C89">
            <v>44.322580000000009</v>
          </cell>
          <cell r="D89">
            <v>61.429640000000006</v>
          </cell>
          <cell r="E89">
            <v>52.537009999999981</v>
          </cell>
          <cell r="F89">
            <v>29.770820000000015</v>
          </cell>
          <cell r="G89">
            <v>51.929539999999946</v>
          </cell>
          <cell r="H89">
            <v>51.255710000000022</v>
          </cell>
          <cell r="I89">
            <v>46</v>
          </cell>
          <cell r="J89">
            <v>24.421440000000018</v>
          </cell>
          <cell r="K89">
            <v>-16.143689999999992</v>
          </cell>
          <cell r="L89">
            <v>47.006780000000049</v>
          </cell>
          <cell r="M89">
            <v>12.006959999999935</v>
          </cell>
        </row>
        <row r="90">
          <cell r="A90" t="str">
            <v>Teleamazon41111330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197</v>
          </cell>
          <cell r="I90">
            <v>568.16660000000002</v>
          </cell>
          <cell r="J90">
            <v>447.14022</v>
          </cell>
          <cell r="K90">
            <v>359.03783999999996</v>
          </cell>
          <cell r="L90">
            <v>335.99172999999996</v>
          </cell>
          <cell r="M90">
            <v>369.07918999999993</v>
          </cell>
        </row>
        <row r="91">
          <cell r="A91" t="str">
            <v>Teleamazon41111334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10.69271</v>
          </cell>
          <cell r="K91">
            <v>4.1209600000000002</v>
          </cell>
          <cell r="L91">
            <v>22.292959999999994</v>
          </cell>
          <cell r="M91">
            <v>21.469440000000006</v>
          </cell>
        </row>
        <row r="92">
          <cell r="A92" t="str">
            <v>Telebahia31138100</v>
          </cell>
          <cell r="B92">
            <v>5561.1570000000002</v>
          </cell>
          <cell r="C92">
            <v>4593.3058800000008</v>
          </cell>
          <cell r="D92">
            <v>7062.3060099999984</v>
          </cell>
          <cell r="E92">
            <v>2827.1871200000023</v>
          </cell>
          <cell r="F92">
            <v>4626.327949999999</v>
          </cell>
          <cell r="G92">
            <v>8152.8184899999978</v>
          </cell>
          <cell r="H92">
            <v>7903.4492900000041</v>
          </cell>
          <cell r="I92">
            <v>8433.0163299999986</v>
          </cell>
          <cell r="J92">
            <v>8148</v>
          </cell>
          <cell r="K92">
            <v>8148</v>
          </cell>
          <cell r="L92">
            <v>11600.363799999999</v>
          </cell>
          <cell r="M92">
            <v>11539.840530000001</v>
          </cell>
        </row>
        <row r="93">
          <cell r="A93" t="str">
            <v>Telebahia31138110</v>
          </cell>
          <cell r="B93">
            <v>5381.0625399999999</v>
          </cell>
          <cell r="C93">
            <v>4440.2937499999998</v>
          </cell>
          <cell r="D93">
            <v>6871.3708799999986</v>
          </cell>
          <cell r="E93">
            <v>2687.7602200000038</v>
          </cell>
          <cell r="F93">
            <v>4469.1363199999978</v>
          </cell>
          <cell r="G93">
            <v>7985.5024899999989</v>
          </cell>
          <cell r="H93">
            <v>7727.4329700000017</v>
          </cell>
          <cell r="I93">
            <v>8257</v>
          </cell>
          <cell r="J93">
            <v>7971.9836700000014</v>
          </cell>
          <cell r="K93">
            <v>7971.9836699999942</v>
          </cell>
          <cell r="L93">
            <v>11424.347470000008</v>
          </cell>
          <cell r="M93">
            <v>11333.567110000004</v>
          </cell>
        </row>
        <row r="94">
          <cell r="A94" t="str">
            <v>Telebahia31138113</v>
          </cell>
          <cell r="B94">
            <v>5381.0625399999999</v>
          </cell>
          <cell r="C94">
            <v>4440.2937499999998</v>
          </cell>
          <cell r="D94">
            <v>6871.3708799999986</v>
          </cell>
          <cell r="E94">
            <v>2687.7602200000038</v>
          </cell>
          <cell r="F94">
            <v>4469.1363199999978</v>
          </cell>
          <cell r="G94">
            <v>7985.5024899999989</v>
          </cell>
          <cell r="H94">
            <v>7727.4329700000017</v>
          </cell>
          <cell r="I94">
            <v>8257</v>
          </cell>
          <cell r="J94">
            <v>7971.9836700000014</v>
          </cell>
          <cell r="K94">
            <v>7971.9836699999942</v>
          </cell>
          <cell r="L94">
            <v>11424.347470000008</v>
          </cell>
          <cell r="M94">
            <v>11333.567110000004</v>
          </cell>
        </row>
        <row r="95">
          <cell r="A95" t="str">
            <v>Telebahia31138120</v>
          </cell>
          <cell r="B95">
            <v>16.777619999999999</v>
          </cell>
          <cell r="C95">
            <v>14.160280000000004</v>
          </cell>
          <cell r="D95">
            <v>35.114750000000001</v>
          </cell>
          <cell r="E95">
            <v>11.611060000000009</v>
          </cell>
          <cell r="F95">
            <v>14.258039999999994</v>
          </cell>
          <cell r="G95">
            <v>12.747990000000001</v>
          </cell>
          <cell r="H95">
            <v>16.602539999999991</v>
          </cell>
          <cell r="I95">
            <v>16.602519999999998</v>
          </cell>
          <cell r="J95">
            <v>16.602530000000002</v>
          </cell>
          <cell r="K95">
            <v>16.602530000000002</v>
          </cell>
          <cell r="L95">
            <v>16.60253000000003</v>
          </cell>
          <cell r="M95">
            <v>46.859619999999978</v>
          </cell>
        </row>
        <row r="96">
          <cell r="A96" t="str">
            <v>Telebahia31138122</v>
          </cell>
          <cell r="B96">
            <v>4.6240600000000001</v>
          </cell>
          <cell r="C96">
            <v>4.29725</v>
          </cell>
          <cell r="D96">
            <v>35.114750000000001</v>
          </cell>
          <cell r="E96">
            <v>-7.4962400000000002</v>
          </cell>
          <cell r="F96">
            <v>14.258040000000001</v>
          </cell>
          <cell r="G96">
            <v>3.3003099999999961</v>
          </cell>
          <cell r="H96">
            <v>6.7237200000000001</v>
          </cell>
          <cell r="I96">
            <v>15.900649999999999</v>
          </cell>
          <cell r="J96">
            <v>16.602530000000016</v>
          </cell>
          <cell r="K96">
            <v>16.602530000000002</v>
          </cell>
          <cell r="L96">
            <v>16.602529999999987</v>
          </cell>
          <cell r="M96">
            <v>35.745930000000001</v>
          </cell>
        </row>
        <row r="97">
          <cell r="A97" t="str">
            <v>Telebahia31138123</v>
          </cell>
          <cell r="B97">
            <v>12.153559999999999</v>
          </cell>
          <cell r="C97">
            <v>9.863030000000002</v>
          </cell>
          <cell r="D97">
            <v>0</v>
          </cell>
          <cell r="E97">
            <v>19.107300000000002</v>
          </cell>
          <cell r="F97">
            <v>0</v>
          </cell>
          <cell r="G97">
            <v>9.4476799999999983</v>
          </cell>
          <cell r="H97">
            <v>9.8788199999999975</v>
          </cell>
          <cell r="I97">
            <v>0.70187000000000666</v>
          </cell>
          <cell r="J97">
            <v>0</v>
          </cell>
          <cell r="K97">
            <v>0</v>
          </cell>
          <cell r="L97">
            <v>0</v>
          </cell>
          <cell r="M97">
            <v>11.113689999999998</v>
          </cell>
        </row>
        <row r="98">
          <cell r="A98" t="str">
            <v>Telebahia31138130</v>
          </cell>
          <cell r="B98">
            <v>163.31683999999998</v>
          </cell>
          <cell r="C98">
            <v>138.85185000000004</v>
          </cell>
          <cell r="D98">
            <v>155.82038</v>
          </cell>
          <cell r="E98">
            <v>127.81584000000004</v>
          </cell>
          <cell r="F98">
            <v>142.93358999999998</v>
          </cell>
          <cell r="G98">
            <v>154.56800999999996</v>
          </cell>
          <cell r="H98">
            <v>159.41377999999997</v>
          </cell>
          <cell r="I98">
            <v>159.41381000000001</v>
          </cell>
          <cell r="J98">
            <v>159.41379999999981</v>
          </cell>
          <cell r="K98">
            <v>159.41380000000026</v>
          </cell>
          <cell r="L98">
            <v>159.41380000000004</v>
          </cell>
          <cell r="M98">
            <v>159.41380000000004</v>
          </cell>
        </row>
        <row r="99">
          <cell r="A99" t="str">
            <v>Telebahia31138133</v>
          </cell>
          <cell r="B99">
            <v>163.31683999999998</v>
          </cell>
          <cell r="C99">
            <v>138.85185000000004</v>
          </cell>
          <cell r="D99">
            <v>155.82038</v>
          </cell>
          <cell r="E99">
            <v>127.81584000000004</v>
          </cell>
          <cell r="F99">
            <v>142.93358999999998</v>
          </cell>
          <cell r="G99">
            <v>154.56800999999996</v>
          </cell>
          <cell r="H99">
            <v>159.41377999999997</v>
          </cell>
          <cell r="I99">
            <v>159.41381000000001</v>
          </cell>
          <cell r="J99">
            <v>159.41379999999981</v>
          </cell>
          <cell r="K99">
            <v>159.41380000000026</v>
          </cell>
          <cell r="L99">
            <v>159.41380000000004</v>
          </cell>
          <cell r="M99">
            <v>159.41380000000004</v>
          </cell>
        </row>
        <row r="100">
          <cell r="A100" t="str">
            <v>Telebahia31138300</v>
          </cell>
          <cell r="B100">
            <v>81.225719999999995</v>
          </cell>
          <cell r="C100">
            <v>70.524920000000009</v>
          </cell>
          <cell r="D100">
            <v>97.562270000000012</v>
          </cell>
          <cell r="E100">
            <v>87.217720000000014</v>
          </cell>
          <cell r="F100">
            <v>82.129909999999938</v>
          </cell>
          <cell r="G100">
            <v>105.68763000000013</v>
          </cell>
          <cell r="H100">
            <v>113.84822999999994</v>
          </cell>
          <cell r="I100">
            <v>106.35723999999993</v>
          </cell>
          <cell r="J100">
            <v>672.58116000000007</v>
          </cell>
          <cell r="K100">
            <v>1839.29249</v>
          </cell>
          <cell r="L100">
            <v>223.75923999999986</v>
          </cell>
          <cell r="M100">
            <v>517.01074000000017</v>
          </cell>
        </row>
        <row r="101">
          <cell r="A101" t="str">
            <v>Telebahia31138310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18.491569999999999</v>
          </cell>
          <cell r="L101">
            <v>3.8115500000000004</v>
          </cell>
          <cell r="M101">
            <v>2.7559900000000006</v>
          </cell>
        </row>
        <row r="102">
          <cell r="A102" t="str">
            <v>Telebahia31138313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18.491569999999999</v>
          </cell>
          <cell r="L102">
            <v>3.8115500000000004</v>
          </cell>
          <cell r="M102">
            <v>2.7559900000000006</v>
          </cell>
        </row>
        <row r="103">
          <cell r="A103" t="str">
            <v>Telebahia31138320</v>
          </cell>
          <cell r="B103">
            <v>8.0110799999999998</v>
          </cell>
          <cell r="C103">
            <v>10.930510000000002</v>
          </cell>
          <cell r="D103">
            <v>13.980749999999997</v>
          </cell>
          <cell r="E103">
            <v>12.493770000000005</v>
          </cell>
          <cell r="F103">
            <v>9.3512500000000003</v>
          </cell>
          <cell r="G103">
            <v>20.09516</v>
          </cell>
          <cell r="H103">
            <v>12.285699999999991</v>
          </cell>
          <cell r="I103">
            <v>12.827990000000014</v>
          </cell>
          <cell r="J103">
            <v>584.17279999999994</v>
          </cell>
          <cell r="K103">
            <v>1704.31576</v>
          </cell>
          <cell r="L103">
            <v>104.88693000000012</v>
          </cell>
          <cell r="M103">
            <v>377.62806999999975</v>
          </cell>
        </row>
        <row r="104">
          <cell r="A104" t="str">
            <v>Telebahia31138323</v>
          </cell>
          <cell r="B104">
            <v>8.0110799999999998</v>
          </cell>
          <cell r="C104">
            <v>10.930510000000002</v>
          </cell>
          <cell r="D104">
            <v>13.980749999999997</v>
          </cell>
          <cell r="E104">
            <v>12.493770000000005</v>
          </cell>
          <cell r="F104">
            <v>9.3512500000000003</v>
          </cell>
          <cell r="G104">
            <v>20.09516</v>
          </cell>
          <cell r="H104">
            <v>12.285699999999991</v>
          </cell>
          <cell r="I104">
            <v>12.827990000000014</v>
          </cell>
          <cell r="J104">
            <v>584.17279999999994</v>
          </cell>
          <cell r="K104">
            <v>1704.31576</v>
          </cell>
          <cell r="L104">
            <v>104.88693000000012</v>
          </cell>
          <cell r="M104">
            <v>377.62806999999975</v>
          </cell>
        </row>
        <row r="105">
          <cell r="A105" t="str">
            <v>Telebahia31138330</v>
          </cell>
          <cell r="B105">
            <v>73.214640000000003</v>
          </cell>
          <cell r="C105">
            <v>59.594409999999982</v>
          </cell>
          <cell r="D105">
            <v>83.581520000000012</v>
          </cell>
          <cell r="E105">
            <v>74.723950000000031</v>
          </cell>
          <cell r="F105">
            <v>72.778659999999945</v>
          </cell>
          <cell r="G105">
            <v>85.592470000000048</v>
          </cell>
          <cell r="H105">
            <v>101.56252999999998</v>
          </cell>
          <cell r="I105">
            <v>93.529250000000047</v>
          </cell>
          <cell r="J105">
            <v>88.408360000000016</v>
          </cell>
          <cell r="K105">
            <v>110.23590999999988</v>
          </cell>
          <cell r="L105">
            <v>114.12858000000006</v>
          </cell>
          <cell r="M105">
            <v>135.75293999999997</v>
          </cell>
        </row>
        <row r="106">
          <cell r="A106" t="str">
            <v>Telebahia31138333</v>
          </cell>
          <cell r="B106">
            <v>73.214640000000003</v>
          </cell>
          <cell r="C106">
            <v>59.594409999999982</v>
          </cell>
          <cell r="D106">
            <v>83.581520000000012</v>
          </cell>
          <cell r="E106">
            <v>74.723950000000031</v>
          </cell>
          <cell r="F106">
            <v>72.778659999999945</v>
          </cell>
          <cell r="G106">
            <v>85.592470000000048</v>
          </cell>
          <cell r="H106">
            <v>101.56252999999998</v>
          </cell>
          <cell r="I106">
            <v>93.529250000000047</v>
          </cell>
          <cell r="J106">
            <v>88.408360000000016</v>
          </cell>
          <cell r="K106">
            <v>110.23590999999988</v>
          </cell>
          <cell r="L106">
            <v>114.12858000000006</v>
          </cell>
          <cell r="M106">
            <v>135.75293999999997</v>
          </cell>
        </row>
        <row r="107">
          <cell r="A107" t="str">
            <v>Telebahia31138340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6.24925</v>
          </cell>
          <cell r="L107">
            <v>0.93218000000000067</v>
          </cell>
          <cell r="M107">
            <v>0.87373999999999974</v>
          </cell>
        </row>
        <row r="108">
          <cell r="A108" t="str">
            <v>Telebahia31138343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6.24925</v>
          </cell>
          <cell r="L108">
            <v>0.93218000000000067</v>
          </cell>
          <cell r="M108">
            <v>0.87373999999999974</v>
          </cell>
        </row>
        <row r="109">
          <cell r="A109" t="str">
            <v>Telebahia31144300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687.94742000000008</v>
          </cell>
          <cell r="L109">
            <v>337.0107999999999</v>
          </cell>
          <cell r="M109">
            <v>-817.36611999999991</v>
          </cell>
        </row>
        <row r="110">
          <cell r="A110" t="str">
            <v>Telebahia41111320</v>
          </cell>
          <cell r="B110">
            <v>10998.73179</v>
          </cell>
          <cell r="C110">
            <v>12524.087120000002</v>
          </cell>
          <cell r="D110">
            <v>12622.493319999994</v>
          </cell>
          <cell r="E110">
            <v>11750.347400000006</v>
          </cell>
          <cell r="F110">
            <v>12211.441769999998</v>
          </cell>
          <cell r="G110">
            <v>13455.840390000012</v>
          </cell>
          <cell r="H110">
            <v>6853.2875699999859</v>
          </cell>
          <cell r="I110">
            <v>10907.07389</v>
          </cell>
          <cell r="J110">
            <v>9493.3906500000157</v>
          </cell>
          <cell r="K110">
            <v>9084.7832999999955</v>
          </cell>
          <cell r="L110">
            <v>9346.4251999999979</v>
          </cell>
          <cell r="M110">
            <v>8766.6214999999938</v>
          </cell>
        </row>
        <row r="111">
          <cell r="A111" t="str">
            <v>Telebahia41111323</v>
          </cell>
          <cell r="B111">
            <v>-3.72648</v>
          </cell>
          <cell r="C111">
            <v>0.73159000000000018</v>
          </cell>
          <cell r="D111">
            <v>0.90444000000000013</v>
          </cell>
          <cell r="E111">
            <v>6.1608099999999997</v>
          </cell>
          <cell r="F111">
            <v>20.989079999999998</v>
          </cell>
          <cell r="G111">
            <v>-0.34025000000000105</v>
          </cell>
          <cell r="H111">
            <v>-2.9446099999999973</v>
          </cell>
          <cell r="I111">
            <v>-4.9631000000000007</v>
          </cell>
          <cell r="J111">
            <v>-7.6849999999996754E-2</v>
          </cell>
          <cell r="K111">
            <v>-2.3681400000000021</v>
          </cell>
          <cell r="L111">
            <v>0</v>
          </cell>
          <cell r="M111">
            <v>2.7050000000000907E-2</v>
          </cell>
        </row>
        <row r="112">
          <cell r="A112" t="str">
            <v>Telebahia41111324</v>
          </cell>
          <cell r="B112">
            <v>376.46760999999998</v>
          </cell>
          <cell r="C112">
            <v>360.96830000000006</v>
          </cell>
          <cell r="D112">
            <v>220.29564000000005</v>
          </cell>
          <cell r="E112">
            <v>223.83873000000006</v>
          </cell>
          <cell r="F112">
            <v>1066.9120199999995</v>
          </cell>
          <cell r="G112">
            <v>650.10385000000042</v>
          </cell>
          <cell r="H112">
            <v>487.37653</v>
          </cell>
          <cell r="I112">
            <v>698.98941999999988</v>
          </cell>
          <cell r="J112">
            <v>440.19918999999982</v>
          </cell>
          <cell r="K112">
            <v>655.30376999999953</v>
          </cell>
          <cell r="L112">
            <v>789.33989000000111</v>
          </cell>
          <cell r="M112">
            <v>503.08025999999973</v>
          </cell>
        </row>
        <row r="113">
          <cell r="A113" t="str">
            <v>Telebahia41111325</v>
          </cell>
          <cell r="B113">
            <v>1.04948</v>
          </cell>
          <cell r="C113">
            <v>2.9600000000000737E-3</v>
          </cell>
          <cell r="D113">
            <v>1.4325599999999998</v>
          </cell>
          <cell r="E113">
            <v>1.609000000000016E-2</v>
          </cell>
          <cell r="F113">
            <v>0</v>
          </cell>
          <cell r="G113">
            <v>0</v>
          </cell>
          <cell r="H113">
            <v>4.5399999999999885E-3</v>
          </cell>
          <cell r="I113">
            <v>0.81618000000000013</v>
          </cell>
          <cell r="J113">
            <v>0.32132999999999967</v>
          </cell>
          <cell r="K113">
            <v>0</v>
          </cell>
          <cell r="L113">
            <v>0</v>
          </cell>
          <cell r="M113">
            <v>0</v>
          </cell>
        </row>
        <row r="114">
          <cell r="A114" t="str">
            <v>Telebahia41111330</v>
          </cell>
          <cell r="B114">
            <v>331.58969999999999</v>
          </cell>
          <cell r="C114">
            <v>299.33032000000003</v>
          </cell>
          <cell r="D114">
            <v>406.38379000000009</v>
          </cell>
          <cell r="E114">
            <v>367.32997</v>
          </cell>
          <cell r="F114">
            <v>351.12347</v>
          </cell>
          <cell r="G114">
            <v>444.9358299999999</v>
          </cell>
          <cell r="H114">
            <v>4024.1804599999996</v>
          </cell>
          <cell r="I114">
            <v>2116.7177600000005</v>
          </cell>
          <cell r="J114">
            <v>1789.2338500000005</v>
          </cell>
          <cell r="K114">
            <v>1349.9739499999996</v>
          </cell>
          <cell r="L114">
            <v>1899.6090899999999</v>
          </cell>
          <cell r="M114">
            <v>2825.0885400000006</v>
          </cell>
        </row>
        <row r="115">
          <cell r="A115" t="str">
            <v>Telebahia41111334</v>
          </cell>
          <cell r="B115">
            <v>331.58969999999999</v>
          </cell>
          <cell r="C115">
            <v>299.32261999999992</v>
          </cell>
          <cell r="D115">
            <v>406.71103000000016</v>
          </cell>
          <cell r="E115">
            <v>366.87058999999977</v>
          </cell>
          <cell r="F115">
            <v>351.12347</v>
          </cell>
          <cell r="G115">
            <v>444.93583000000035</v>
          </cell>
          <cell r="H115">
            <v>478.74865999999975</v>
          </cell>
          <cell r="I115">
            <v>446.53301999999985</v>
          </cell>
          <cell r="J115">
            <v>265.03099999999995</v>
          </cell>
          <cell r="K115">
            <v>38.681320000000596</v>
          </cell>
          <cell r="L115">
            <v>418.82460999999967</v>
          </cell>
          <cell r="M115">
            <v>503.54313000000047</v>
          </cell>
        </row>
        <row r="116">
          <cell r="A116" t="str">
            <v>Teleceara31138100</v>
          </cell>
          <cell r="B116">
            <v>3301.2198800000001</v>
          </cell>
          <cell r="C116">
            <v>3334.64122</v>
          </cell>
          <cell r="D116">
            <v>3574.5345500000003</v>
          </cell>
          <cell r="E116">
            <v>3545.647719999999</v>
          </cell>
          <cell r="F116">
            <v>3463.563430000002</v>
          </cell>
          <cell r="G116">
            <v>3350.9945999999982</v>
          </cell>
          <cell r="H116">
            <v>3450.1117900000027</v>
          </cell>
          <cell r="I116">
            <v>3772.426019999999</v>
          </cell>
          <cell r="J116">
            <v>3465.8711599999988</v>
          </cell>
          <cell r="K116">
            <v>4723.5891099999972</v>
          </cell>
          <cell r="L116">
            <v>3233.9451000000045</v>
          </cell>
          <cell r="M116">
            <v>-1243.0520899999974</v>
          </cell>
        </row>
        <row r="117">
          <cell r="A117" t="str">
            <v>Teleceara31138110</v>
          </cell>
          <cell r="B117">
            <v>3148.3985200000002</v>
          </cell>
          <cell r="C117">
            <v>3206.9866699999998</v>
          </cell>
          <cell r="D117">
            <v>3424.4547800000009</v>
          </cell>
          <cell r="E117">
            <v>3415.2552400000004</v>
          </cell>
          <cell r="F117">
            <v>3333.1709499999979</v>
          </cell>
          <cell r="G117">
            <v>3195.6355100000037</v>
          </cell>
          <cell r="H117">
            <v>3308.6441799999993</v>
          </cell>
          <cell r="I117">
            <v>3652.3666899999953</v>
          </cell>
          <cell r="J117">
            <v>3517.5094400000016</v>
          </cell>
          <cell r="K117">
            <v>4571.7942900000053</v>
          </cell>
          <cell r="L117">
            <v>3203.045849999995</v>
          </cell>
          <cell r="M117">
            <v>-1341.2549700000018</v>
          </cell>
        </row>
        <row r="118">
          <cell r="A118" t="str">
            <v>Teleceara31138113</v>
          </cell>
          <cell r="B118">
            <v>3148.3985200000002</v>
          </cell>
          <cell r="C118">
            <v>3206.9866699999998</v>
          </cell>
          <cell r="D118">
            <v>3424.4547800000009</v>
          </cell>
          <cell r="E118">
            <v>3415.2552400000004</v>
          </cell>
          <cell r="F118">
            <v>3333.1709499999979</v>
          </cell>
          <cell r="G118">
            <v>3195.6355100000037</v>
          </cell>
          <cell r="H118">
            <v>3308.6441799999993</v>
          </cell>
          <cell r="I118">
            <v>3652.3666899999953</v>
          </cell>
          <cell r="J118">
            <v>3517.5094400000016</v>
          </cell>
          <cell r="K118">
            <v>4571.7942900000053</v>
          </cell>
          <cell r="L118">
            <v>3203.045849999995</v>
          </cell>
          <cell r="M118">
            <v>-1341.2549700000018</v>
          </cell>
        </row>
        <row r="119">
          <cell r="A119" t="str">
            <v>Teleceara31138120</v>
          </cell>
          <cell r="B119">
            <v>6.7639899999999997</v>
          </cell>
          <cell r="C119">
            <v>5.3076300000000014</v>
          </cell>
          <cell r="D119">
            <v>6.5973199999999981</v>
          </cell>
          <cell r="E119">
            <v>5.7316700000000012</v>
          </cell>
          <cell r="F119">
            <v>5.7316699999999976</v>
          </cell>
          <cell r="G119">
            <v>6.3886100000000035</v>
          </cell>
          <cell r="H119">
            <v>6.0602499999999964</v>
          </cell>
          <cell r="I119">
            <v>5.7416900000000055</v>
          </cell>
          <cell r="J119">
            <v>-4.3399199999999993</v>
          </cell>
          <cell r="K119">
            <v>-2.0193599999999989</v>
          </cell>
          <cell r="L119">
            <v>-8.1400000000002137E-2</v>
          </cell>
          <cell r="M119">
            <v>0.47502999999999673</v>
          </cell>
        </row>
        <row r="120">
          <cell r="A120" t="str">
            <v>Teleceara31138122</v>
          </cell>
          <cell r="B120">
            <v>1.83649</v>
          </cell>
          <cell r="C120">
            <v>1.4307300000000001</v>
          </cell>
          <cell r="D120">
            <v>1.6999500000000003</v>
          </cell>
          <cell r="E120">
            <v>1.69984</v>
          </cell>
          <cell r="F120">
            <v>1.6998400000000009</v>
          </cell>
          <cell r="G120">
            <v>0.97136999999999851</v>
          </cell>
          <cell r="H120">
            <v>2.4711800000000004</v>
          </cell>
          <cell r="I120">
            <v>-11.8094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A121" t="str">
            <v>Teleceara31138123</v>
          </cell>
          <cell r="B121">
            <v>4.9275000000000002</v>
          </cell>
          <cell r="C121">
            <v>3.8768999999999991</v>
          </cell>
          <cell r="D121">
            <v>4.8973700000000004</v>
          </cell>
          <cell r="E121">
            <v>4.0318299999999994</v>
          </cell>
          <cell r="F121">
            <v>4.0318300000000029</v>
          </cell>
          <cell r="G121">
            <v>5.4172399999999961</v>
          </cell>
          <cell r="H121">
            <v>3.5890700000000031</v>
          </cell>
          <cell r="I121">
            <v>17.551090000000002</v>
          </cell>
          <cell r="J121">
            <v>-4.3399199999999993</v>
          </cell>
          <cell r="K121">
            <v>-2.0193599999999989</v>
          </cell>
          <cell r="L121">
            <v>-8.1400000000002137E-2</v>
          </cell>
          <cell r="M121">
            <v>0.47502999999999673</v>
          </cell>
        </row>
        <row r="122">
          <cell r="A122" t="str">
            <v>Teleceara31138130</v>
          </cell>
          <cell r="B122">
            <v>146.05736999999999</v>
          </cell>
          <cell r="C122">
            <v>122.34692000000001</v>
          </cell>
          <cell r="D122">
            <v>143.48244999999997</v>
          </cell>
          <cell r="E122">
            <v>124.66081000000003</v>
          </cell>
          <cell r="F122">
            <v>124.66080999999997</v>
          </cell>
          <cell r="G122">
            <v>148.97047999999995</v>
          </cell>
          <cell r="H122">
            <v>135.40736000000004</v>
          </cell>
          <cell r="I122">
            <v>114.31764000000021</v>
          </cell>
          <cell r="J122">
            <v>-47.29836000000023</v>
          </cell>
          <cell r="K122">
            <v>153.81418000000008</v>
          </cell>
          <cell r="L122">
            <v>30.980649999999969</v>
          </cell>
          <cell r="M122">
            <v>97.727849999999989</v>
          </cell>
        </row>
        <row r="123">
          <cell r="A123" t="str">
            <v>Teleceara31138133</v>
          </cell>
          <cell r="B123">
            <v>146.05736999999999</v>
          </cell>
          <cell r="C123">
            <v>122.34692000000001</v>
          </cell>
          <cell r="D123">
            <v>143.48244999999997</v>
          </cell>
          <cell r="E123">
            <v>124.66081000000003</v>
          </cell>
          <cell r="F123">
            <v>124.66080999999997</v>
          </cell>
          <cell r="G123">
            <v>148.97047999999995</v>
          </cell>
          <cell r="H123">
            <v>135.40736000000004</v>
          </cell>
          <cell r="I123">
            <v>114.31764000000021</v>
          </cell>
          <cell r="J123">
            <v>-47.29836000000023</v>
          </cell>
          <cell r="K123">
            <v>153.81418000000008</v>
          </cell>
          <cell r="L123">
            <v>30.980649999999969</v>
          </cell>
          <cell r="M123">
            <v>97.727849999999989</v>
          </cell>
        </row>
        <row r="124">
          <cell r="A124" t="str">
            <v>Teleceara31138300</v>
          </cell>
          <cell r="B124">
            <v>1050.4288100000001</v>
          </cell>
          <cell r="C124">
            <v>958.4256899999998</v>
          </cell>
          <cell r="D124">
            <v>985.42511000000013</v>
          </cell>
          <cell r="E124">
            <v>911.67693000000008</v>
          </cell>
          <cell r="F124">
            <v>911.67692999999963</v>
          </cell>
          <cell r="G124">
            <v>997.75127000000066</v>
          </cell>
          <cell r="H124">
            <v>1004.1419599999999</v>
          </cell>
          <cell r="I124">
            <v>1183.14876</v>
          </cell>
          <cell r="J124">
            <v>2371.4230699999989</v>
          </cell>
          <cell r="K124">
            <v>-950.21089999999822</v>
          </cell>
          <cell r="L124">
            <v>620.49093999999968</v>
          </cell>
          <cell r="M124">
            <v>566.1587299999992</v>
          </cell>
        </row>
        <row r="125">
          <cell r="A125" t="str">
            <v>Teleceara31138310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781.73287000000005</v>
          </cell>
          <cell r="K125">
            <v>-774.52012999999999</v>
          </cell>
          <cell r="L125">
            <v>48.179659999999998</v>
          </cell>
          <cell r="M125">
            <v>-49.268340000000002</v>
          </cell>
        </row>
        <row r="126">
          <cell r="A126" t="str">
            <v>Teleceara31138313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781.73287000000005</v>
          </cell>
          <cell r="K126">
            <v>-774.52012999999999</v>
          </cell>
          <cell r="L126">
            <v>48.179659999999998</v>
          </cell>
          <cell r="M126">
            <v>-49.268340000000002</v>
          </cell>
        </row>
        <row r="127">
          <cell r="A127" t="str">
            <v>Teleceara31138320</v>
          </cell>
          <cell r="B127">
            <v>946.4248</v>
          </cell>
          <cell r="C127">
            <v>861.81547999999998</v>
          </cell>
          <cell r="D127">
            <v>890.65303999999969</v>
          </cell>
          <cell r="E127">
            <v>821.55667000000039</v>
          </cell>
          <cell r="F127">
            <v>821.55666999999994</v>
          </cell>
          <cell r="G127">
            <v>889.61154999999962</v>
          </cell>
          <cell r="H127">
            <v>863.43323000000055</v>
          </cell>
          <cell r="I127">
            <v>1056.3828199999998</v>
          </cell>
          <cell r="J127">
            <v>1419.3919800000003</v>
          </cell>
          <cell r="K127">
            <v>13.228789999999208</v>
          </cell>
          <cell r="L127">
            <v>507.79124000000047</v>
          </cell>
          <cell r="M127">
            <v>560.66237000000001</v>
          </cell>
        </row>
        <row r="128">
          <cell r="A128" t="str">
            <v>Teleceara31138323</v>
          </cell>
          <cell r="B128">
            <v>946.4248</v>
          </cell>
          <cell r="C128">
            <v>861.81547999999998</v>
          </cell>
          <cell r="D128">
            <v>890.65303999999969</v>
          </cell>
          <cell r="E128">
            <v>821.55667000000039</v>
          </cell>
          <cell r="F128">
            <v>821.55666999999994</v>
          </cell>
          <cell r="G128">
            <v>889.61154999999962</v>
          </cell>
          <cell r="H128">
            <v>863.43323000000055</v>
          </cell>
          <cell r="I128">
            <v>1056.3828199999998</v>
          </cell>
          <cell r="J128">
            <v>1419.3919800000003</v>
          </cell>
          <cell r="K128">
            <v>13.228789999999208</v>
          </cell>
          <cell r="L128">
            <v>507.79124000000047</v>
          </cell>
          <cell r="M128">
            <v>560.66237000000001</v>
          </cell>
        </row>
        <row r="129">
          <cell r="A129" t="str">
            <v>Teleceara31138330</v>
          </cell>
          <cell r="B129">
            <v>104.00400999999999</v>
          </cell>
          <cell r="C129">
            <v>96.610209999999995</v>
          </cell>
          <cell r="D129">
            <v>94.772069999999985</v>
          </cell>
          <cell r="E129">
            <v>90.12026000000003</v>
          </cell>
          <cell r="F129">
            <v>90.120259999999973</v>
          </cell>
          <cell r="G129">
            <v>108.13972000000001</v>
          </cell>
          <cell r="H129">
            <v>140.70873000000006</v>
          </cell>
          <cell r="I129">
            <v>126.76593999999989</v>
          </cell>
          <cell r="J129">
            <v>-95.478610000000003</v>
          </cell>
          <cell r="K129">
            <v>74.484440000000063</v>
          </cell>
          <cell r="L129">
            <v>55.206480000000056</v>
          </cell>
          <cell r="M129">
            <v>64.509649999999965</v>
          </cell>
        </row>
        <row r="130">
          <cell r="A130" t="str">
            <v>Teleceara31138333</v>
          </cell>
          <cell r="B130">
            <v>104.00400999999999</v>
          </cell>
          <cell r="C130">
            <v>96.610209999999995</v>
          </cell>
          <cell r="D130">
            <v>94.772069999999985</v>
          </cell>
          <cell r="E130">
            <v>90.12026000000003</v>
          </cell>
          <cell r="F130">
            <v>90.120259999999973</v>
          </cell>
          <cell r="G130">
            <v>108.13972000000001</v>
          </cell>
          <cell r="H130">
            <v>140.70873000000006</v>
          </cell>
          <cell r="I130">
            <v>126.76593999999989</v>
          </cell>
          <cell r="J130">
            <v>-95.478610000000003</v>
          </cell>
          <cell r="K130">
            <v>74.484440000000063</v>
          </cell>
          <cell r="L130">
            <v>55.206480000000056</v>
          </cell>
          <cell r="M130">
            <v>64.509649999999965</v>
          </cell>
        </row>
        <row r="131">
          <cell r="A131" t="str">
            <v>Teleceara31138340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265.77683000000002</v>
          </cell>
          <cell r="K131">
            <v>-263.404</v>
          </cell>
          <cell r="L131">
            <v>9.313559999999999</v>
          </cell>
          <cell r="M131">
            <v>-9.7449499999999993</v>
          </cell>
        </row>
        <row r="132">
          <cell r="A132" t="str">
            <v>Teleceara31138343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265.77683000000002</v>
          </cell>
          <cell r="K132">
            <v>-263.404</v>
          </cell>
          <cell r="L132">
            <v>9.313559999999999</v>
          </cell>
          <cell r="M132">
            <v>-9.7449499999999993</v>
          </cell>
        </row>
        <row r="133">
          <cell r="A133" t="str">
            <v>Teleceara31144300</v>
          </cell>
          <cell r="B133">
            <v>0</v>
          </cell>
          <cell r="C133">
            <v>0</v>
          </cell>
          <cell r="D133">
            <v>602.57830000000001</v>
          </cell>
          <cell r="E133">
            <v>0</v>
          </cell>
          <cell r="F133">
            <v>0</v>
          </cell>
          <cell r="G133">
            <v>0</v>
          </cell>
          <cell r="H133">
            <v>218.94452999999999</v>
          </cell>
          <cell r="I133">
            <v>430.78680999999995</v>
          </cell>
          <cell r="J133">
            <v>814.44464000000016</v>
          </cell>
          <cell r="K133">
            <v>663.32919999999967</v>
          </cell>
          <cell r="L133">
            <v>1178.1305600000001</v>
          </cell>
          <cell r="M133">
            <v>1135.4640800000006</v>
          </cell>
        </row>
        <row r="134">
          <cell r="A134" t="str">
            <v>Teleceara41111320</v>
          </cell>
          <cell r="B134">
            <v>4472.1515799999997</v>
          </cell>
          <cell r="C134">
            <v>4710.1036500000009</v>
          </cell>
          <cell r="D134">
            <v>4851.1982899999985</v>
          </cell>
          <cell r="E134">
            <v>4578.5868200000004</v>
          </cell>
          <cell r="F134">
            <v>3712.3101800000004</v>
          </cell>
          <cell r="G134">
            <v>5855.149129999998</v>
          </cell>
          <cell r="H134">
            <v>3594.2566200000001</v>
          </cell>
          <cell r="I134">
            <v>4818.127410000001</v>
          </cell>
          <cell r="J134">
            <v>5108.5766199999998</v>
          </cell>
          <cell r="K134">
            <v>3631.4949599999964</v>
          </cell>
          <cell r="L134">
            <v>3812.8693100000019</v>
          </cell>
          <cell r="M134">
            <v>4187.7577299999975</v>
          </cell>
        </row>
        <row r="135">
          <cell r="A135" t="str">
            <v>Teleceara41111323</v>
          </cell>
          <cell r="B135">
            <v>0</v>
          </cell>
          <cell r="C135">
            <v>0.8921</v>
          </cell>
          <cell r="D135">
            <v>0.80896000000000001</v>
          </cell>
          <cell r="E135">
            <v>0.45557000000000025</v>
          </cell>
          <cell r="F135">
            <v>0.92644999999999955</v>
          </cell>
          <cell r="G135">
            <v>-0.14742999999999995</v>
          </cell>
          <cell r="H135">
            <v>-9.2789999999999928E-2</v>
          </cell>
          <cell r="I135">
            <v>3.1620000000000203E-2</v>
          </cell>
          <cell r="J135">
            <v>2.1530000000000271E-2</v>
          </cell>
          <cell r="K135">
            <v>5.1949999999999719E-2</v>
          </cell>
          <cell r="L135">
            <v>4.3479999999999741E-2</v>
          </cell>
          <cell r="M135">
            <v>4.9170000000000158E-2</v>
          </cell>
        </row>
        <row r="136">
          <cell r="A136" t="str">
            <v>Teleceara41111324</v>
          </cell>
          <cell r="B136">
            <v>102.59656</v>
          </cell>
          <cell r="C136">
            <v>94.571150000000003</v>
          </cell>
          <cell r="D136">
            <v>96.277639999999963</v>
          </cell>
          <cell r="E136">
            <v>90.445880000000045</v>
          </cell>
          <cell r="F136">
            <v>90.445879999999988</v>
          </cell>
          <cell r="G136">
            <v>586.3312699999999</v>
          </cell>
          <cell r="H136">
            <v>196.23538000000008</v>
          </cell>
          <cell r="I136">
            <v>195.31894000000011</v>
          </cell>
          <cell r="J136">
            <v>520.92286000000013</v>
          </cell>
          <cell r="K136">
            <v>37.473109999999679</v>
          </cell>
          <cell r="L136">
            <v>265.10552000000007</v>
          </cell>
          <cell r="M136">
            <v>329.64726000000019</v>
          </cell>
        </row>
        <row r="137">
          <cell r="A137" t="str">
            <v>Teleceara41111330</v>
          </cell>
          <cell r="B137">
            <v>18.086269999999999</v>
          </cell>
          <cell r="C137">
            <v>0.2623899999999999</v>
          </cell>
          <cell r="D137">
            <v>-17.933149999999998</v>
          </cell>
          <cell r="E137">
            <v>0.2205700000000001</v>
          </cell>
          <cell r="F137">
            <v>49.973500000000001</v>
          </cell>
          <cell r="G137">
            <v>-49.717919999999999</v>
          </cell>
          <cell r="H137">
            <v>1164.69416</v>
          </cell>
          <cell r="I137">
            <v>958.81199999999967</v>
          </cell>
          <cell r="J137">
            <v>1274.7475500000005</v>
          </cell>
          <cell r="K137">
            <v>910.57974000000013</v>
          </cell>
          <cell r="L137">
            <v>3247.2514199999996</v>
          </cell>
          <cell r="M137">
            <v>1942.5386200000012</v>
          </cell>
        </row>
        <row r="138">
          <cell r="A138" t="str">
            <v>Teleceara41111334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49.887160000000002</v>
          </cell>
          <cell r="G138">
            <v>-49.887160000000002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108.19834</v>
          </cell>
        </row>
        <row r="139">
          <cell r="A139" t="str">
            <v>Telemig31138100</v>
          </cell>
          <cell r="B139">
            <v>6815.7821800000002</v>
          </cell>
          <cell r="C139">
            <v>12344.704319999999</v>
          </cell>
          <cell r="D139">
            <v>11638.040980000002</v>
          </cell>
          <cell r="E139">
            <v>12769.833330000005</v>
          </cell>
          <cell r="F139">
            <v>14396.995069999997</v>
          </cell>
          <cell r="G139">
            <v>10436.43832999999</v>
          </cell>
          <cell r="H139">
            <v>14799.753900000011</v>
          </cell>
          <cell r="I139">
            <v>15735.635049999997</v>
          </cell>
          <cell r="J139">
            <v>15561.726339999994</v>
          </cell>
          <cell r="K139">
            <v>16765.450499999992</v>
          </cell>
          <cell r="L139">
            <v>19128.885900000023</v>
          </cell>
          <cell r="M139">
            <v>19414.990299999976</v>
          </cell>
        </row>
        <row r="140">
          <cell r="A140" t="str">
            <v>Telemig31138110</v>
          </cell>
          <cell r="B140">
            <v>6814.25785</v>
          </cell>
          <cell r="C140">
            <v>11418.24747</v>
          </cell>
          <cell r="D140">
            <v>11128.728090000001</v>
          </cell>
          <cell r="E140">
            <v>12451.245199999998</v>
          </cell>
          <cell r="F140">
            <v>14078.406940000001</v>
          </cell>
          <cell r="G140">
            <v>10292.850029999994</v>
          </cell>
          <cell r="H140">
            <v>14649.753900000011</v>
          </cell>
          <cell r="I140">
            <v>15595.162299999996</v>
          </cell>
          <cell r="J140">
            <v>15460.269319999992</v>
          </cell>
          <cell r="K140">
            <v>16577.906300000017</v>
          </cell>
          <cell r="L140">
            <v>18949.345799999981</v>
          </cell>
          <cell r="M140">
            <v>19026.689299999998</v>
          </cell>
        </row>
        <row r="141">
          <cell r="A141" t="str">
            <v>Telemig31138113</v>
          </cell>
          <cell r="B141">
            <v>6814.25785</v>
          </cell>
          <cell r="C141">
            <v>11418.24747</v>
          </cell>
          <cell r="D141">
            <v>11128.728090000001</v>
          </cell>
          <cell r="E141">
            <v>12451.245199999998</v>
          </cell>
          <cell r="F141">
            <v>14078.406940000001</v>
          </cell>
          <cell r="G141">
            <v>10292.850029999994</v>
          </cell>
          <cell r="H141">
            <v>14649.753900000011</v>
          </cell>
          <cell r="I141">
            <v>15595.162299999996</v>
          </cell>
          <cell r="J141">
            <v>15460.269319999992</v>
          </cell>
          <cell r="K141">
            <v>16577.906300000017</v>
          </cell>
          <cell r="L141">
            <v>18949.345799999981</v>
          </cell>
          <cell r="M141">
            <v>19026.689299999998</v>
          </cell>
        </row>
        <row r="142">
          <cell r="A142" t="str">
            <v>Telemig31138120</v>
          </cell>
          <cell r="B142">
            <v>0</v>
          </cell>
          <cell r="C142">
            <v>111.71589999999999</v>
          </cell>
          <cell r="D142">
            <v>124.32020000000001</v>
          </cell>
          <cell r="E142">
            <v>50.341110000000043</v>
          </cell>
          <cell r="F142">
            <v>50.341109999999958</v>
          </cell>
          <cell r="G142">
            <v>10.853760000000023</v>
          </cell>
          <cell r="H142">
            <v>0</v>
          </cell>
          <cell r="I142">
            <v>3.4057500000000118</v>
          </cell>
          <cell r="J142">
            <v>0</v>
          </cell>
          <cell r="K142">
            <v>0</v>
          </cell>
          <cell r="L142">
            <v>0</v>
          </cell>
          <cell r="M142">
            <v>1.8981899999999996</v>
          </cell>
        </row>
        <row r="143">
          <cell r="A143" t="str">
            <v>Telemig31138123</v>
          </cell>
          <cell r="B143">
            <v>0</v>
          </cell>
          <cell r="C143">
            <v>111.71589999999999</v>
          </cell>
          <cell r="D143">
            <v>124.32020000000001</v>
          </cell>
          <cell r="E143">
            <v>50.341110000000043</v>
          </cell>
          <cell r="F143">
            <v>50.341109999999958</v>
          </cell>
          <cell r="G143">
            <v>10.853760000000023</v>
          </cell>
          <cell r="H143">
            <v>0</v>
          </cell>
          <cell r="I143">
            <v>3.4057500000000118</v>
          </cell>
          <cell r="J143">
            <v>0</v>
          </cell>
          <cell r="K143">
            <v>0</v>
          </cell>
          <cell r="L143">
            <v>0</v>
          </cell>
          <cell r="M143">
            <v>1.8981899999999996</v>
          </cell>
        </row>
        <row r="144">
          <cell r="A144" t="str">
            <v>Telemig31138130</v>
          </cell>
          <cell r="B144">
            <v>1.52433</v>
          </cell>
          <cell r="C144">
            <v>814.74095000000011</v>
          </cell>
          <cell r="D144">
            <v>384.99268999999981</v>
          </cell>
          <cell r="E144">
            <v>268.24702000000002</v>
          </cell>
          <cell r="F144">
            <v>268.24702000000002</v>
          </cell>
          <cell r="G144">
            <v>132.73454000000015</v>
          </cell>
          <cell r="H144">
            <v>150</v>
          </cell>
          <cell r="I144">
            <v>137.06699999999955</v>
          </cell>
          <cell r="J144">
            <v>101.45703000000049</v>
          </cell>
          <cell r="K144">
            <v>187.54419999999982</v>
          </cell>
          <cell r="L144">
            <v>179.54010000000017</v>
          </cell>
          <cell r="M144">
            <v>386.40278999999964</v>
          </cell>
        </row>
        <row r="145">
          <cell r="A145" t="str">
            <v>Telemig31138133</v>
          </cell>
          <cell r="B145">
            <v>1.52433</v>
          </cell>
          <cell r="C145">
            <v>814.74095000000011</v>
          </cell>
          <cell r="D145">
            <v>384.99268999999981</v>
          </cell>
          <cell r="E145">
            <v>268.24702000000002</v>
          </cell>
          <cell r="F145">
            <v>268.24702000000002</v>
          </cell>
          <cell r="G145">
            <v>132.73454000000015</v>
          </cell>
          <cell r="H145">
            <v>150</v>
          </cell>
          <cell r="I145">
            <v>137.06699999999955</v>
          </cell>
          <cell r="J145">
            <v>101.45703000000049</v>
          </cell>
          <cell r="K145">
            <v>187.54419999999982</v>
          </cell>
          <cell r="L145">
            <v>179.54010000000017</v>
          </cell>
          <cell r="M145">
            <v>386.40278999999964</v>
          </cell>
        </row>
        <row r="146">
          <cell r="A146" t="str">
            <v>Telemig31138300</v>
          </cell>
          <cell r="B146">
            <v>733.67389000000003</v>
          </cell>
          <cell r="C146">
            <v>822.97817000000009</v>
          </cell>
          <cell r="D146">
            <v>800.3256600000002</v>
          </cell>
          <cell r="E146">
            <v>691.55648999999949</v>
          </cell>
          <cell r="F146">
            <v>828.13106999999991</v>
          </cell>
          <cell r="G146">
            <v>2284.6865900000007</v>
          </cell>
          <cell r="H146">
            <v>-1559.4839000000011</v>
          </cell>
          <cell r="I146">
            <v>142.93035000000054</v>
          </cell>
          <cell r="J146">
            <v>409.25809000000027</v>
          </cell>
          <cell r="K146">
            <v>600.92213999999967</v>
          </cell>
          <cell r="L146">
            <v>525.2774500000005</v>
          </cell>
          <cell r="M146">
            <v>3250.06808</v>
          </cell>
        </row>
        <row r="147">
          <cell r="A147" t="str">
            <v>Telemig31138310</v>
          </cell>
          <cell r="B147">
            <v>292.57974000000002</v>
          </cell>
          <cell r="C147">
            <v>381.99401999999998</v>
          </cell>
          <cell r="D147">
            <v>327.74330999999995</v>
          </cell>
          <cell r="E147">
            <v>283.21355000000005</v>
          </cell>
          <cell r="F147">
            <v>344.05219000000011</v>
          </cell>
          <cell r="G147">
            <v>1889.2080299999996</v>
          </cell>
          <cell r="H147">
            <v>-1572.5372399999997</v>
          </cell>
          <cell r="I147">
            <v>59.898879999999963</v>
          </cell>
          <cell r="J147">
            <v>121.73631</v>
          </cell>
          <cell r="K147">
            <v>156.02054999999973</v>
          </cell>
          <cell r="L147">
            <v>138.38915000000043</v>
          </cell>
          <cell r="M147">
            <v>1280.3546500000002</v>
          </cell>
        </row>
        <row r="148">
          <cell r="A148" t="str">
            <v>Telemig31138313</v>
          </cell>
          <cell r="B148">
            <v>292.57974000000002</v>
          </cell>
          <cell r="C148">
            <v>381.99401999999998</v>
          </cell>
          <cell r="D148">
            <v>327.74330999999995</v>
          </cell>
          <cell r="E148">
            <v>283.21355000000005</v>
          </cell>
          <cell r="F148">
            <v>344.05219000000011</v>
          </cell>
          <cell r="G148">
            <v>1889.2080299999996</v>
          </cell>
          <cell r="H148">
            <v>-1572.5372399999997</v>
          </cell>
          <cell r="I148">
            <v>59.898879999999963</v>
          </cell>
          <cell r="J148">
            <v>121.73631</v>
          </cell>
          <cell r="K148">
            <v>156.02054999999973</v>
          </cell>
          <cell r="L148">
            <v>138.38915000000043</v>
          </cell>
          <cell r="M148">
            <v>1280.3546500000002</v>
          </cell>
        </row>
        <row r="149">
          <cell r="A149" t="str">
            <v>Telemig31138320</v>
          </cell>
          <cell r="B149">
            <v>253.09058999999999</v>
          </cell>
          <cell r="C149">
            <v>340.88568999999995</v>
          </cell>
          <cell r="D149">
            <v>299.63101000000006</v>
          </cell>
          <cell r="E149">
            <v>256.53715999999997</v>
          </cell>
          <cell r="F149">
            <v>311.44819999999982</v>
          </cell>
          <cell r="G149">
            <v>277.05854000000022</v>
          </cell>
          <cell r="H149">
            <v>9.0719899999999143</v>
          </cell>
          <cell r="I149">
            <v>54.08943000000022</v>
          </cell>
          <cell r="J149">
            <v>109.78691999999978</v>
          </cell>
          <cell r="K149">
            <v>334.34821999999986</v>
          </cell>
          <cell r="L149">
            <v>138.78652000000011</v>
          </cell>
          <cell r="M149">
            <v>1613.7691500000001</v>
          </cell>
        </row>
        <row r="150">
          <cell r="A150" t="str">
            <v>Telemig31138323</v>
          </cell>
          <cell r="B150">
            <v>253.09058999999999</v>
          </cell>
          <cell r="C150">
            <v>340.88568999999995</v>
          </cell>
          <cell r="D150">
            <v>299.63101000000006</v>
          </cell>
          <cell r="E150">
            <v>256.53715999999997</v>
          </cell>
          <cell r="F150">
            <v>311.44819999999982</v>
          </cell>
          <cell r="G150">
            <v>277.05854000000022</v>
          </cell>
          <cell r="H150">
            <v>9.0719899999999143</v>
          </cell>
          <cell r="I150">
            <v>54.08943000000022</v>
          </cell>
          <cell r="J150">
            <v>109.78691999999978</v>
          </cell>
          <cell r="K150">
            <v>334.34821999999986</v>
          </cell>
          <cell r="L150">
            <v>138.78652000000011</v>
          </cell>
          <cell r="M150">
            <v>1613.7691500000001</v>
          </cell>
        </row>
        <row r="151">
          <cell r="A151" t="str">
            <v>Telemig31138330</v>
          </cell>
          <cell r="B151">
            <v>59.239879999999999</v>
          </cell>
          <cell r="C151">
            <v>-2.043299999999995</v>
          </cell>
          <cell r="D151">
            <v>60.765399999999993</v>
          </cell>
          <cell r="E151">
            <v>54.862270000000009</v>
          </cell>
          <cell r="F151">
            <v>54.862209999999976</v>
          </cell>
          <cell r="G151">
            <v>97.678590000000014</v>
          </cell>
          <cell r="H151">
            <v>-0.68365000000000009</v>
          </cell>
          <cell r="I151">
            <v>9.8975500000000238</v>
          </cell>
          <cell r="J151">
            <v>141.92207999999999</v>
          </cell>
          <cell r="K151">
            <v>59.584860000000049</v>
          </cell>
          <cell r="L151">
            <v>202.28039000000001</v>
          </cell>
          <cell r="M151">
            <v>-48.017200000000116</v>
          </cell>
        </row>
        <row r="152">
          <cell r="A152" t="str">
            <v>Telemig31138333</v>
          </cell>
          <cell r="B152">
            <v>59.239879999999999</v>
          </cell>
          <cell r="C152">
            <v>-2.043299999999995</v>
          </cell>
          <cell r="D152">
            <v>60.765399999999993</v>
          </cell>
          <cell r="E152">
            <v>54.862270000000009</v>
          </cell>
          <cell r="F152">
            <v>54.862209999999976</v>
          </cell>
          <cell r="G152">
            <v>97.678590000000014</v>
          </cell>
          <cell r="H152">
            <v>-0.68365000000000009</v>
          </cell>
          <cell r="I152">
            <v>9.8975500000000238</v>
          </cell>
          <cell r="J152">
            <v>141.92207999999999</v>
          </cell>
          <cell r="K152">
            <v>59.584860000000049</v>
          </cell>
          <cell r="L152">
            <v>202.28039000000001</v>
          </cell>
          <cell r="M152">
            <v>-48.017200000000116</v>
          </cell>
        </row>
        <row r="153">
          <cell r="A153" t="str">
            <v>Telemig31138340</v>
          </cell>
          <cell r="B153">
            <v>128.76367999999999</v>
          </cell>
          <cell r="C153">
            <v>102.14176</v>
          </cell>
          <cell r="D153">
            <v>112.18594000000002</v>
          </cell>
          <cell r="E153">
            <v>96.943510000000003</v>
          </cell>
          <cell r="F153">
            <v>117.76846999999998</v>
          </cell>
          <cell r="G153">
            <v>20.741430000000037</v>
          </cell>
          <cell r="H153">
            <v>4.6649999999999636</v>
          </cell>
          <cell r="I153">
            <v>19.044489999999996</v>
          </cell>
          <cell r="J153">
            <v>35.812780000000089</v>
          </cell>
          <cell r="K153">
            <v>50.96850999999981</v>
          </cell>
          <cell r="L153">
            <v>45.821390000000065</v>
          </cell>
          <cell r="M153">
            <v>403.96148000000005</v>
          </cell>
        </row>
        <row r="154">
          <cell r="A154" t="str">
            <v>Telemig31138343</v>
          </cell>
          <cell r="B154">
            <v>128.76367999999999</v>
          </cell>
          <cell r="C154">
            <v>102.14176</v>
          </cell>
          <cell r="D154">
            <v>112.18594000000002</v>
          </cell>
          <cell r="E154">
            <v>96.943510000000003</v>
          </cell>
          <cell r="F154">
            <v>117.76846999999998</v>
          </cell>
          <cell r="G154">
            <v>20.741430000000037</v>
          </cell>
          <cell r="H154">
            <v>4.6649999999999636</v>
          </cell>
          <cell r="I154">
            <v>19.044489999999996</v>
          </cell>
          <cell r="J154">
            <v>35.812780000000089</v>
          </cell>
          <cell r="K154">
            <v>50.96850999999981</v>
          </cell>
          <cell r="L154">
            <v>45.821390000000065</v>
          </cell>
          <cell r="M154">
            <v>403.96148000000005</v>
          </cell>
        </row>
        <row r="155">
          <cell r="A155" t="str">
            <v>Telemig41111320</v>
          </cell>
          <cell r="B155">
            <v>26881.48403</v>
          </cell>
          <cell r="C155">
            <v>22840.73083</v>
          </cell>
          <cell r="D155">
            <v>28281.517499999994</v>
          </cell>
          <cell r="E155">
            <v>28256.468330000003</v>
          </cell>
          <cell r="F155">
            <v>28439.507699999987</v>
          </cell>
          <cell r="G155">
            <v>27851.138410000014</v>
          </cell>
          <cell r="H155">
            <v>23668.191699999996</v>
          </cell>
          <cell r="I155">
            <v>25839.790600000008</v>
          </cell>
          <cell r="J155">
            <v>29047.124799999991</v>
          </cell>
          <cell r="K155">
            <v>23546.655600000027</v>
          </cell>
          <cell r="L155">
            <v>20705.077600000019</v>
          </cell>
          <cell r="M155">
            <v>24641.428699999989</v>
          </cell>
        </row>
        <row r="156">
          <cell r="A156" t="str">
            <v>Telemig41111323</v>
          </cell>
          <cell r="B156">
            <v>45.471119999999999</v>
          </cell>
          <cell r="C156">
            <v>39.371790000000004</v>
          </cell>
          <cell r="D156">
            <v>53.06716999999999</v>
          </cell>
          <cell r="E156">
            <v>48.172550000000001</v>
          </cell>
          <cell r="F156">
            <v>47.388589999999994</v>
          </cell>
          <cell r="G156">
            <v>53.634949999999975</v>
          </cell>
          <cell r="H156">
            <v>35.481800000000021</v>
          </cell>
          <cell r="I156">
            <v>40.172270000000026</v>
          </cell>
          <cell r="J156">
            <v>45.631889999999999</v>
          </cell>
          <cell r="K156">
            <v>31.57362999999998</v>
          </cell>
          <cell r="L156">
            <v>35.555709999999976</v>
          </cell>
          <cell r="M156">
            <v>25.37420000000003</v>
          </cell>
        </row>
        <row r="157">
          <cell r="A157" t="str">
            <v>Telemig41111324</v>
          </cell>
          <cell r="B157">
            <v>1319.03333</v>
          </cell>
          <cell r="C157">
            <v>972.17381</v>
          </cell>
          <cell r="D157">
            <v>1422.6607900000004</v>
          </cell>
          <cell r="E157">
            <v>1660.9194599999992</v>
          </cell>
          <cell r="F157">
            <v>1319.2229400000006</v>
          </cell>
          <cell r="G157">
            <v>1669.0302899999997</v>
          </cell>
          <cell r="H157">
            <v>1077.4307800000006</v>
          </cell>
          <cell r="I157">
            <v>1122.0326000000005</v>
          </cell>
          <cell r="J157">
            <v>1793.9449600000007</v>
          </cell>
          <cell r="K157">
            <v>1382.7747899999977</v>
          </cell>
          <cell r="L157">
            <v>1655.5743800000018</v>
          </cell>
          <cell r="M157">
            <v>1746.2959199999987</v>
          </cell>
        </row>
        <row r="158">
          <cell r="A158" t="str">
            <v>Telemig41111325</v>
          </cell>
          <cell r="B158">
            <v>2.8978800000000002</v>
          </cell>
          <cell r="C158">
            <v>0.47749999999999998</v>
          </cell>
          <cell r="D158">
            <v>0.23179999999999978</v>
          </cell>
          <cell r="E158">
            <v>0.11410999999999971</v>
          </cell>
          <cell r="F158">
            <v>-2.0079999999999654E-2</v>
          </cell>
          <cell r="G158">
            <v>-1.7790000000000195E-2</v>
          </cell>
          <cell r="H158">
            <v>2.8770000000000184E-2</v>
          </cell>
          <cell r="I158">
            <v>4.3779999999999486E-2</v>
          </cell>
          <cell r="J158">
            <v>3.8330000000000641E-2</v>
          </cell>
          <cell r="K158">
            <v>1.3899999999997803E-3</v>
          </cell>
          <cell r="L158">
            <v>0</v>
          </cell>
          <cell r="M158">
            <v>-2.6000000000037105E-4</v>
          </cell>
        </row>
        <row r="159">
          <cell r="A159" t="str">
            <v>Telemig41111330</v>
          </cell>
          <cell r="B159">
            <v>168.78201999999999</v>
          </cell>
          <cell r="C159">
            <v>114.14269000000002</v>
          </cell>
          <cell r="D159">
            <v>143.13655</v>
          </cell>
          <cell r="E159">
            <v>154.00855999999993</v>
          </cell>
          <cell r="F159">
            <v>113.44412</v>
          </cell>
          <cell r="G159">
            <v>147.70925</v>
          </cell>
          <cell r="H159">
            <v>2783.6386199999997</v>
          </cell>
          <cell r="I159">
            <v>4728.1692800000001</v>
          </cell>
          <cell r="J159">
            <v>5600.6498700000011</v>
          </cell>
          <cell r="K159">
            <v>4947.0679299999974</v>
          </cell>
          <cell r="L159">
            <v>3807.8387500000026</v>
          </cell>
          <cell r="M159">
            <v>4516.1555099999969</v>
          </cell>
        </row>
        <row r="160">
          <cell r="A160" t="str">
            <v>Telemig41111333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1.95004</v>
          </cell>
          <cell r="I160">
            <v>4.2583800000000007</v>
          </cell>
          <cell r="J160">
            <v>4.9359199999999994</v>
          </cell>
          <cell r="K160">
            <v>3.8451199999999996</v>
          </cell>
          <cell r="L160">
            <v>3.435789999999999</v>
          </cell>
          <cell r="M160">
            <v>1.7779700000000034</v>
          </cell>
        </row>
        <row r="161">
          <cell r="A161" t="str">
            <v>Telemig41111334</v>
          </cell>
          <cell r="B161">
            <v>26.22073</v>
          </cell>
          <cell r="C161">
            <v>27.268490000000003</v>
          </cell>
          <cell r="D161">
            <v>21.472549999999998</v>
          </cell>
          <cell r="E161">
            <v>20.678440000000009</v>
          </cell>
          <cell r="F161">
            <v>22.383769999999984</v>
          </cell>
          <cell r="G161">
            <v>20.290780000000012</v>
          </cell>
          <cell r="H161">
            <v>-0.33320000000000505</v>
          </cell>
          <cell r="I161">
            <v>-1.4557399999999916</v>
          </cell>
          <cell r="J161">
            <v>2.0000000000095497E-3</v>
          </cell>
          <cell r="K161">
            <v>9.9379999999996471E-2</v>
          </cell>
          <cell r="L161">
            <v>-5.4300000000182536E-3</v>
          </cell>
          <cell r="M161">
            <v>239.94698000000002</v>
          </cell>
        </row>
        <row r="162">
          <cell r="A162" t="str">
            <v>Telemig41111335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3.8628100000000001</v>
          </cell>
          <cell r="I162">
            <v>4.7277500000000003</v>
          </cell>
          <cell r="J162">
            <v>2.7786799999999996</v>
          </cell>
          <cell r="K162">
            <v>0.12193000000000076</v>
          </cell>
          <cell r="L162">
            <v>9.5999999999918373E-4</v>
          </cell>
          <cell r="M162">
            <v>0</v>
          </cell>
        </row>
        <row r="163">
          <cell r="A163" t="str">
            <v>Telepara31138100</v>
          </cell>
          <cell r="B163">
            <v>1597.00818</v>
          </cell>
          <cell r="C163">
            <v>1819.3386199999998</v>
          </cell>
          <cell r="D163">
            <v>848.60716000000002</v>
          </cell>
          <cell r="E163">
            <v>2144.6113600000008</v>
          </cell>
          <cell r="F163">
            <v>1540.7982299999994</v>
          </cell>
          <cell r="G163">
            <v>2350.327510000001</v>
          </cell>
          <cell r="H163">
            <v>2025.0237799999995</v>
          </cell>
          <cell r="I163">
            <v>2149.2314200000001</v>
          </cell>
          <cell r="J163">
            <v>2500.4697699999997</v>
          </cell>
          <cell r="K163">
            <v>2348.9011199999986</v>
          </cell>
          <cell r="L163">
            <v>3101.0640500000009</v>
          </cell>
          <cell r="M163">
            <v>-1164.7950000000001</v>
          </cell>
        </row>
        <row r="164">
          <cell r="A164" t="str">
            <v>Telepara31138110</v>
          </cell>
          <cell r="B164">
            <v>1119.9956399999999</v>
          </cell>
          <cell r="C164">
            <v>1370.7974299999998</v>
          </cell>
          <cell r="D164">
            <v>148.8718800000006</v>
          </cell>
          <cell r="E164">
            <v>1616.4972600000001</v>
          </cell>
          <cell r="F164">
            <v>1053.0104099999999</v>
          </cell>
          <cell r="G164">
            <v>1760.7890699999998</v>
          </cell>
          <cell r="H164">
            <v>1414.1893799999998</v>
          </cell>
          <cell r="I164">
            <v>1535.2829699999984</v>
          </cell>
          <cell r="J164">
            <v>2397.6032500000001</v>
          </cell>
          <cell r="K164">
            <v>2095.3211900000024</v>
          </cell>
          <cell r="L164">
            <v>2920.4313600000005</v>
          </cell>
          <cell r="M164">
            <v>-1335.6670400000003</v>
          </cell>
        </row>
        <row r="165">
          <cell r="A165" t="str">
            <v>Telepara31138113</v>
          </cell>
          <cell r="B165">
            <v>1119.9956399999999</v>
          </cell>
          <cell r="C165">
            <v>1370.7974299999998</v>
          </cell>
          <cell r="D165">
            <v>148.8718800000006</v>
          </cell>
          <cell r="E165">
            <v>1616.4972600000001</v>
          </cell>
          <cell r="F165">
            <v>1053.0104099999999</v>
          </cell>
          <cell r="G165">
            <v>1760.7890699999998</v>
          </cell>
          <cell r="H165">
            <v>1414.1893799999998</v>
          </cell>
          <cell r="I165">
            <v>1535.2829699999984</v>
          </cell>
          <cell r="J165">
            <v>2397.6032500000001</v>
          </cell>
          <cell r="K165">
            <v>2095.3211900000024</v>
          </cell>
          <cell r="L165">
            <v>2920.4313600000005</v>
          </cell>
          <cell r="M165">
            <v>-1335.6670400000003</v>
          </cell>
        </row>
        <row r="166">
          <cell r="A166" t="str">
            <v>Telepara31138120</v>
          </cell>
          <cell r="B166">
            <v>6.0071099999999999</v>
          </cell>
          <cell r="C166">
            <v>4.87995</v>
          </cell>
          <cell r="D166">
            <v>9.9028100000000006</v>
          </cell>
          <cell r="E166">
            <v>4.4121699999999997</v>
          </cell>
          <cell r="F166">
            <v>4.8556400000000011</v>
          </cell>
          <cell r="G166">
            <v>5.3673600000000015</v>
          </cell>
          <cell r="H166">
            <v>4.5455800000000011</v>
          </cell>
          <cell r="I166">
            <v>4.6596899999999906</v>
          </cell>
          <cell r="J166">
            <v>-6.3095399999999984</v>
          </cell>
          <cell r="K166">
            <v>2.2598800000000026</v>
          </cell>
          <cell r="L166">
            <v>2.3781999999999996</v>
          </cell>
          <cell r="M166">
            <v>1.2168100000000024</v>
          </cell>
        </row>
        <row r="167">
          <cell r="A167" t="str">
            <v>Telepara31138122</v>
          </cell>
          <cell r="B167">
            <v>5.8071200000000003</v>
          </cell>
          <cell r="C167">
            <v>0.6494099999999996</v>
          </cell>
          <cell r="D167">
            <v>1.3104499999999994</v>
          </cell>
          <cell r="E167">
            <v>0.80255000000000098</v>
          </cell>
          <cell r="F167">
            <v>0.7749499999999987</v>
          </cell>
          <cell r="G167">
            <v>0.66827000000000147</v>
          </cell>
          <cell r="H167">
            <v>0.70138999999999818</v>
          </cell>
          <cell r="I167">
            <v>0.81350000000000122</v>
          </cell>
          <cell r="J167">
            <v>-0.8694399999999991</v>
          </cell>
          <cell r="K167">
            <v>0.25658999999999921</v>
          </cell>
          <cell r="L167">
            <v>0.40786999999999907</v>
          </cell>
          <cell r="M167">
            <v>-0.1699199999999994</v>
          </cell>
        </row>
        <row r="168">
          <cell r="A168" t="str">
            <v>Telepara31138123</v>
          </cell>
          <cell r="B168">
            <v>0.19999</v>
          </cell>
          <cell r="C168">
            <v>4.2305400000000004</v>
          </cell>
          <cell r="D168">
            <v>8.5923599999999993</v>
          </cell>
          <cell r="E168">
            <v>3.6096199999999996</v>
          </cell>
          <cell r="F168">
            <v>4.0806900000000006</v>
          </cell>
          <cell r="G168">
            <v>4.6990900000000018</v>
          </cell>
          <cell r="H168">
            <v>3.8441899999999976</v>
          </cell>
          <cell r="I168">
            <v>3.8461899999999964</v>
          </cell>
          <cell r="J168">
            <v>-5.4400999999999975</v>
          </cell>
          <cell r="K168">
            <v>2.0032900000000033</v>
          </cell>
          <cell r="L168">
            <v>1.970329999999997</v>
          </cell>
          <cell r="M168">
            <v>1.38673</v>
          </cell>
        </row>
        <row r="169">
          <cell r="A169" t="str">
            <v>Telepara31138130</v>
          </cell>
          <cell r="B169">
            <v>471.00542999999999</v>
          </cell>
          <cell r="C169">
            <v>443.66124000000008</v>
          </cell>
          <cell r="D169">
            <v>689.83246999999983</v>
          </cell>
          <cell r="E169">
            <v>523.70192999999972</v>
          </cell>
          <cell r="F169">
            <v>482.93218000000024</v>
          </cell>
          <cell r="G169">
            <v>584.17108000000007</v>
          </cell>
          <cell r="H169">
            <v>606.28881999999976</v>
          </cell>
          <cell r="I169">
            <v>609.28876000000037</v>
          </cell>
          <cell r="J169">
            <v>109.17605999999978</v>
          </cell>
          <cell r="K169">
            <v>251.32004999999936</v>
          </cell>
          <cell r="L169">
            <v>178.25449000000026</v>
          </cell>
          <cell r="M169">
            <v>169.65523000000121</v>
          </cell>
        </row>
        <row r="170">
          <cell r="A170" t="str">
            <v>Telepara31138133</v>
          </cell>
          <cell r="B170">
            <v>471.00542999999999</v>
          </cell>
          <cell r="C170">
            <v>443.66124000000008</v>
          </cell>
          <cell r="D170">
            <v>689.83246999999983</v>
          </cell>
          <cell r="E170">
            <v>523.70192999999972</v>
          </cell>
          <cell r="F170">
            <v>482.93218000000024</v>
          </cell>
          <cell r="G170">
            <v>584.17108000000007</v>
          </cell>
          <cell r="H170">
            <v>606.28881999999976</v>
          </cell>
          <cell r="I170">
            <v>609.28876000000037</v>
          </cell>
          <cell r="J170">
            <v>109.17605999999978</v>
          </cell>
          <cell r="K170">
            <v>251.32004999999936</v>
          </cell>
          <cell r="L170">
            <v>178.25449000000026</v>
          </cell>
          <cell r="M170">
            <v>169.65523000000121</v>
          </cell>
        </row>
        <row r="171">
          <cell r="A171" t="str">
            <v>Telepara31138300</v>
          </cell>
          <cell r="B171">
            <v>873.10731999999996</v>
          </cell>
          <cell r="C171">
            <v>761.80455000000018</v>
          </cell>
          <cell r="D171">
            <v>761.80454999999961</v>
          </cell>
          <cell r="E171">
            <v>917.47092000000021</v>
          </cell>
          <cell r="F171">
            <v>826.36608999999999</v>
          </cell>
          <cell r="G171">
            <v>956.4992400000001</v>
          </cell>
          <cell r="H171">
            <v>1071.0134800000005</v>
          </cell>
          <cell r="I171">
            <v>1056.056779999999</v>
          </cell>
          <cell r="J171">
            <v>1124.8479100000004</v>
          </cell>
          <cell r="K171">
            <v>524.45887000000039</v>
          </cell>
          <cell r="L171">
            <v>1607.6453500000007</v>
          </cell>
          <cell r="M171">
            <v>959.33302999999796</v>
          </cell>
        </row>
        <row r="172">
          <cell r="A172" t="str">
            <v>Telepara31138310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808.05994999999996</v>
          </cell>
          <cell r="K172">
            <v>-805.38506999999993</v>
          </cell>
          <cell r="L172">
            <v>2.8593400000000004</v>
          </cell>
          <cell r="M172">
            <v>-2.4389600000000002</v>
          </cell>
        </row>
        <row r="173">
          <cell r="A173" t="str">
            <v>Telepara31138312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797.9270600000001</v>
          </cell>
          <cell r="K173">
            <v>-797.9270600000001</v>
          </cell>
          <cell r="L173">
            <v>0</v>
          </cell>
          <cell r="M173">
            <v>0</v>
          </cell>
        </row>
        <row r="174">
          <cell r="A174" t="str">
            <v>Telepara31138313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10.13289</v>
          </cell>
          <cell r="K174">
            <v>-7.4580099999999998</v>
          </cell>
          <cell r="L174">
            <v>2.8593400000000004</v>
          </cell>
          <cell r="M174">
            <v>-2.4389600000000002</v>
          </cell>
        </row>
        <row r="175">
          <cell r="A175" t="str">
            <v>Telepara31138320</v>
          </cell>
          <cell r="B175">
            <v>649.63658999999996</v>
          </cell>
          <cell r="C175">
            <v>587.65974000000017</v>
          </cell>
          <cell r="D175">
            <v>587.65973999999983</v>
          </cell>
          <cell r="E175">
            <v>705.57845999999995</v>
          </cell>
          <cell r="F175">
            <v>634.98439000000008</v>
          </cell>
          <cell r="G175">
            <v>728.10424000000012</v>
          </cell>
          <cell r="H175">
            <v>739.51366000000053</v>
          </cell>
          <cell r="I175">
            <v>720.55695999999989</v>
          </cell>
          <cell r="J175">
            <v>202.52575999999954</v>
          </cell>
          <cell r="K175">
            <v>1268.3446900000008</v>
          </cell>
          <cell r="L175">
            <v>1652.7554800000007</v>
          </cell>
          <cell r="M175">
            <v>888.43334999999934</v>
          </cell>
        </row>
        <row r="176">
          <cell r="A176" t="str">
            <v>Telepara31138322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330.11601000000002</v>
          </cell>
          <cell r="K176">
            <v>-330.11601000000002</v>
          </cell>
          <cell r="L176">
            <v>0</v>
          </cell>
          <cell r="M176">
            <v>0</v>
          </cell>
        </row>
        <row r="177">
          <cell r="A177" t="str">
            <v>Telepara31138323</v>
          </cell>
          <cell r="B177">
            <v>649.63658999999996</v>
          </cell>
          <cell r="C177">
            <v>587.65974000000017</v>
          </cell>
          <cell r="D177">
            <v>587.65973999999983</v>
          </cell>
          <cell r="E177">
            <v>705.57845999999995</v>
          </cell>
          <cell r="F177">
            <v>634.98439000000008</v>
          </cell>
          <cell r="G177">
            <v>728.10424000000012</v>
          </cell>
          <cell r="H177">
            <v>739.51366000000053</v>
          </cell>
          <cell r="I177">
            <v>720.55695999999989</v>
          </cell>
          <cell r="J177">
            <v>-127.5902500000002</v>
          </cell>
          <cell r="K177">
            <v>1598.4607000000005</v>
          </cell>
          <cell r="L177">
            <v>1652.7554800000007</v>
          </cell>
          <cell r="M177">
            <v>888.43334999999934</v>
          </cell>
        </row>
        <row r="178">
          <cell r="A178" t="str">
            <v>Telepara31138330</v>
          </cell>
          <cell r="B178">
            <v>223.47073</v>
          </cell>
          <cell r="C178">
            <v>174.14480999999995</v>
          </cell>
          <cell r="D178">
            <v>174.14481000000006</v>
          </cell>
          <cell r="E178">
            <v>211.89246000000003</v>
          </cell>
          <cell r="F178">
            <v>191.38169999999991</v>
          </cell>
          <cell r="G178">
            <v>228.39500000000001</v>
          </cell>
          <cell r="H178">
            <v>331.49982000000023</v>
          </cell>
          <cell r="I178">
            <v>335.49981999999977</v>
          </cell>
          <cell r="J178">
            <v>-162.36193000000003</v>
          </cell>
          <cell r="K178">
            <v>337.27539000000024</v>
          </cell>
          <cell r="L178">
            <v>-48.875960000000305</v>
          </cell>
          <cell r="M178">
            <v>74.111840000000029</v>
          </cell>
        </row>
        <row r="179">
          <cell r="A179" t="str">
            <v>Telepara31138333</v>
          </cell>
          <cell r="B179">
            <v>223.47073</v>
          </cell>
          <cell r="C179">
            <v>174.14480999999995</v>
          </cell>
          <cell r="D179">
            <v>174.14481000000006</v>
          </cell>
          <cell r="E179">
            <v>211.89246000000003</v>
          </cell>
          <cell r="F179">
            <v>191.38169999999991</v>
          </cell>
          <cell r="G179">
            <v>228.39500000000001</v>
          </cell>
          <cell r="H179">
            <v>331.49982000000023</v>
          </cell>
          <cell r="I179">
            <v>335.49981999999977</v>
          </cell>
          <cell r="J179">
            <v>-162.36193000000003</v>
          </cell>
          <cell r="K179">
            <v>337.27539000000024</v>
          </cell>
          <cell r="L179">
            <v>-48.875960000000305</v>
          </cell>
          <cell r="M179">
            <v>74.111840000000029</v>
          </cell>
        </row>
        <row r="180">
          <cell r="A180" t="str">
            <v>Telepara31138340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276.62412999999998</v>
          </cell>
          <cell r="K180">
            <v>-275.77614</v>
          </cell>
          <cell r="L180">
            <v>0.90649000000000002</v>
          </cell>
          <cell r="M180">
            <v>-0.77320000000000011</v>
          </cell>
        </row>
        <row r="181">
          <cell r="A181" t="str">
            <v>Telepara31138342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273.41176000000002</v>
          </cell>
          <cell r="K181">
            <v>-273.41176000000002</v>
          </cell>
          <cell r="L181">
            <v>0</v>
          </cell>
          <cell r="M181">
            <v>0</v>
          </cell>
        </row>
        <row r="182">
          <cell r="A182" t="str">
            <v>Telepara31138343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3.2123699999999999</v>
          </cell>
          <cell r="K182">
            <v>-2.3643799999999997</v>
          </cell>
          <cell r="L182">
            <v>0.90649000000000002</v>
          </cell>
          <cell r="M182">
            <v>-0.77320000000000011</v>
          </cell>
        </row>
        <row r="183">
          <cell r="A183" t="str">
            <v>Telepara31144300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1100.0313200000001</v>
          </cell>
          <cell r="M183">
            <v>70.326440000000048</v>
          </cell>
        </row>
        <row r="184">
          <cell r="A184" t="str">
            <v>Telepara41111320</v>
          </cell>
          <cell r="B184">
            <v>2969.9866099999999</v>
          </cell>
          <cell r="C184">
            <v>2494.18667</v>
          </cell>
          <cell r="D184">
            <v>2818.95921</v>
          </cell>
          <cell r="E184">
            <v>2918.6605099999997</v>
          </cell>
          <cell r="F184">
            <v>2589.7680799999998</v>
          </cell>
          <cell r="G184">
            <v>3057.2183499999992</v>
          </cell>
          <cell r="H184">
            <v>2774.4786800000002</v>
          </cell>
          <cell r="I184">
            <v>2492.2736000000004</v>
          </cell>
          <cell r="J184">
            <v>4167.9975000000013</v>
          </cell>
          <cell r="K184">
            <v>2476.0928200000017</v>
          </cell>
          <cell r="L184">
            <v>2256.9913899999992</v>
          </cell>
          <cell r="M184">
            <v>2190.2088000000003</v>
          </cell>
        </row>
        <row r="185">
          <cell r="A185" t="str">
            <v>Telepara41111330</v>
          </cell>
          <cell r="B185">
            <v>-1.74E-3</v>
          </cell>
          <cell r="C185">
            <v>0</v>
          </cell>
          <cell r="D185">
            <v>131.10375999999999</v>
          </cell>
          <cell r="E185">
            <v>189.07990999999998</v>
          </cell>
          <cell r="F185">
            <v>104.34698000000003</v>
          </cell>
          <cell r="G185">
            <v>106.56948</v>
          </cell>
          <cell r="H185">
            <v>679.37148000000013</v>
          </cell>
          <cell r="I185">
            <v>1492.2145499999999</v>
          </cell>
          <cell r="J185">
            <v>2290.5415099999996</v>
          </cell>
          <cell r="K185">
            <v>1023.1822200000006</v>
          </cell>
          <cell r="L185">
            <v>1291.5622399999993</v>
          </cell>
          <cell r="M185">
            <v>1374.0863200000013</v>
          </cell>
        </row>
        <row r="186">
          <cell r="A186" t="str">
            <v>Telepara41111334</v>
          </cell>
          <cell r="B186">
            <v>0</v>
          </cell>
          <cell r="C186">
            <v>0</v>
          </cell>
          <cell r="D186">
            <v>131.10736</v>
          </cell>
          <cell r="E186">
            <v>189.07456999999997</v>
          </cell>
          <cell r="F186">
            <v>104.36221000000006</v>
          </cell>
          <cell r="G186">
            <v>106.57468999999998</v>
          </cell>
          <cell r="H186">
            <v>2.3204500000000507</v>
          </cell>
          <cell r="I186">
            <v>213.82422999999994</v>
          </cell>
          <cell r="J186">
            <v>145.85325</v>
          </cell>
          <cell r="K186">
            <v>80.431910000000016</v>
          </cell>
          <cell r="L186">
            <v>105.3042999999999</v>
          </cell>
          <cell r="M186">
            <v>129.06671000000006</v>
          </cell>
        </row>
        <row r="187">
          <cell r="A187" t="str">
            <v>Telepisa31138100</v>
          </cell>
          <cell r="B187">
            <v>665.54535999999996</v>
          </cell>
          <cell r="C187">
            <v>556.33695</v>
          </cell>
          <cell r="D187">
            <v>444.20136000000002</v>
          </cell>
          <cell r="E187">
            <v>1262.0036700000001</v>
          </cell>
          <cell r="F187">
            <v>595.57682999999997</v>
          </cell>
          <cell r="G187">
            <v>861.21612999999979</v>
          </cell>
          <cell r="H187">
            <v>630.10664000000088</v>
          </cell>
          <cell r="I187">
            <v>1229.436349999999</v>
          </cell>
          <cell r="J187">
            <v>939.16640000000098</v>
          </cell>
          <cell r="K187">
            <v>1051.2347099999988</v>
          </cell>
          <cell r="L187">
            <v>1102.1029500000004</v>
          </cell>
          <cell r="M187">
            <v>1410.4344899999996</v>
          </cell>
        </row>
        <row r="188">
          <cell r="A188" t="str">
            <v>Telepisa31138110</v>
          </cell>
          <cell r="B188">
            <v>665.54535999999996</v>
          </cell>
          <cell r="C188">
            <v>530.34243000000004</v>
          </cell>
          <cell r="D188">
            <v>416.70904000000019</v>
          </cell>
          <cell r="E188">
            <v>1230.9168299999999</v>
          </cell>
          <cell r="F188">
            <v>556.78721999999971</v>
          </cell>
          <cell r="G188">
            <v>846.91198000000077</v>
          </cell>
          <cell r="H188">
            <v>507.92101999999977</v>
          </cell>
          <cell r="I188">
            <v>1195.9073799999996</v>
          </cell>
          <cell r="J188">
            <v>925.95640000000003</v>
          </cell>
          <cell r="K188">
            <v>1006.9625</v>
          </cell>
          <cell r="L188">
            <v>913.67348999999922</v>
          </cell>
          <cell r="M188">
            <v>1319.7949900000003</v>
          </cell>
        </row>
        <row r="189">
          <cell r="A189" t="str">
            <v>Telepisa31138113</v>
          </cell>
          <cell r="B189">
            <v>665.54535999999996</v>
          </cell>
          <cell r="C189">
            <v>530.34243000000004</v>
          </cell>
          <cell r="D189">
            <v>416.70904000000019</v>
          </cell>
          <cell r="E189">
            <v>1230.9168299999999</v>
          </cell>
          <cell r="F189">
            <v>556.78721999999971</v>
          </cell>
          <cell r="G189">
            <v>846.91198000000077</v>
          </cell>
          <cell r="H189">
            <v>507.92101999999977</v>
          </cell>
          <cell r="I189">
            <v>1195.9073799999996</v>
          </cell>
          <cell r="J189">
            <v>925.95640000000003</v>
          </cell>
          <cell r="K189">
            <v>1006.9625</v>
          </cell>
          <cell r="L189">
            <v>913.67348999999922</v>
          </cell>
          <cell r="M189">
            <v>1319.7949900000003</v>
          </cell>
        </row>
        <row r="190">
          <cell r="A190" t="str">
            <v>Telepisa31138120</v>
          </cell>
          <cell r="B190">
            <v>0</v>
          </cell>
          <cell r="C190">
            <v>1.9063399999999999</v>
          </cell>
          <cell r="D190">
            <v>0.86165999999999987</v>
          </cell>
          <cell r="E190">
            <v>2.0750400000000004</v>
          </cell>
          <cell r="F190">
            <v>2.1954199999999995</v>
          </cell>
          <cell r="G190">
            <v>1.6192900000000003</v>
          </cell>
          <cell r="H190">
            <v>2.22316</v>
          </cell>
          <cell r="I190">
            <v>2.5282100000000014</v>
          </cell>
          <cell r="J190">
            <v>0</v>
          </cell>
          <cell r="K190">
            <v>20.341290000000001</v>
          </cell>
          <cell r="L190">
            <v>-3.6611300000000035</v>
          </cell>
          <cell r="M190">
            <v>10.607029999999998</v>
          </cell>
        </row>
        <row r="191">
          <cell r="A191" t="str">
            <v>Telepisa31138123</v>
          </cell>
          <cell r="B191">
            <v>0</v>
          </cell>
          <cell r="C191">
            <v>1.9063399999999999</v>
          </cell>
          <cell r="D191">
            <v>0.86165999999999987</v>
          </cell>
          <cell r="E191">
            <v>2.0750400000000004</v>
          </cell>
          <cell r="F191">
            <v>2.1954199999999995</v>
          </cell>
          <cell r="G191">
            <v>1.6192900000000003</v>
          </cell>
          <cell r="H191">
            <v>2.22316</v>
          </cell>
          <cell r="I191">
            <v>2.5282100000000014</v>
          </cell>
          <cell r="J191">
            <v>0</v>
          </cell>
          <cell r="K191">
            <v>20.341290000000001</v>
          </cell>
          <cell r="L191">
            <v>-3.6611300000000035</v>
          </cell>
          <cell r="M191">
            <v>10.607029999999998</v>
          </cell>
        </row>
        <row r="192">
          <cell r="A192" t="str">
            <v>Telepisa31138130</v>
          </cell>
          <cell r="B192">
            <v>0</v>
          </cell>
          <cell r="C192">
            <v>24.088180000000001</v>
          </cell>
          <cell r="D192">
            <v>26.630659999999992</v>
          </cell>
          <cell r="E192">
            <v>29.011800000000001</v>
          </cell>
          <cell r="F192">
            <v>36.594190000000012</v>
          </cell>
          <cell r="G192">
            <v>12.68486</v>
          </cell>
          <cell r="H192">
            <v>119.96245999999999</v>
          </cell>
          <cell r="I192">
            <v>31.000759999999957</v>
          </cell>
          <cell r="J192">
            <v>13.21</v>
          </cell>
          <cell r="K192">
            <v>23.930920000000015</v>
          </cell>
          <cell r="L192">
            <v>192.09058999999996</v>
          </cell>
          <cell r="M192">
            <v>80.032470000000046</v>
          </cell>
        </row>
        <row r="193">
          <cell r="A193" t="str">
            <v>Telepisa31138133</v>
          </cell>
          <cell r="B193">
            <v>0</v>
          </cell>
          <cell r="C193">
            <v>24.088180000000001</v>
          </cell>
          <cell r="D193">
            <v>26.630659999999992</v>
          </cell>
          <cell r="E193">
            <v>29.011800000000001</v>
          </cell>
          <cell r="F193">
            <v>36.594190000000012</v>
          </cell>
          <cell r="G193">
            <v>12.68486</v>
          </cell>
          <cell r="H193">
            <v>119.96245999999999</v>
          </cell>
          <cell r="I193">
            <v>31.000759999999957</v>
          </cell>
          <cell r="J193">
            <v>13.21</v>
          </cell>
          <cell r="K193">
            <v>23.930920000000015</v>
          </cell>
          <cell r="L193">
            <v>192.09058999999996</v>
          </cell>
          <cell r="M193">
            <v>80.032470000000046</v>
          </cell>
        </row>
        <row r="194">
          <cell r="A194" t="str">
            <v>Telepisa31138300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1266.8173999999999</v>
          </cell>
          <cell r="K194">
            <v>-531.98460999999986</v>
          </cell>
          <cell r="L194">
            <v>5.1000000000000227</v>
          </cell>
          <cell r="M194">
            <v>347.07883000000015</v>
          </cell>
        </row>
        <row r="195">
          <cell r="A195" t="str">
            <v>Telepisa31138310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434.07514000000003</v>
          </cell>
          <cell r="K195">
            <v>-431.15805000000006</v>
          </cell>
          <cell r="L195">
            <v>0</v>
          </cell>
          <cell r="M195">
            <v>0</v>
          </cell>
        </row>
        <row r="196">
          <cell r="A196" t="str">
            <v>Telepisa31138313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434.07514000000003</v>
          </cell>
          <cell r="K196">
            <v>-431.15805000000006</v>
          </cell>
          <cell r="L196">
            <v>0</v>
          </cell>
          <cell r="M196">
            <v>0</v>
          </cell>
        </row>
        <row r="197">
          <cell r="A197" t="str">
            <v>Telepisa31138320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676.2183</v>
          </cell>
          <cell r="K197">
            <v>39.048729999999978</v>
          </cell>
          <cell r="L197">
            <v>0</v>
          </cell>
          <cell r="M197">
            <v>332.99480999999992</v>
          </cell>
        </row>
        <row r="198">
          <cell r="A198" t="str">
            <v>Telepisa31138323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676.2183</v>
          </cell>
          <cell r="K198">
            <v>39.048729999999978</v>
          </cell>
          <cell r="L198">
            <v>0</v>
          </cell>
          <cell r="M198">
            <v>332.99480999999992</v>
          </cell>
        </row>
        <row r="199">
          <cell r="A199" t="str">
            <v>Telepisa31138330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7.3883199999999993</v>
          </cell>
          <cell r="K199">
            <v>0.27556000000000047</v>
          </cell>
          <cell r="L199">
            <v>5.0999999999999996</v>
          </cell>
          <cell r="M199">
            <v>14.084020000000004</v>
          </cell>
        </row>
        <row r="200">
          <cell r="A200" t="str">
            <v>Telepisa31138333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7.3883199999999993</v>
          </cell>
          <cell r="K200">
            <v>0.27556000000000047</v>
          </cell>
          <cell r="L200">
            <v>5.0999999999999996</v>
          </cell>
          <cell r="M200">
            <v>14.084020000000004</v>
          </cell>
        </row>
        <row r="201">
          <cell r="A201" t="str">
            <v>Telepisa31138340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149.13564000000002</v>
          </cell>
          <cell r="K201">
            <v>-140.15085000000002</v>
          </cell>
          <cell r="L201">
            <v>0</v>
          </cell>
          <cell r="M201">
            <v>0</v>
          </cell>
        </row>
        <row r="202">
          <cell r="A202" t="str">
            <v>Telepisa31138343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149.13564000000002</v>
          </cell>
          <cell r="K202">
            <v>-140.15085000000002</v>
          </cell>
          <cell r="L202">
            <v>0</v>
          </cell>
          <cell r="M202">
            <v>0</v>
          </cell>
        </row>
        <row r="203">
          <cell r="A203" t="str">
            <v>Telepisa31144300</v>
          </cell>
          <cell r="B203">
            <v>242.43836999999999</v>
          </cell>
          <cell r="C203">
            <v>238.6464</v>
          </cell>
          <cell r="D203">
            <v>238.64640000000003</v>
          </cell>
          <cell r="E203">
            <v>241.84019999999998</v>
          </cell>
          <cell r="F203">
            <v>239.19391000000007</v>
          </cell>
          <cell r="G203">
            <v>239.19390999999996</v>
          </cell>
          <cell r="H203">
            <v>242.69488000000001</v>
          </cell>
          <cell r="I203">
            <v>242.84599000000003</v>
          </cell>
          <cell r="J203">
            <v>244.15364000000022</v>
          </cell>
          <cell r="K203">
            <v>231.11616999999978</v>
          </cell>
          <cell r="L203">
            <v>243.10822999999982</v>
          </cell>
          <cell r="M203">
            <v>239.67810999999983</v>
          </cell>
        </row>
        <row r="204">
          <cell r="A204" t="str">
            <v>Telepisa41111320</v>
          </cell>
          <cell r="B204">
            <v>292.64888999999999</v>
          </cell>
          <cell r="C204">
            <v>84.01389000000006</v>
          </cell>
          <cell r="D204">
            <v>2429.2405199999998</v>
          </cell>
          <cell r="E204">
            <v>862.4961900000003</v>
          </cell>
          <cell r="F204">
            <v>1288.5181299999999</v>
          </cell>
          <cell r="G204">
            <v>1283.0160299999998</v>
          </cell>
          <cell r="H204">
            <v>1652.4923500000004</v>
          </cell>
          <cell r="I204">
            <v>593.27227999999832</v>
          </cell>
          <cell r="J204">
            <v>1266.9827400000013</v>
          </cell>
          <cell r="K204">
            <v>905.38803999999982</v>
          </cell>
          <cell r="L204">
            <v>697.33686999999918</v>
          </cell>
          <cell r="M204">
            <v>827.96241000000009</v>
          </cell>
        </row>
        <row r="205">
          <cell r="A205" t="str">
            <v>Telepisa41111323</v>
          </cell>
          <cell r="B205">
            <v>0</v>
          </cell>
          <cell r="C205">
            <v>2.8900000000000002E-3</v>
          </cell>
          <cell r="D205">
            <v>3.6089999999999997E-2</v>
          </cell>
          <cell r="E205">
            <v>0.67884</v>
          </cell>
          <cell r="F205">
            <v>1.0192199999999998</v>
          </cell>
          <cell r="G205">
            <v>0.51461000000000023</v>
          </cell>
          <cell r="H205">
            <v>0.20314999999999994</v>
          </cell>
          <cell r="I205">
            <v>4.4419999999999682E-2</v>
          </cell>
          <cell r="J205">
            <v>0.11061000000000032</v>
          </cell>
          <cell r="K205">
            <v>0.14484999999999992</v>
          </cell>
          <cell r="L205">
            <v>7.3780000000000179E-2</v>
          </cell>
          <cell r="M205">
            <v>0</v>
          </cell>
        </row>
        <row r="206">
          <cell r="A206" t="str">
            <v>Telepisa41111324</v>
          </cell>
          <cell r="B206">
            <v>0</v>
          </cell>
          <cell r="C206">
            <v>0</v>
          </cell>
          <cell r="D206">
            <v>14.675469999999999</v>
          </cell>
          <cell r="E206">
            <v>0.61560000000000059</v>
          </cell>
          <cell r="F206">
            <v>10.302490000000001</v>
          </cell>
          <cell r="G206">
            <v>5.9267899999999969</v>
          </cell>
          <cell r="H206">
            <v>7.8314100000000018</v>
          </cell>
          <cell r="I206">
            <v>7.478270000000002</v>
          </cell>
          <cell r="J206">
            <v>8.6471799999999988</v>
          </cell>
          <cell r="K206">
            <v>8.0464899999999986</v>
          </cell>
          <cell r="L206">
            <v>7.2334099999999992</v>
          </cell>
          <cell r="M206">
            <v>8.9309499999999957</v>
          </cell>
        </row>
        <row r="207">
          <cell r="A207" t="str">
            <v>Telepisa41111325</v>
          </cell>
          <cell r="B207">
            <v>0</v>
          </cell>
          <cell r="C207">
            <v>0</v>
          </cell>
          <cell r="D207">
            <v>3.7628499999999998</v>
          </cell>
          <cell r="E207">
            <v>0.98144000000000053</v>
          </cell>
          <cell r="F207">
            <v>1.5948399999999996</v>
          </cell>
          <cell r="G207">
            <v>0.98144000000000009</v>
          </cell>
          <cell r="H207">
            <v>0.98144000000000098</v>
          </cell>
          <cell r="I207">
            <v>0.9814399999999992</v>
          </cell>
          <cell r="J207">
            <v>0.85875999999999841</v>
          </cell>
          <cell r="K207">
            <v>0.85876000000000019</v>
          </cell>
          <cell r="L207">
            <v>0.85876000000000019</v>
          </cell>
          <cell r="M207">
            <v>0.73608000000000118</v>
          </cell>
        </row>
        <row r="208">
          <cell r="A208" t="str">
            <v>Telepisa41111330</v>
          </cell>
          <cell r="B208">
            <v>1016.75878</v>
          </cell>
          <cell r="C208">
            <v>947.21611999999993</v>
          </cell>
          <cell r="D208">
            <v>-1963.9748999999999</v>
          </cell>
          <cell r="E208">
            <v>0</v>
          </cell>
          <cell r="F208">
            <v>0</v>
          </cell>
          <cell r="G208">
            <v>0</v>
          </cell>
          <cell r="H208">
            <v>145.34994</v>
          </cell>
          <cell r="I208">
            <v>802.10162000000014</v>
          </cell>
          <cell r="J208">
            <v>551.3236599999999</v>
          </cell>
          <cell r="K208">
            <v>460.63592999999992</v>
          </cell>
          <cell r="L208">
            <v>438.82364000000007</v>
          </cell>
          <cell r="M208">
            <v>444.52437000000009</v>
          </cell>
        </row>
        <row r="209">
          <cell r="A209" t="str">
            <v>Telepisa41111333</v>
          </cell>
          <cell r="B209">
            <v>1010.82554</v>
          </cell>
          <cell r="C209">
            <v>938.37618999999995</v>
          </cell>
          <cell r="D209">
            <v>-1949.20173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A210" t="str">
            <v>Telepisa41111334</v>
          </cell>
          <cell r="B210">
            <v>5.9332399999999996</v>
          </cell>
          <cell r="C210">
            <v>5.4451200000000011</v>
          </cell>
          <cell r="D210">
            <v>-11.378360000000001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A211" t="str">
            <v>Telepisa41111335</v>
          </cell>
          <cell r="B211">
            <v>0</v>
          </cell>
          <cell r="C211">
            <v>3.3948100000000001</v>
          </cell>
          <cell r="D211">
            <v>-3.3948100000000001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A212" t="str">
            <v>Telergipe31138100</v>
          </cell>
          <cell r="B212">
            <v>1233.6183500000002</v>
          </cell>
          <cell r="C212">
            <v>965.53098</v>
          </cell>
          <cell r="D212">
            <v>1104.26431</v>
          </cell>
          <cell r="E212">
            <v>2077.6558799999989</v>
          </cell>
          <cell r="F212">
            <v>1119.3542300000008</v>
          </cell>
          <cell r="G212">
            <v>1311.3635700000004</v>
          </cell>
          <cell r="H212">
            <v>1278.2752699999992</v>
          </cell>
          <cell r="I212">
            <v>800.93205000000125</v>
          </cell>
          <cell r="J212">
            <v>703.0064599999987</v>
          </cell>
          <cell r="K212">
            <v>1161.0256600000012</v>
          </cell>
          <cell r="L212">
            <v>872.42740999999842</v>
          </cell>
          <cell r="M212">
            <v>1542.5599500000008</v>
          </cell>
        </row>
        <row r="213">
          <cell r="A213" t="str">
            <v>Telergipe31138110</v>
          </cell>
          <cell r="B213">
            <v>1233.6183500000002</v>
          </cell>
          <cell r="C213">
            <v>965.53098</v>
          </cell>
          <cell r="D213">
            <v>1104.26431</v>
          </cell>
          <cell r="E213">
            <v>2077.6558799999989</v>
          </cell>
          <cell r="F213">
            <v>1119.3542300000008</v>
          </cell>
          <cell r="G213">
            <v>935.91607000000022</v>
          </cell>
          <cell r="H213">
            <v>1337.2750800000003</v>
          </cell>
          <cell r="I213">
            <v>732.92263999999886</v>
          </cell>
          <cell r="J213">
            <v>491.72359000000142</v>
          </cell>
          <cell r="K213">
            <v>990.69898999999896</v>
          </cell>
          <cell r="L213">
            <v>939.32977000000028</v>
          </cell>
          <cell r="M213">
            <v>1539.44499</v>
          </cell>
        </row>
        <row r="214">
          <cell r="A214" t="str">
            <v>Telergipe31138113</v>
          </cell>
          <cell r="B214">
            <v>1233.6183500000002</v>
          </cell>
          <cell r="C214">
            <v>965.53098</v>
          </cell>
          <cell r="D214">
            <v>1104.26431</v>
          </cell>
          <cell r="E214">
            <v>2077.6558799999989</v>
          </cell>
          <cell r="F214">
            <v>1119.3542300000008</v>
          </cell>
          <cell r="G214">
            <v>935.91607000000022</v>
          </cell>
          <cell r="H214">
            <v>1337.2750800000003</v>
          </cell>
          <cell r="I214">
            <v>732.92263999999886</v>
          </cell>
          <cell r="J214">
            <v>491.72359000000142</v>
          </cell>
          <cell r="K214">
            <v>990.69898999999896</v>
          </cell>
          <cell r="L214">
            <v>939.32977000000028</v>
          </cell>
          <cell r="M214">
            <v>1539.44499</v>
          </cell>
        </row>
        <row r="215">
          <cell r="A215" t="str">
            <v>Telergipe31138130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375.44749999999999</v>
          </cell>
          <cell r="H215">
            <v>-58.999809999999968</v>
          </cell>
          <cell r="I215">
            <v>68.009409999999946</v>
          </cell>
          <cell r="J215">
            <v>211.28287</v>
          </cell>
          <cell r="K215">
            <v>170.32667000000004</v>
          </cell>
          <cell r="L215">
            <v>-66.902359999999931</v>
          </cell>
          <cell r="M215">
            <v>3.1149599999998827</v>
          </cell>
        </row>
        <row r="216">
          <cell r="A216" t="str">
            <v>Telergipe31138133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375.44749999999999</v>
          </cell>
          <cell r="H216">
            <v>-58.999809999999968</v>
          </cell>
          <cell r="I216">
            <v>68.009409999999946</v>
          </cell>
          <cell r="J216">
            <v>211.28287</v>
          </cell>
          <cell r="K216">
            <v>170.32667000000004</v>
          </cell>
          <cell r="L216">
            <v>-66.902359999999931</v>
          </cell>
          <cell r="M216">
            <v>3.1149599999998827</v>
          </cell>
        </row>
        <row r="217">
          <cell r="A217" t="str">
            <v>Telergipe31138300</v>
          </cell>
          <cell r="B217">
            <v>100.41748</v>
          </cell>
          <cell r="C217">
            <v>105.49276999999999</v>
          </cell>
          <cell r="D217">
            <v>109.92146000000005</v>
          </cell>
          <cell r="E217">
            <v>101.51665999999994</v>
          </cell>
          <cell r="F217">
            <v>102</v>
          </cell>
          <cell r="G217">
            <v>103.66747999999995</v>
          </cell>
          <cell r="H217">
            <v>95.482079999999996</v>
          </cell>
          <cell r="I217">
            <v>0</v>
          </cell>
          <cell r="J217">
            <v>403.25612000000001</v>
          </cell>
          <cell r="K217">
            <v>57.545800000000099</v>
          </cell>
          <cell r="L217">
            <v>57.545799999999872</v>
          </cell>
          <cell r="M217">
            <v>18.818539999999985</v>
          </cell>
        </row>
        <row r="218">
          <cell r="A218" t="str">
            <v>Telergipe31138310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186.5917</v>
          </cell>
          <cell r="K218">
            <v>0</v>
          </cell>
          <cell r="L218">
            <v>0</v>
          </cell>
          <cell r="M218">
            <v>0</v>
          </cell>
        </row>
        <row r="219">
          <cell r="A219" t="str">
            <v>Telergipe31138312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186.5917</v>
          </cell>
          <cell r="K219">
            <v>0</v>
          </cell>
          <cell r="L219">
            <v>0</v>
          </cell>
          <cell r="M219">
            <v>0</v>
          </cell>
        </row>
        <row r="220">
          <cell r="A220" t="str">
            <v>Telergipe31138320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82.022739999999999</v>
          </cell>
          <cell r="K220">
            <v>0</v>
          </cell>
          <cell r="L220">
            <v>0</v>
          </cell>
          <cell r="M220">
            <v>0</v>
          </cell>
        </row>
        <row r="221">
          <cell r="A221" t="str">
            <v>Telergipe31138322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82.022739999999999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Telergipe31138330</v>
          </cell>
          <cell r="B222">
            <v>100.41748</v>
          </cell>
          <cell r="C222">
            <v>105.49276999999999</v>
          </cell>
          <cell r="D222">
            <v>109.92146000000005</v>
          </cell>
          <cell r="E222">
            <v>101.51665999999994</v>
          </cell>
          <cell r="F222">
            <v>102</v>
          </cell>
          <cell r="G222">
            <v>103.66747999999995</v>
          </cell>
          <cell r="H222">
            <v>95.482079999999996</v>
          </cell>
          <cell r="I222">
            <v>0</v>
          </cell>
          <cell r="J222">
            <v>72.052580000000034</v>
          </cell>
          <cell r="K222">
            <v>57.545799999999986</v>
          </cell>
          <cell r="L222">
            <v>57.545799999999986</v>
          </cell>
          <cell r="M222">
            <v>18.818539999999985</v>
          </cell>
        </row>
        <row r="223">
          <cell r="A223" t="str">
            <v>Telergipe31138333</v>
          </cell>
          <cell r="B223">
            <v>100.41748</v>
          </cell>
          <cell r="C223">
            <v>105.49276999999999</v>
          </cell>
          <cell r="D223">
            <v>109.92146000000005</v>
          </cell>
          <cell r="E223">
            <v>101.51665999999994</v>
          </cell>
          <cell r="F223">
            <v>102</v>
          </cell>
          <cell r="G223">
            <v>103.66747999999995</v>
          </cell>
          <cell r="H223">
            <v>95.482079999999996</v>
          </cell>
          <cell r="I223">
            <v>0</v>
          </cell>
          <cell r="J223">
            <v>72.052580000000034</v>
          </cell>
          <cell r="K223">
            <v>57.545799999999986</v>
          </cell>
          <cell r="L223">
            <v>57.545799999999986</v>
          </cell>
          <cell r="M223">
            <v>18.818539999999985</v>
          </cell>
        </row>
        <row r="224">
          <cell r="A224" t="str">
            <v>Telergipe31138340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62.589100000000002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Telergipe31138342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62.589100000000002</v>
          </cell>
          <cell r="K225">
            <v>0</v>
          </cell>
          <cell r="L225">
            <v>0</v>
          </cell>
          <cell r="M225">
            <v>0</v>
          </cell>
        </row>
        <row r="226">
          <cell r="A226" t="str">
            <v>Telergipe31144300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270.04614000000004</v>
          </cell>
          <cell r="L226">
            <v>208.59405999999996</v>
          </cell>
          <cell r="M226">
            <v>178.40567000000004</v>
          </cell>
        </row>
        <row r="227">
          <cell r="A227" t="str">
            <v>Telergipe41111320</v>
          </cell>
          <cell r="B227">
            <v>579.70193000000006</v>
          </cell>
          <cell r="C227">
            <v>578.35764000000006</v>
          </cell>
          <cell r="D227">
            <v>637.06900999999993</v>
          </cell>
          <cell r="E227">
            <v>575.39096999999992</v>
          </cell>
          <cell r="F227">
            <v>599.20113000000038</v>
          </cell>
          <cell r="G227">
            <v>622.47640999999931</v>
          </cell>
          <cell r="H227">
            <v>622.47641000000021</v>
          </cell>
          <cell r="I227">
            <v>182.99048000000039</v>
          </cell>
          <cell r="J227">
            <v>782.81776999999965</v>
          </cell>
          <cell r="K227">
            <v>577.64998999999989</v>
          </cell>
          <cell r="L227">
            <v>373.9664900000007</v>
          </cell>
          <cell r="M227">
            <v>345.22927999999956</v>
          </cell>
        </row>
        <row r="228">
          <cell r="A228" t="str">
            <v>Telergipe41111324</v>
          </cell>
          <cell r="B228">
            <v>13.87524</v>
          </cell>
          <cell r="C228">
            <v>14.69542</v>
          </cell>
          <cell r="D228">
            <v>14.958960000000001</v>
          </cell>
          <cell r="E228">
            <v>12.988229999999994</v>
          </cell>
          <cell r="F228">
            <v>13.476290000000006</v>
          </cell>
          <cell r="G228">
            <v>30.349379999999996</v>
          </cell>
          <cell r="H228">
            <v>30.349379999999982</v>
          </cell>
          <cell r="I228">
            <v>33.946240000000046</v>
          </cell>
          <cell r="J228">
            <v>11.940289999999976</v>
          </cell>
          <cell r="K228">
            <v>7.7739500000000135</v>
          </cell>
          <cell r="L228">
            <v>-0.17357000000001221</v>
          </cell>
          <cell r="M228">
            <v>8.5521200000000022</v>
          </cell>
        </row>
        <row r="229">
          <cell r="A229" t="str">
            <v>Telergipe41111330</v>
          </cell>
          <cell r="B229">
            <v>1.3876600000000001</v>
          </cell>
          <cell r="C229">
            <v>4.1004499999999995</v>
          </cell>
          <cell r="D229">
            <v>11.763430000000003</v>
          </cell>
          <cell r="E229">
            <v>11.318529999999999</v>
          </cell>
          <cell r="F229">
            <v>11.535760000000003</v>
          </cell>
          <cell r="G229">
            <v>12.115580000000001</v>
          </cell>
          <cell r="H229">
            <v>14.796369999999996</v>
          </cell>
          <cell r="I229">
            <v>943.99636999999996</v>
          </cell>
          <cell r="J229">
            <v>460.66732000000002</v>
          </cell>
          <cell r="K229">
            <v>398.83919999999989</v>
          </cell>
          <cell r="L229">
            <v>292.58107000000018</v>
          </cell>
          <cell r="M229">
            <v>232.92147999999997</v>
          </cell>
        </row>
        <row r="230">
          <cell r="A230" t="str">
            <v>Telergipe41111333</v>
          </cell>
          <cell r="B230">
            <v>8.0409999999999995E-2</v>
          </cell>
          <cell r="C230">
            <v>2.1949999999999997E-2</v>
          </cell>
          <cell r="D230">
            <v>3.5040000000000002E-2</v>
          </cell>
          <cell r="E230">
            <v>8.2500000000000073E-3</v>
          </cell>
          <cell r="F230">
            <v>3.5759999999999986E-2</v>
          </cell>
          <cell r="G230">
            <v>0</v>
          </cell>
          <cell r="H230">
            <v>0</v>
          </cell>
          <cell r="I230">
            <v>-0.15719999999999998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A231" t="str">
            <v>Telerj31138100</v>
          </cell>
          <cell r="B231">
            <v>10231.09281</v>
          </cell>
          <cell r="C231">
            <v>13190.626159999998</v>
          </cell>
          <cell r="D231">
            <v>13849.868840000006</v>
          </cell>
          <cell r="E231">
            <v>12389.615369999992</v>
          </cell>
          <cell r="F231">
            <v>30789.168270000009</v>
          </cell>
          <cell r="G231">
            <v>24193.532849999989</v>
          </cell>
          <cell r="H231">
            <v>22028.069100000008</v>
          </cell>
          <cell r="I231">
            <v>20151.733400000012</v>
          </cell>
          <cell r="J231">
            <v>23768.615899999975</v>
          </cell>
          <cell r="K231">
            <v>22886.14850000001</v>
          </cell>
          <cell r="L231">
            <v>25448.150200000004</v>
          </cell>
          <cell r="M231">
            <v>59526.768999999971</v>
          </cell>
        </row>
        <row r="232">
          <cell r="A232" t="str">
            <v>Telerj31138110</v>
          </cell>
          <cell r="B232">
            <v>10121.606669999999</v>
          </cell>
          <cell r="C232">
            <v>11389.512409999998</v>
          </cell>
          <cell r="D232">
            <v>12775.078270000005</v>
          </cell>
          <cell r="E232">
            <v>11910.118569999999</v>
          </cell>
          <cell r="F232">
            <v>30282.461319999995</v>
          </cell>
          <cell r="G232">
            <v>23885.605559999996</v>
          </cell>
          <cell r="H232">
            <v>21317.852600000013</v>
          </cell>
          <cell r="I232">
            <v>19545.864000000001</v>
          </cell>
          <cell r="J232">
            <v>24368.48569999999</v>
          </cell>
          <cell r="K232">
            <v>22693.8364</v>
          </cell>
          <cell r="L232">
            <v>25316.227899999998</v>
          </cell>
          <cell r="M232">
            <v>59338.921600000001</v>
          </cell>
        </row>
        <row r="233">
          <cell r="A233" t="str">
            <v>Telerj31138111</v>
          </cell>
          <cell r="B233">
            <v>10121.606669999999</v>
          </cell>
          <cell r="C233">
            <v>11389.512409999998</v>
          </cell>
          <cell r="D233">
            <v>-21511.119079999997</v>
          </cell>
          <cell r="E233">
            <v>46196.315920000001</v>
          </cell>
          <cell r="F233">
            <v>30282.461319999995</v>
          </cell>
          <cell r="G233">
            <v>-76478.777239999996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A234" t="str">
            <v>Telerj31138113</v>
          </cell>
          <cell r="B234">
            <v>0</v>
          </cell>
          <cell r="C234">
            <v>0</v>
          </cell>
          <cell r="D234">
            <v>34286.197350000002</v>
          </cell>
          <cell r="E234">
            <v>-34286.197350000002</v>
          </cell>
          <cell r="F234">
            <v>0</v>
          </cell>
          <cell r="G234">
            <v>100364.38279999999</v>
          </cell>
          <cell r="H234">
            <v>21317.852600000013</v>
          </cell>
          <cell r="I234">
            <v>19545.864000000001</v>
          </cell>
          <cell r="J234">
            <v>24368.48569999999</v>
          </cell>
          <cell r="K234">
            <v>22693.8364</v>
          </cell>
          <cell r="L234">
            <v>25316.227899999998</v>
          </cell>
          <cell r="M234">
            <v>59338.921600000001</v>
          </cell>
        </row>
        <row r="235">
          <cell r="A235" t="str">
            <v>Telerj31138120</v>
          </cell>
          <cell r="B235">
            <v>5.1673599999999995</v>
          </cell>
          <cell r="C235">
            <v>1389.06988</v>
          </cell>
          <cell r="D235">
            <v>109.26251000000002</v>
          </cell>
          <cell r="E235">
            <v>50.243719999999939</v>
          </cell>
          <cell r="F235">
            <v>49.016320000000178</v>
          </cell>
          <cell r="G235">
            <v>39.570249999999987</v>
          </cell>
          <cell r="H235">
            <v>76.98415</v>
          </cell>
          <cell r="I235">
            <v>65.214309999999841</v>
          </cell>
          <cell r="J235">
            <v>3.4924499999999625</v>
          </cell>
          <cell r="K235">
            <v>29.744280000000117</v>
          </cell>
          <cell r="L235">
            <v>13.465189999999893</v>
          </cell>
          <cell r="M235">
            <v>28.684469999999919</v>
          </cell>
        </row>
        <row r="236">
          <cell r="A236" t="str">
            <v>Telerj31138121</v>
          </cell>
          <cell r="B236">
            <v>5.1673599999999995</v>
          </cell>
          <cell r="C236">
            <v>1389.06988</v>
          </cell>
          <cell r="D236">
            <v>-1394.2372399999999</v>
          </cell>
          <cell r="E236">
            <v>1553.7434699999999</v>
          </cell>
          <cell r="F236">
            <v>49.016320000000178</v>
          </cell>
          <cell r="G236">
            <v>-1602.7597900000001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A237" t="str">
            <v>Telerj31138123</v>
          </cell>
          <cell r="B237">
            <v>0</v>
          </cell>
          <cell r="C237">
            <v>0</v>
          </cell>
          <cell r="D237">
            <v>1503.4997499999999</v>
          </cell>
          <cell r="E237">
            <v>-1503.4997499999999</v>
          </cell>
          <cell r="F237">
            <v>0</v>
          </cell>
          <cell r="G237">
            <v>1642.3300400000001</v>
          </cell>
          <cell r="H237">
            <v>76.98415</v>
          </cell>
          <cell r="I237">
            <v>65.214309999999841</v>
          </cell>
          <cell r="J237">
            <v>3.4924499999999625</v>
          </cell>
          <cell r="K237">
            <v>29.744280000000117</v>
          </cell>
          <cell r="L237">
            <v>13.465189999999893</v>
          </cell>
          <cell r="M237">
            <v>28.684469999999919</v>
          </cell>
        </row>
        <row r="238">
          <cell r="A238" t="str">
            <v>Telerj31138130</v>
          </cell>
          <cell r="B238">
            <v>104.31878</v>
          </cell>
          <cell r="C238">
            <v>412.04387000000003</v>
          </cell>
          <cell r="D238">
            <v>965.52805999999987</v>
          </cell>
          <cell r="E238">
            <v>429.25308000000018</v>
          </cell>
          <cell r="F238">
            <v>457.69063000000006</v>
          </cell>
          <cell r="G238">
            <v>268.35705000000007</v>
          </cell>
          <cell r="H238">
            <v>633.23238999999967</v>
          </cell>
          <cell r="I238">
            <v>540.65503000000035</v>
          </cell>
          <cell r="J238">
            <v>-603.36227000000008</v>
          </cell>
          <cell r="K238">
            <v>162.56779000000006</v>
          </cell>
          <cell r="L238">
            <v>118.45714999999973</v>
          </cell>
          <cell r="M238">
            <v>159.16300999999976</v>
          </cell>
        </row>
        <row r="239">
          <cell r="A239" t="str">
            <v>Telerj31138133</v>
          </cell>
          <cell r="B239">
            <v>104.31878</v>
          </cell>
          <cell r="C239">
            <v>412.04387000000003</v>
          </cell>
          <cell r="D239">
            <v>965.52805999999987</v>
          </cell>
          <cell r="E239">
            <v>429.25308000000018</v>
          </cell>
          <cell r="F239">
            <v>457.69063000000006</v>
          </cell>
          <cell r="G239">
            <v>268.35705000000007</v>
          </cell>
          <cell r="H239">
            <v>633.23238999999967</v>
          </cell>
          <cell r="I239">
            <v>540.65503000000035</v>
          </cell>
          <cell r="J239">
            <v>-603.36227000000008</v>
          </cell>
          <cell r="K239">
            <v>162.56779000000006</v>
          </cell>
          <cell r="L239">
            <v>118.45714999999973</v>
          </cell>
          <cell r="M239">
            <v>159.16300999999976</v>
          </cell>
        </row>
        <row r="240">
          <cell r="A240" t="str">
            <v>Telerj31138300</v>
          </cell>
          <cell r="B240">
            <v>880.44657999999993</v>
          </cell>
          <cell r="C240">
            <v>743.75579000000027</v>
          </cell>
          <cell r="D240">
            <v>686.70677000000001</v>
          </cell>
          <cell r="E240">
            <v>562.06631000000016</v>
          </cell>
          <cell r="F240">
            <v>718.24385999999959</v>
          </cell>
          <cell r="G240">
            <v>478.09704000000011</v>
          </cell>
          <cell r="H240">
            <v>2638.33608</v>
          </cell>
          <cell r="I240">
            <v>2351.8940000000002</v>
          </cell>
          <cell r="J240">
            <v>5790.6460799999986</v>
          </cell>
          <cell r="K240">
            <v>370.65861000000041</v>
          </cell>
          <cell r="L240">
            <v>-842.27114999999867</v>
          </cell>
          <cell r="M240">
            <v>2159.3918199999989</v>
          </cell>
        </row>
        <row r="241">
          <cell r="A241" t="str">
            <v>Telerj31138310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1707.68318</v>
          </cell>
          <cell r="K241">
            <v>-1168.2473300000001</v>
          </cell>
          <cell r="L241">
            <v>1016.3382</v>
          </cell>
          <cell r="M241">
            <v>-1554.11709</v>
          </cell>
        </row>
        <row r="242">
          <cell r="A242" t="str">
            <v>Telerj31138313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1707.68318</v>
          </cell>
          <cell r="K242">
            <v>-1168.2473300000001</v>
          </cell>
          <cell r="L242">
            <v>1016.3382</v>
          </cell>
          <cell r="M242">
            <v>-1554.11709</v>
          </cell>
        </row>
        <row r="243">
          <cell r="A243" t="str">
            <v>Telerj31138320</v>
          </cell>
          <cell r="B243">
            <v>789.22232999999994</v>
          </cell>
          <cell r="C243">
            <v>665.43716000000006</v>
          </cell>
          <cell r="D243">
            <v>616.92079999999987</v>
          </cell>
          <cell r="E243">
            <v>506.76208000000042</v>
          </cell>
          <cell r="F243">
            <v>644.58558999999968</v>
          </cell>
          <cell r="G243">
            <v>414.32895000000008</v>
          </cell>
          <cell r="H243">
            <v>1884.19175</v>
          </cell>
          <cell r="I243">
            <v>1871.1102099999998</v>
          </cell>
          <cell r="J243">
            <v>3767.7237700000014</v>
          </cell>
          <cell r="K243">
            <v>1909.825789999999</v>
          </cell>
          <cell r="L243">
            <v>-2342.0497799999994</v>
          </cell>
          <cell r="M243">
            <v>3940.1944800000001</v>
          </cell>
        </row>
        <row r="244">
          <cell r="A244" t="str">
            <v>Telerj31138323</v>
          </cell>
          <cell r="B244">
            <v>789.22232999999994</v>
          </cell>
          <cell r="C244">
            <v>665.43716000000006</v>
          </cell>
          <cell r="D244">
            <v>616.92079999999987</v>
          </cell>
          <cell r="E244">
            <v>506.76208000000042</v>
          </cell>
          <cell r="F244">
            <v>644.58558999999968</v>
          </cell>
          <cell r="G244">
            <v>414.32895000000008</v>
          </cell>
          <cell r="H244">
            <v>1884.19175</v>
          </cell>
          <cell r="I244">
            <v>1871.1102099999998</v>
          </cell>
          <cell r="J244">
            <v>3767.7237700000014</v>
          </cell>
          <cell r="K244">
            <v>1909.825789999999</v>
          </cell>
          <cell r="L244">
            <v>-2342.0497799999994</v>
          </cell>
          <cell r="M244">
            <v>3940.1944800000001</v>
          </cell>
        </row>
        <row r="245">
          <cell r="A245" t="str">
            <v>Telerj31138330</v>
          </cell>
          <cell r="B245">
            <v>91.224249999999998</v>
          </cell>
          <cell r="C245">
            <v>78.318629999999999</v>
          </cell>
          <cell r="D245">
            <v>69.78597000000002</v>
          </cell>
          <cell r="E245">
            <v>55.30422999999999</v>
          </cell>
          <cell r="F245">
            <v>73.658269999999959</v>
          </cell>
          <cell r="G245">
            <v>63.768090000000029</v>
          </cell>
          <cell r="H245">
            <v>754.14433000000008</v>
          </cell>
          <cell r="I245">
            <v>480.78378999999995</v>
          </cell>
          <cell r="J245">
            <v>-662.14679000000001</v>
          </cell>
          <cell r="K245">
            <v>285.63773999999989</v>
          </cell>
          <cell r="L245">
            <v>256.74213000000009</v>
          </cell>
          <cell r="M245">
            <v>314.00498999999991</v>
          </cell>
        </row>
        <row r="246">
          <cell r="A246" t="str">
            <v>Telerj31138333</v>
          </cell>
          <cell r="B246">
            <v>91.224249999999998</v>
          </cell>
          <cell r="C246">
            <v>78.318629999999999</v>
          </cell>
          <cell r="D246">
            <v>69.78597000000002</v>
          </cell>
          <cell r="E246">
            <v>55.30422999999999</v>
          </cell>
          <cell r="F246">
            <v>73.658269999999959</v>
          </cell>
          <cell r="G246">
            <v>63.768090000000029</v>
          </cell>
          <cell r="H246">
            <v>754.14433000000008</v>
          </cell>
          <cell r="I246">
            <v>480.78378999999995</v>
          </cell>
          <cell r="J246">
            <v>-662.14679000000001</v>
          </cell>
          <cell r="K246">
            <v>285.63773999999989</v>
          </cell>
          <cell r="L246">
            <v>256.74213000000009</v>
          </cell>
          <cell r="M246">
            <v>314.00498999999991</v>
          </cell>
        </row>
        <row r="247">
          <cell r="A247" t="str">
            <v>Telerj31138340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977.38592000000006</v>
          </cell>
          <cell r="K247">
            <v>-656.55759000000012</v>
          </cell>
          <cell r="L247">
            <v>226.69829999999996</v>
          </cell>
          <cell r="M247">
            <v>-540.69056</v>
          </cell>
        </row>
        <row r="248">
          <cell r="A248" t="str">
            <v>Telerj31138343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977.38592000000006</v>
          </cell>
          <cell r="K248">
            <v>-656.55759000000012</v>
          </cell>
          <cell r="L248">
            <v>226.69829999999996</v>
          </cell>
          <cell r="M248">
            <v>-540.69056</v>
          </cell>
        </row>
        <row r="249">
          <cell r="A249" t="str">
            <v>Telerj41111320</v>
          </cell>
          <cell r="B249">
            <v>7182.5038700000005</v>
          </cell>
          <cell r="C249">
            <v>5514.368199999999</v>
          </cell>
          <cell r="D249">
            <v>6523.7663799999991</v>
          </cell>
          <cell r="E249">
            <v>2283.0025000000023</v>
          </cell>
          <cell r="F249">
            <v>6325.9722999999976</v>
          </cell>
          <cell r="G249">
            <v>5760.4474399999999</v>
          </cell>
          <cell r="H249">
            <v>3167.947070000002</v>
          </cell>
          <cell r="I249">
            <v>5138.7667799999981</v>
          </cell>
          <cell r="J249">
            <v>8972.4823500000057</v>
          </cell>
          <cell r="K249">
            <v>5914.5034200000009</v>
          </cell>
          <cell r="L249">
            <v>7037.4986999999892</v>
          </cell>
          <cell r="M249">
            <v>6318.0936900000088</v>
          </cell>
        </row>
        <row r="250">
          <cell r="A250" t="str">
            <v>Telerj41111324</v>
          </cell>
          <cell r="B250">
            <v>713.20152000000007</v>
          </cell>
          <cell r="C250">
            <v>586.60596999999984</v>
          </cell>
          <cell r="D250">
            <v>643.72122000000013</v>
          </cell>
          <cell r="E250">
            <v>660.62579000000005</v>
          </cell>
          <cell r="F250">
            <v>656.25581000000011</v>
          </cell>
          <cell r="G250">
            <v>893.22584000000006</v>
          </cell>
          <cell r="H250">
            <v>54.21331999999984</v>
          </cell>
          <cell r="I250">
            <v>50.534629999999197</v>
          </cell>
          <cell r="J250">
            <v>3570.479260000001</v>
          </cell>
          <cell r="K250">
            <v>1326.8497199999993</v>
          </cell>
          <cell r="L250">
            <v>1651.706470000001</v>
          </cell>
          <cell r="M250">
            <v>1669.5012499999993</v>
          </cell>
        </row>
        <row r="251">
          <cell r="A251" t="str">
            <v>Telerj41111325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1.6096600000000001</v>
          </cell>
          <cell r="K251">
            <v>0.17605000000000004</v>
          </cell>
          <cell r="L251">
            <v>-8.6079999999999934E-2</v>
          </cell>
          <cell r="M251">
            <v>-0.25689000000000028</v>
          </cell>
        </row>
        <row r="252">
          <cell r="A252" t="str">
            <v>Telerj41111330</v>
          </cell>
          <cell r="B252">
            <v>0</v>
          </cell>
          <cell r="C252">
            <v>1.3968</v>
          </cell>
          <cell r="D252">
            <v>2.2984</v>
          </cell>
          <cell r="E252">
            <v>-3.6951999999999998</v>
          </cell>
          <cell r="F252">
            <v>0</v>
          </cell>
          <cell r="G252">
            <v>0</v>
          </cell>
          <cell r="H252">
            <v>7968.2414600000002</v>
          </cell>
          <cell r="I252">
            <v>6662.3516900000004</v>
          </cell>
          <cell r="J252">
            <v>10475.939979999999</v>
          </cell>
          <cell r="K252">
            <v>11565.044539999999</v>
          </cell>
          <cell r="L252">
            <v>7235.2217200000014</v>
          </cell>
          <cell r="M252">
            <v>7968.129359999999</v>
          </cell>
        </row>
        <row r="253">
          <cell r="A253" t="str">
            <v>Telerj41111333</v>
          </cell>
          <cell r="B253">
            <v>0</v>
          </cell>
          <cell r="C253">
            <v>1.8475999999999999</v>
          </cell>
          <cell r="D253">
            <v>1.8475999999999999</v>
          </cell>
          <cell r="E253">
            <v>-3.6951999999999998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A254" t="str">
            <v>Telerj41111334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10031.404119999999</v>
          </cell>
          <cell r="K254">
            <v>5060.2254900000007</v>
          </cell>
          <cell r="L254">
            <v>2963.6145800000013</v>
          </cell>
          <cell r="M254">
            <v>4731.6067699999985</v>
          </cell>
        </row>
        <row r="255">
          <cell r="A255" t="str">
            <v>Telerj41111335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4.3502000000000001</v>
          </cell>
          <cell r="K255">
            <v>1.0354700000000001</v>
          </cell>
          <cell r="L255">
            <v>-0.11143000000000036</v>
          </cell>
          <cell r="M255">
            <v>-1.8999999999991246E-4</v>
          </cell>
        </row>
        <row r="256">
          <cell r="A256" t="str">
            <v>Telern31138100</v>
          </cell>
          <cell r="B256">
            <v>1944.9934099999998</v>
          </cell>
          <cell r="C256">
            <v>1624.5332300000002</v>
          </cell>
          <cell r="D256">
            <v>1258.0303699999995</v>
          </cell>
          <cell r="E256">
            <v>1737.5349800000004</v>
          </cell>
          <cell r="F256">
            <v>2267.1866299999992</v>
          </cell>
          <cell r="G256">
            <v>1314.3596200000011</v>
          </cell>
          <cell r="H256">
            <v>1175.1126999999997</v>
          </cell>
          <cell r="I256">
            <v>1173.3642099999997</v>
          </cell>
          <cell r="J256">
            <v>2635.8624100000015</v>
          </cell>
          <cell r="K256">
            <v>2359.7598300000009</v>
          </cell>
          <cell r="L256">
            <v>1911.1256899999971</v>
          </cell>
          <cell r="M256">
            <v>1778.4217099999987</v>
          </cell>
        </row>
        <row r="257">
          <cell r="A257" t="str">
            <v>Telern31138110</v>
          </cell>
          <cell r="B257">
            <v>1745.0391399999999</v>
          </cell>
          <cell r="C257">
            <v>1445.3532300000002</v>
          </cell>
          <cell r="D257">
            <v>1414.4684599999996</v>
          </cell>
          <cell r="E257">
            <v>1544.2442200000005</v>
          </cell>
          <cell r="F257">
            <v>1967.9945799999996</v>
          </cell>
          <cell r="G257">
            <v>1275.4249099999988</v>
          </cell>
          <cell r="H257">
            <v>1058.3403100000014</v>
          </cell>
          <cell r="I257">
            <v>1165.1354300000003</v>
          </cell>
          <cell r="J257">
            <v>1978.6375499999995</v>
          </cell>
          <cell r="K257">
            <v>2264.0229199999994</v>
          </cell>
          <cell r="L257">
            <v>1771.634610000001</v>
          </cell>
          <cell r="M257">
            <v>1719.6634799999993</v>
          </cell>
        </row>
        <row r="258">
          <cell r="A258" t="str">
            <v>Telern31138113</v>
          </cell>
          <cell r="B258">
            <v>1745.0391399999999</v>
          </cell>
          <cell r="C258">
            <v>1445.3532300000002</v>
          </cell>
          <cell r="D258">
            <v>1414.4684599999996</v>
          </cell>
          <cell r="E258">
            <v>1544.2442200000005</v>
          </cell>
          <cell r="F258">
            <v>1967.9945799999996</v>
          </cell>
          <cell r="G258">
            <v>1275.4249099999988</v>
          </cell>
          <cell r="H258">
            <v>1058.3403100000014</v>
          </cell>
          <cell r="I258">
            <v>1165.1354300000003</v>
          </cell>
          <cell r="J258">
            <v>1978.6375499999995</v>
          </cell>
          <cell r="K258">
            <v>2264.0229199999994</v>
          </cell>
          <cell r="L258">
            <v>1771.634610000001</v>
          </cell>
          <cell r="M258">
            <v>1719.6634799999993</v>
          </cell>
        </row>
        <row r="259">
          <cell r="A259" t="str">
            <v>Telern31138120</v>
          </cell>
          <cell r="B259">
            <v>3.0307900000000001</v>
          </cell>
          <cell r="C259">
            <v>2.1328199999999993</v>
          </cell>
          <cell r="D259">
            <v>5.6638799999999998</v>
          </cell>
          <cell r="E259">
            <v>2.5080400000000012</v>
          </cell>
          <cell r="F259">
            <v>2.5080399999999994</v>
          </cell>
          <cell r="G259">
            <v>1.214500000000001</v>
          </cell>
          <cell r="H259">
            <v>2.0285699999999984</v>
          </cell>
          <cell r="I259">
            <v>0.39646000000000114</v>
          </cell>
          <cell r="J259">
            <v>15.845310000000005</v>
          </cell>
          <cell r="K259">
            <v>4.1834299999999942</v>
          </cell>
          <cell r="L259">
            <v>67.246039999999994</v>
          </cell>
          <cell r="M259">
            <v>-1.9525900000000007</v>
          </cell>
        </row>
        <row r="260">
          <cell r="A260" t="str">
            <v>Telern31138122</v>
          </cell>
          <cell r="B260">
            <v>0.76815</v>
          </cell>
          <cell r="C260">
            <v>0.53081999999999996</v>
          </cell>
          <cell r="D260">
            <v>1.3495800000000002</v>
          </cell>
          <cell r="E260">
            <v>0.71376999999999979</v>
          </cell>
          <cell r="F260">
            <v>-3.36232</v>
          </cell>
          <cell r="G260">
            <v>3.36232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</row>
        <row r="261">
          <cell r="A261" t="str">
            <v>Telern31138123</v>
          </cell>
          <cell r="B261">
            <v>2.2626399999999998</v>
          </cell>
          <cell r="C261">
            <v>1.6020000000000003</v>
          </cell>
          <cell r="D261">
            <v>4.3142999999999994</v>
          </cell>
          <cell r="E261">
            <v>1.7942700000000009</v>
          </cell>
          <cell r="F261">
            <v>5.8703599999999998</v>
          </cell>
          <cell r="G261">
            <v>-2.1478199999999994</v>
          </cell>
          <cell r="H261">
            <v>2.0285700000000002</v>
          </cell>
          <cell r="I261">
            <v>0.39645999999999937</v>
          </cell>
          <cell r="J261">
            <v>15.845310000000001</v>
          </cell>
          <cell r="K261">
            <v>4.1834299999999942</v>
          </cell>
          <cell r="L261">
            <v>67.246040000000008</v>
          </cell>
          <cell r="M261">
            <v>-1.9525900000000007</v>
          </cell>
        </row>
        <row r="262">
          <cell r="A262" t="str">
            <v>Telern31138130</v>
          </cell>
          <cell r="B262">
            <v>196.92348000000001</v>
          </cell>
          <cell r="C262">
            <v>177.04717999999994</v>
          </cell>
          <cell r="D262">
            <v>-162.10196999999994</v>
          </cell>
          <cell r="E262">
            <v>190.78271999999998</v>
          </cell>
          <cell r="F262">
            <v>296.68401</v>
          </cell>
          <cell r="G262">
            <v>37.720209999999952</v>
          </cell>
          <cell r="H262">
            <v>114.74382000000003</v>
          </cell>
          <cell r="I262">
            <v>7.8323200000000952</v>
          </cell>
          <cell r="J262">
            <v>641.37954999999999</v>
          </cell>
          <cell r="K262">
            <v>91.553480000000036</v>
          </cell>
          <cell r="L262">
            <v>72.245040000000017</v>
          </cell>
          <cell r="M262">
            <v>60.710819999999785</v>
          </cell>
        </row>
        <row r="263">
          <cell r="A263" t="str">
            <v>Telern31138133</v>
          </cell>
          <cell r="B263">
            <v>196.92348000000001</v>
          </cell>
          <cell r="C263">
            <v>177.04717999999994</v>
          </cell>
          <cell r="D263">
            <v>-162.10196999999994</v>
          </cell>
          <cell r="E263">
            <v>190.78271999999998</v>
          </cell>
          <cell r="F263">
            <v>296.68401</v>
          </cell>
          <cell r="G263">
            <v>37.720209999999952</v>
          </cell>
          <cell r="H263">
            <v>114.74382000000003</v>
          </cell>
          <cell r="I263">
            <v>7.8323200000000952</v>
          </cell>
          <cell r="J263">
            <v>641.37954999999999</v>
          </cell>
          <cell r="K263">
            <v>91.553480000000036</v>
          </cell>
          <cell r="L263">
            <v>72.245040000000017</v>
          </cell>
          <cell r="M263">
            <v>60.710819999999785</v>
          </cell>
        </row>
        <row r="264">
          <cell r="A264" t="str">
            <v>Telern31138300</v>
          </cell>
          <cell r="B264">
            <v>115.91808999999999</v>
          </cell>
          <cell r="C264">
            <v>115.91808999999999</v>
          </cell>
          <cell r="D264">
            <v>120.50088000000002</v>
          </cell>
          <cell r="E264">
            <v>129.82170000000002</v>
          </cell>
          <cell r="F264">
            <v>129.82169999999996</v>
          </cell>
          <cell r="G264">
            <v>48.578590000000077</v>
          </cell>
          <cell r="H264">
            <v>295.95171999999991</v>
          </cell>
          <cell r="I264">
            <v>-256.74869000000001</v>
          </cell>
          <cell r="J264">
            <v>1525.9324699999997</v>
          </cell>
          <cell r="K264">
            <v>-36.351349999999456</v>
          </cell>
          <cell r="L264">
            <v>35.848419999999805</v>
          </cell>
          <cell r="M264">
            <v>36.174939999999879</v>
          </cell>
        </row>
        <row r="265">
          <cell r="A265" t="str">
            <v>Telern31138310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343.26595000000003</v>
          </cell>
          <cell r="L265">
            <v>-34.720799999999997</v>
          </cell>
          <cell r="M265">
            <v>1.4810899999999378</v>
          </cell>
        </row>
        <row r="266">
          <cell r="A266" t="str">
            <v>Telern31138313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343.26595000000003</v>
          </cell>
          <cell r="L266">
            <v>-34.720799999999997</v>
          </cell>
          <cell r="M266">
            <v>1.4810899999999378</v>
          </cell>
        </row>
        <row r="267">
          <cell r="A267" t="str">
            <v>Telern31138320</v>
          </cell>
          <cell r="B267">
            <v>57.419739999999997</v>
          </cell>
          <cell r="C267">
            <v>57.419739999999997</v>
          </cell>
          <cell r="D267">
            <v>69.123720000000006</v>
          </cell>
          <cell r="E267">
            <v>72.795879999999983</v>
          </cell>
          <cell r="F267">
            <v>72.795880000000011</v>
          </cell>
          <cell r="G267">
            <v>12.026579999999967</v>
          </cell>
          <cell r="H267">
            <v>278.96152000000012</v>
          </cell>
          <cell r="I267">
            <v>-261.75418000000008</v>
          </cell>
          <cell r="J267">
            <v>1167.4425199999998</v>
          </cell>
          <cell r="K267">
            <v>-165.93767000000003</v>
          </cell>
          <cell r="L267">
            <v>49.559770000000071</v>
          </cell>
          <cell r="M267">
            <v>21.349120000000084</v>
          </cell>
        </row>
        <row r="268">
          <cell r="A268" t="str">
            <v>Telern31138323</v>
          </cell>
          <cell r="B268">
            <v>57.419739999999997</v>
          </cell>
          <cell r="C268">
            <v>57.419739999999997</v>
          </cell>
          <cell r="D268">
            <v>69.123720000000006</v>
          </cell>
          <cell r="E268">
            <v>72.795879999999983</v>
          </cell>
          <cell r="F268">
            <v>72.795880000000011</v>
          </cell>
          <cell r="G268">
            <v>12.026579999999967</v>
          </cell>
          <cell r="H268">
            <v>278.96152000000012</v>
          </cell>
          <cell r="I268">
            <v>-261.75418000000008</v>
          </cell>
          <cell r="J268">
            <v>1167.4425199999998</v>
          </cell>
          <cell r="K268">
            <v>-165.93767000000003</v>
          </cell>
          <cell r="L268">
            <v>49.559770000000071</v>
          </cell>
          <cell r="M268">
            <v>21.349120000000084</v>
          </cell>
        </row>
        <row r="269">
          <cell r="A269" t="str">
            <v>Telern31138330</v>
          </cell>
          <cell r="B269">
            <v>58.498350000000002</v>
          </cell>
          <cell r="C269">
            <v>58.498350000000002</v>
          </cell>
          <cell r="D269">
            <v>51.377159999999975</v>
          </cell>
          <cell r="E269">
            <v>57.02582000000001</v>
          </cell>
          <cell r="F269">
            <v>57.02582000000001</v>
          </cell>
          <cell r="G269">
            <v>36.552009999999996</v>
          </cell>
          <cell r="H269">
            <v>16.990200000000016</v>
          </cell>
          <cell r="I269">
            <v>5.0054900000000089</v>
          </cell>
          <cell r="J269">
            <v>24.254959999999983</v>
          </cell>
          <cell r="K269">
            <v>11.605959999999982</v>
          </cell>
          <cell r="L269">
            <v>15.528360000000021</v>
          </cell>
          <cell r="M269">
            <v>13.326729999999998</v>
          </cell>
        </row>
        <row r="270">
          <cell r="A270" t="str">
            <v>Telern31138333</v>
          </cell>
          <cell r="B270">
            <v>58.498350000000002</v>
          </cell>
          <cell r="C270">
            <v>58.498350000000002</v>
          </cell>
          <cell r="D270">
            <v>51.377159999999975</v>
          </cell>
          <cell r="E270">
            <v>57.02582000000001</v>
          </cell>
          <cell r="F270">
            <v>57.02582000000001</v>
          </cell>
          <cell r="G270">
            <v>36.552009999999996</v>
          </cell>
          <cell r="H270">
            <v>16.990200000000016</v>
          </cell>
          <cell r="I270">
            <v>5.0054900000000089</v>
          </cell>
          <cell r="J270">
            <v>24.254959999999983</v>
          </cell>
          <cell r="K270">
            <v>11.605959999999982</v>
          </cell>
          <cell r="L270">
            <v>15.528360000000021</v>
          </cell>
          <cell r="M270">
            <v>13.326729999999998</v>
          </cell>
        </row>
        <row r="271">
          <cell r="A271" t="str">
            <v>Telern31138340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334.23498999999998</v>
          </cell>
          <cell r="K271">
            <v>-225.28558999999998</v>
          </cell>
          <cell r="L271">
            <v>5.4810900000000089</v>
          </cell>
          <cell r="M271">
            <v>1.8000000000000682E-2</v>
          </cell>
        </row>
        <row r="272">
          <cell r="A272" t="str">
            <v>Telern31138343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334.23498999999998</v>
          </cell>
          <cell r="K272">
            <v>-225.28558999999998</v>
          </cell>
          <cell r="L272">
            <v>5.4810900000000089</v>
          </cell>
          <cell r="M272">
            <v>1.8000000000000682E-2</v>
          </cell>
        </row>
        <row r="273">
          <cell r="A273" t="str">
            <v>Telern41111320</v>
          </cell>
          <cell r="B273">
            <v>1255.6735800000001</v>
          </cell>
          <cell r="C273">
            <v>1327.7635499999997</v>
          </cell>
          <cell r="D273">
            <v>-456.41273999999976</v>
          </cell>
          <cell r="E273">
            <v>3319.6452700000004</v>
          </cell>
          <cell r="F273">
            <v>946.46413999999913</v>
          </cell>
          <cell r="G273">
            <v>2046.5922399999999</v>
          </cell>
          <cell r="H273">
            <v>1216.5891200000005</v>
          </cell>
          <cell r="I273">
            <v>1596.6571500000009</v>
          </cell>
          <cell r="J273">
            <v>1755.9132499999996</v>
          </cell>
          <cell r="K273">
            <v>1625.6929899999996</v>
          </cell>
          <cell r="L273">
            <v>1195.3026700000009</v>
          </cell>
          <cell r="M273">
            <v>711.08201000000008</v>
          </cell>
        </row>
        <row r="274">
          <cell r="A274" t="str">
            <v>Telern41111324</v>
          </cell>
          <cell r="B274">
            <v>0</v>
          </cell>
          <cell r="C274">
            <v>0</v>
          </cell>
          <cell r="D274">
            <v>0</v>
          </cell>
          <cell r="E274">
            <v>-6.5519999999999995E-2</v>
          </cell>
          <cell r="F274">
            <v>0</v>
          </cell>
          <cell r="G274">
            <v>35.15887</v>
          </cell>
          <cell r="H274">
            <v>36.900179999999992</v>
          </cell>
          <cell r="I274">
            <v>26.952780000000004</v>
          </cell>
          <cell r="J274">
            <v>35.701670000000021</v>
          </cell>
          <cell r="K274">
            <v>45.695189999999997</v>
          </cell>
          <cell r="L274">
            <v>39.218229999999977</v>
          </cell>
          <cell r="M274">
            <v>32.950110000000024</v>
          </cell>
        </row>
        <row r="275">
          <cell r="A275" t="str">
            <v>Telern41111330</v>
          </cell>
          <cell r="B275">
            <v>266.71366999999998</v>
          </cell>
          <cell r="C275">
            <v>120.29953</v>
          </cell>
          <cell r="D275">
            <v>-34.690769999999986</v>
          </cell>
          <cell r="E275">
            <v>742.48414000000002</v>
          </cell>
          <cell r="F275">
            <v>-420.1414299999999</v>
          </cell>
          <cell r="G275">
            <v>-674.66514000000006</v>
          </cell>
          <cell r="H275">
            <v>633.37168999999994</v>
          </cell>
          <cell r="I275">
            <v>1162.98551</v>
          </cell>
          <cell r="J275">
            <v>1131.99739</v>
          </cell>
          <cell r="K275">
            <v>640.60995999999977</v>
          </cell>
          <cell r="L275">
            <v>640.2845099999995</v>
          </cell>
          <cell r="M275">
            <v>286.21120000000064</v>
          </cell>
        </row>
        <row r="276">
          <cell r="A276" t="str">
            <v>Telern41111334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6.2131800000000004</v>
          </cell>
          <cell r="J276">
            <v>10.00414</v>
          </cell>
          <cell r="K276">
            <v>13.000129999999999</v>
          </cell>
          <cell r="L276">
            <v>9.0186899999999994</v>
          </cell>
          <cell r="M276">
            <v>8.4767900000000012</v>
          </cell>
        </row>
        <row r="277">
          <cell r="A277" t="str">
            <v>Telest31138100</v>
          </cell>
          <cell r="B277">
            <v>2595.5188700000003</v>
          </cell>
          <cell r="C277">
            <v>1882.6114599999996</v>
          </cell>
          <cell r="D277">
            <v>1589.1635700000006</v>
          </cell>
          <cell r="E277">
            <v>1863.0732599999992</v>
          </cell>
          <cell r="F277">
            <v>2834.9580900000001</v>
          </cell>
          <cell r="G277">
            <v>2826.9703800000007</v>
          </cell>
          <cell r="H277">
            <v>2357.9120000000003</v>
          </cell>
          <cell r="I277">
            <v>3126.1085499999972</v>
          </cell>
          <cell r="J277">
            <v>2220.8961799999997</v>
          </cell>
          <cell r="K277">
            <v>2098.6335800000052</v>
          </cell>
          <cell r="L277">
            <v>3353.9172699999981</v>
          </cell>
          <cell r="M277">
            <v>3333.4944600000017</v>
          </cell>
        </row>
        <row r="278">
          <cell r="A278" t="str">
            <v>Telest31138110</v>
          </cell>
          <cell r="B278">
            <v>2472.64039</v>
          </cell>
          <cell r="C278">
            <v>1882.6114599999996</v>
          </cell>
          <cell r="D278">
            <v>1589.1635700000006</v>
          </cell>
          <cell r="E278">
            <v>1863.0732599999992</v>
          </cell>
          <cell r="F278">
            <v>2834.9580899999992</v>
          </cell>
          <cell r="G278">
            <v>2826.9703800000025</v>
          </cell>
          <cell r="H278">
            <v>2335.9119999999984</v>
          </cell>
          <cell r="I278">
            <v>3059.9706100000021</v>
          </cell>
          <cell r="J278">
            <v>2190.6293100000003</v>
          </cell>
          <cell r="K278">
            <v>2069.57114</v>
          </cell>
          <cell r="L278">
            <v>3331.2136699999974</v>
          </cell>
          <cell r="M278">
            <v>3284.4880699999994</v>
          </cell>
        </row>
        <row r="279">
          <cell r="A279" t="str">
            <v>Telest31138112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25.254729999999999</v>
          </cell>
          <cell r="J279">
            <v>4.6230000000001326E-2</v>
          </cell>
          <cell r="K279">
            <v>0</v>
          </cell>
          <cell r="L279">
            <v>0</v>
          </cell>
          <cell r="M279">
            <v>0</v>
          </cell>
        </row>
        <row r="280">
          <cell r="A280" t="str">
            <v>Telest31138113</v>
          </cell>
          <cell r="B280">
            <v>2472.64039</v>
          </cell>
          <cell r="C280">
            <v>1882.6114599999996</v>
          </cell>
          <cell r="D280">
            <v>1589.1635700000006</v>
          </cell>
          <cell r="E280">
            <v>1863.0732599999992</v>
          </cell>
          <cell r="F280">
            <v>2834.9580899999992</v>
          </cell>
          <cell r="G280">
            <v>2826.9703800000025</v>
          </cell>
          <cell r="H280">
            <v>2335.9119999999984</v>
          </cell>
          <cell r="I280">
            <v>3034.7158800000016</v>
          </cell>
          <cell r="J280">
            <v>2190.5830799999967</v>
          </cell>
          <cell r="K280">
            <v>2069.5711400000037</v>
          </cell>
          <cell r="L280">
            <v>3331.213670000001</v>
          </cell>
          <cell r="M280">
            <v>3284.4880699999958</v>
          </cell>
        </row>
        <row r="281">
          <cell r="A281" t="str">
            <v>Telest31138120</v>
          </cell>
          <cell r="B281">
            <v>122.87848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1.6758600000000001</v>
          </cell>
          <cell r="J281">
            <v>0</v>
          </cell>
          <cell r="K281">
            <v>29.062440000000009</v>
          </cell>
          <cell r="L281">
            <v>22.703599999999994</v>
          </cell>
          <cell r="M281">
            <v>5.766840000000002</v>
          </cell>
        </row>
        <row r="282">
          <cell r="A282" t="str">
            <v>Telest31138122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1.6758599999999999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A283" t="str">
            <v>Telest31138123</v>
          </cell>
          <cell r="B283">
            <v>122.87848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29.062440000000009</v>
          </cell>
          <cell r="L283">
            <v>22.703599999999994</v>
          </cell>
          <cell r="M283">
            <v>5.7668399999999735</v>
          </cell>
        </row>
        <row r="284">
          <cell r="A284" t="str">
            <v>Telest31138130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22</v>
          </cell>
          <cell r="I284">
            <v>64.46208</v>
          </cell>
          <cell r="J284">
            <v>30.266869999999997</v>
          </cell>
          <cell r="K284">
            <v>0</v>
          </cell>
          <cell r="L284">
            <v>0</v>
          </cell>
          <cell r="M284">
            <v>43.239550000000008</v>
          </cell>
        </row>
        <row r="285">
          <cell r="A285" t="str">
            <v>Telest31138133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22</v>
          </cell>
          <cell r="I285">
            <v>64.46208</v>
          </cell>
          <cell r="J285">
            <v>30.266869999999997</v>
          </cell>
          <cell r="K285">
            <v>0</v>
          </cell>
          <cell r="L285">
            <v>0</v>
          </cell>
          <cell r="M285">
            <v>43.239550000000008</v>
          </cell>
        </row>
        <row r="286">
          <cell r="A286" t="str">
            <v>Telest31138300</v>
          </cell>
          <cell r="B286">
            <v>87.159309999999991</v>
          </cell>
          <cell r="C286">
            <v>38.096380000000011</v>
          </cell>
          <cell r="D286">
            <v>380.96380999999997</v>
          </cell>
          <cell r="E286">
            <v>-306.65517</v>
          </cell>
          <cell r="F286">
            <v>23.679620000000028</v>
          </cell>
          <cell r="G286">
            <v>34.714649999999978</v>
          </cell>
          <cell r="H286">
            <v>101.12799000000001</v>
          </cell>
          <cell r="I286">
            <v>3.6490799999999695</v>
          </cell>
          <cell r="J286">
            <v>823.58660000000009</v>
          </cell>
          <cell r="K286">
            <v>277.69339999999988</v>
          </cell>
          <cell r="L286">
            <v>258.70836000000008</v>
          </cell>
          <cell r="M286">
            <v>54.637879999999768</v>
          </cell>
        </row>
        <row r="287">
          <cell r="A287" t="str">
            <v>Telest31138310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211.90051</v>
          </cell>
          <cell r="K287">
            <v>70.226990000000001</v>
          </cell>
          <cell r="L287">
            <v>63.489780000000053</v>
          </cell>
          <cell r="M287">
            <v>-62.941620000000057</v>
          </cell>
        </row>
        <row r="288">
          <cell r="A288" t="str">
            <v>Telest31138312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132.98286999999999</v>
          </cell>
          <cell r="M288">
            <v>-132.98286999999999</v>
          </cell>
        </row>
        <row r="289">
          <cell r="A289" t="str">
            <v>Telest31138313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211.90051</v>
          </cell>
          <cell r="K289">
            <v>70.226990000000001</v>
          </cell>
          <cell r="L289">
            <v>-69.493089999999995</v>
          </cell>
          <cell r="M289">
            <v>70.041250000000005</v>
          </cell>
        </row>
        <row r="290">
          <cell r="A290" t="str">
            <v>Telest31138320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520.75382000000002</v>
          </cell>
          <cell r="K290">
            <v>163.73379</v>
          </cell>
          <cell r="L290">
            <v>152.44011999999998</v>
          </cell>
          <cell r="M290">
            <v>45.434469999999919</v>
          </cell>
        </row>
        <row r="291">
          <cell r="A291" t="str">
            <v>Telest31138322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53.475819999999999</v>
          </cell>
          <cell r="L291">
            <v>52.07302</v>
          </cell>
          <cell r="M291">
            <v>-52.07302</v>
          </cell>
        </row>
        <row r="292">
          <cell r="A292" t="str">
            <v>Telest31138323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520.75382000000002</v>
          </cell>
          <cell r="K292">
            <v>110.25797</v>
          </cell>
          <cell r="L292">
            <v>100.36710000000005</v>
          </cell>
          <cell r="M292">
            <v>97.507489999999962</v>
          </cell>
        </row>
        <row r="293">
          <cell r="A293" t="str">
            <v>Telest31138330</v>
          </cell>
          <cell r="B293">
            <v>87.159309999999991</v>
          </cell>
          <cell r="C293">
            <v>38.096380000000011</v>
          </cell>
          <cell r="D293">
            <v>380.96380999999997</v>
          </cell>
          <cell r="E293">
            <v>-306.65517</v>
          </cell>
          <cell r="F293">
            <v>23.679620000000028</v>
          </cell>
          <cell r="G293">
            <v>34.714649999999978</v>
          </cell>
          <cell r="H293">
            <v>101.12799000000001</v>
          </cell>
          <cell r="I293">
            <v>3.6490799999999695</v>
          </cell>
          <cell r="J293">
            <v>16.769760000000019</v>
          </cell>
          <cell r="K293">
            <v>20.010400000000004</v>
          </cell>
          <cell r="L293">
            <v>20.820920000000001</v>
          </cell>
          <cell r="M293">
            <v>93.928799999999967</v>
          </cell>
        </row>
        <row r="294">
          <cell r="A294" t="str">
            <v>Telest31138333</v>
          </cell>
          <cell r="B294">
            <v>87.159309999999991</v>
          </cell>
          <cell r="C294">
            <v>38.096380000000011</v>
          </cell>
          <cell r="D294">
            <v>380.96380999999997</v>
          </cell>
          <cell r="E294">
            <v>-306.65517</v>
          </cell>
          <cell r="F294">
            <v>23.679620000000028</v>
          </cell>
          <cell r="G294">
            <v>34.714649999999978</v>
          </cell>
          <cell r="H294">
            <v>101.12799000000001</v>
          </cell>
          <cell r="I294">
            <v>3.6490799999999695</v>
          </cell>
          <cell r="J294">
            <v>16.769760000000019</v>
          </cell>
          <cell r="K294">
            <v>20.010400000000004</v>
          </cell>
          <cell r="L294">
            <v>20.820920000000001</v>
          </cell>
          <cell r="M294">
            <v>93.928799999999967</v>
          </cell>
        </row>
        <row r="295">
          <cell r="A295" t="str">
            <v>Telest31138340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74.162509999999997</v>
          </cell>
          <cell r="K295">
            <v>23.722219999999993</v>
          </cell>
          <cell r="L295">
            <v>21.957540000000009</v>
          </cell>
          <cell r="M295">
            <v>-21.783770000000004</v>
          </cell>
        </row>
        <row r="296">
          <cell r="A296" t="str">
            <v>Telest31138342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23.5928</v>
          </cell>
          <cell r="L296">
            <v>21.854299999999999</v>
          </cell>
          <cell r="M296">
            <v>-21.854299999999999</v>
          </cell>
        </row>
        <row r="297">
          <cell r="A297" t="str">
            <v>Telest31138343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74.162509999999997</v>
          </cell>
          <cell r="K297">
            <v>0.12941999999999609</v>
          </cell>
          <cell r="L297">
            <v>0.10323999999999955</v>
          </cell>
          <cell r="M297">
            <v>7.0530000000005089E-2</v>
          </cell>
        </row>
        <row r="298">
          <cell r="A298" t="str">
            <v>Telest41111320</v>
          </cell>
          <cell r="B298">
            <v>3230.94245</v>
          </cell>
          <cell r="C298">
            <v>3230.7639199999999</v>
          </cell>
          <cell r="D298">
            <v>3679.8150699999987</v>
          </cell>
          <cell r="E298">
            <v>3243.3098000000009</v>
          </cell>
          <cell r="F298">
            <v>3669.6029300000009</v>
          </cell>
          <cell r="G298">
            <v>3627.1103600000024</v>
          </cell>
          <cell r="H298">
            <v>3879.1442999999963</v>
          </cell>
          <cell r="I298">
            <v>1874.0255900000011</v>
          </cell>
          <cell r="J298">
            <v>4108.0360699999983</v>
          </cell>
          <cell r="K298">
            <v>4121.2996300000013</v>
          </cell>
          <cell r="L298">
            <v>3385.9826900000044</v>
          </cell>
          <cell r="M298">
            <v>1427.4191499999943</v>
          </cell>
        </row>
        <row r="299">
          <cell r="A299" t="str">
            <v>Telest41111324</v>
          </cell>
          <cell r="B299">
            <v>20.647269999999999</v>
          </cell>
          <cell r="C299">
            <v>20.038850000000004</v>
          </cell>
          <cell r="D299">
            <v>18.735489999999999</v>
          </cell>
          <cell r="E299">
            <v>17.741489999999999</v>
          </cell>
          <cell r="F299">
            <v>25.241049999999987</v>
          </cell>
          <cell r="G299">
            <v>31.760920000000027</v>
          </cell>
          <cell r="H299">
            <v>12.955809999999985</v>
          </cell>
          <cell r="I299">
            <v>5.4403100000000109</v>
          </cell>
          <cell r="J299">
            <v>12.179630000000003</v>
          </cell>
          <cell r="K299">
            <v>38.251639999999981</v>
          </cell>
          <cell r="L299">
            <v>246.18736000000001</v>
          </cell>
          <cell r="M299">
            <v>124.63536999999991</v>
          </cell>
        </row>
        <row r="300">
          <cell r="A300" t="str">
            <v>Telest41111325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0.28267999999999999</v>
          </cell>
          <cell r="I300">
            <v>0.15583000000000002</v>
          </cell>
          <cell r="J300">
            <v>0.38602999999999993</v>
          </cell>
          <cell r="K300">
            <v>9.9740000000000051E-2</v>
          </cell>
          <cell r="L300">
            <v>0.26836000000000015</v>
          </cell>
          <cell r="M300">
            <v>0.25979999999999981</v>
          </cell>
        </row>
        <row r="301">
          <cell r="A301" t="str">
            <v>Telest41111330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288.64971999999995</v>
          </cell>
          <cell r="I301">
            <v>781.48465000000033</v>
          </cell>
          <cell r="J301">
            <v>434.49900999999977</v>
          </cell>
          <cell r="K301">
            <v>1245.39627</v>
          </cell>
          <cell r="L301">
            <v>1251.69265</v>
          </cell>
          <cell r="M301">
            <v>616.45112000000017</v>
          </cell>
        </row>
        <row r="302">
          <cell r="A302" t="str">
            <v>Telest41111334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5.2451000000000008</v>
          </cell>
          <cell r="J302">
            <v>39.65025</v>
          </cell>
          <cell r="K302">
            <v>18.713340000000002</v>
          </cell>
          <cell r="L302">
            <v>9.3241499999999959</v>
          </cell>
          <cell r="M302">
            <v>12.093379999999996</v>
          </cell>
        </row>
        <row r="303">
          <cell r="A303" t="str">
            <v>Telma31138100</v>
          </cell>
          <cell r="B303">
            <v>742.98510999999996</v>
          </cell>
          <cell r="C303">
            <v>682.79502999999988</v>
          </cell>
          <cell r="D303">
            <v>667.74391000000014</v>
          </cell>
          <cell r="E303">
            <v>706.34045999999989</v>
          </cell>
          <cell r="F303">
            <v>744.9039800000005</v>
          </cell>
          <cell r="G303">
            <v>1754.58151</v>
          </cell>
          <cell r="H303">
            <v>1055.9940399999996</v>
          </cell>
          <cell r="I303">
            <v>1484.9085999999998</v>
          </cell>
          <cell r="J303">
            <v>665.01119000000017</v>
          </cell>
          <cell r="K303">
            <v>1468.9560199999996</v>
          </cell>
          <cell r="L303">
            <v>1594.1407900000013</v>
          </cell>
          <cell r="M303">
            <v>598.04042999999911</v>
          </cell>
        </row>
        <row r="304">
          <cell r="A304" t="str">
            <v>Telma31138110</v>
          </cell>
          <cell r="B304">
            <v>659.59371999999996</v>
          </cell>
          <cell r="C304">
            <v>612.63563000000011</v>
          </cell>
          <cell r="D304">
            <v>586.10742000000005</v>
          </cell>
          <cell r="E304">
            <v>626.90460000000007</v>
          </cell>
          <cell r="F304">
            <v>665.46812</v>
          </cell>
          <cell r="G304">
            <v>1643.7892299999994</v>
          </cell>
          <cell r="H304">
            <v>956.5874300000005</v>
          </cell>
          <cell r="I304">
            <v>1385.5019899999998</v>
          </cell>
          <cell r="J304">
            <v>438.66239000000041</v>
          </cell>
          <cell r="K304">
            <v>1467.1725300000007</v>
          </cell>
          <cell r="L304">
            <v>1383.7720099999988</v>
          </cell>
          <cell r="M304">
            <v>509.22865000000093</v>
          </cell>
        </row>
        <row r="305">
          <cell r="A305" t="str">
            <v>Telma31138113</v>
          </cell>
          <cell r="B305">
            <v>659.59371999999996</v>
          </cell>
          <cell r="C305">
            <v>612.63563000000011</v>
          </cell>
          <cell r="D305">
            <v>586.10742000000005</v>
          </cell>
          <cell r="E305">
            <v>626.90460000000007</v>
          </cell>
          <cell r="F305">
            <v>665.46812</v>
          </cell>
          <cell r="G305">
            <v>1643.7892299999994</v>
          </cell>
          <cell r="H305">
            <v>956.5874300000005</v>
          </cell>
          <cell r="I305">
            <v>1385.5019899999998</v>
          </cell>
          <cell r="J305">
            <v>438.66239000000041</v>
          </cell>
          <cell r="K305">
            <v>1467.1725300000007</v>
          </cell>
          <cell r="L305">
            <v>1383.7720099999988</v>
          </cell>
          <cell r="M305">
            <v>509.22865000000093</v>
          </cell>
        </row>
        <row r="306">
          <cell r="A306" t="str">
            <v>Telma31138120</v>
          </cell>
          <cell r="B306">
            <v>83.391390000000001</v>
          </cell>
          <cell r="C306">
            <v>70.159400000000005</v>
          </cell>
          <cell r="D306">
            <v>81.636489999999981</v>
          </cell>
          <cell r="E306">
            <v>79.435860000000048</v>
          </cell>
          <cell r="F306">
            <v>79.435859999999991</v>
          </cell>
          <cell r="G306">
            <v>110.79228000000001</v>
          </cell>
          <cell r="H306">
            <v>2.9363599999999792</v>
          </cell>
          <cell r="I306">
            <v>2.9363599999999792</v>
          </cell>
          <cell r="J306">
            <v>13.168430000000001</v>
          </cell>
          <cell r="K306">
            <v>10.597070000000031</v>
          </cell>
          <cell r="L306">
            <v>96.415219999999977</v>
          </cell>
          <cell r="M306">
            <v>-5.538569999999936</v>
          </cell>
        </row>
        <row r="307">
          <cell r="A307" t="str">
            <v>Telma31138122</v>
          </cell>
          <cell r="B307">
            <v>0</v>
          </cell>
          <cell r="C307">
            <v>0</v>
          </cell>
          <cell r="D307">
            <v>0</v>
          </cell>
          <cell r="E307">
            <v>2.5605100000000003</v>
          </cell>
          <cell r="F307">
            <v>-2.5605100000000003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Telma31138123</v>
          </cell>
          <cell r="B308">
            <v>83.391390000000001</v>
          </cell>
          <cell r="C308">
            <v>70.159400000000005</v>
          </cell>
          <cell r="D308">
            <v>81.636489999999981</v>
          </cell>
          <cell r="E308">
            <v>76.875350000000026</v>
          </cell>
          <cell r="F308">
            <v>81.996370000000013</v>
          </cell>
          <cell r="G308">
            <v>110.79228000000001</v>
          </cell>
          <cell r="H308">
            <v>2.9363599999999792</v>
          </cell>
          <cell r="I308">
            <v>2.9363599999999792</v>
          </cell>
          <cell r="J308">
            <v>13.168430000000001</v>
          </cell>
          <cell r="K308">
            <v>10.597070000000031</v>
          </cell>
          <cell r="L308">
            <v>96.415219999999977</v>
          </cell>
          <cell r="M308">
            <v>-5.538569999999936</v>
          </cell>
        </row>
        <row r="309">
          <cell r="A309" t="str">
            <v>Telma31138130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96.470249999999993</v>
          </cell>
          <cell r="I309">
            <v>96.470249999999993</v>
          </cell>
          <cell r="J309">
            <v>213.18036999999998</v>
          </cell>
          <cell r="K309">
            <v>-8.8135800000000017</v>
          </cell>
          <cell r="L309">
            <v>113.95356000000004</v>
          </cell>
          <cell r="M309">
            <v>94.350349999999935</v>
          </cell>
        </row>
        <row r="310">
          <cell r="A310" t="str">
            <v>Telma31138133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96.470249999999993</v>
          </cell>
          <cell r="I310">
            <v>96.470249999999993</v>
          </cell>
          <cell r="J310">
            <v>213.18036999999998</v>
          </cell>
          <cell r="K310">
            <v>-8.8135800000000017</v>
          </cell>
          <cell r="L310">
            <v>113.95356000000004</v>
          </cell>
          <cell r="M310">
            <v>94.350349999999935</v>
          </cell>
        </row>
        <row r="311">
          <cell r="A311" t="str">
            <v>Telma31138300</v>
          </cell>
          <cell r="B311">
            <v>464.47424999999998</v>
          </cell>
          <cell r="C311">
            <v>323.03231000000005</v>
          </cell>
          <cell r="D311">
            <v>321.27831000000015</v>
          </cell>
          <cell r="E311">
            <v>281.79468999999995</v>
          </cell>
          <cell r="F311">
            <v>281.7947099999999</v>
          </cell>
          <cell r="G311">
            <v>363.47333000000003</v>
          </cell>
          <cell r="H311">
            <v>326.88708999999972</v>
          </cell>
          <cell r="I311">
            <v>326.88709000000017</v>
          </cell>
          <cell r="J311">
            <v>1023.23947</v>
          </cell>
          <cell r="K311">
            <v>514.30166999999983</v>
          </cell>
          <cell r="L311">
            <v>317.68596999999954</v>
          </cell>
          <cell r="M311">
            <v>425.12619000000086</v>
          </cell>
        </row>
        <row r="312">
          <cell r="A312" t="str">
            <v>Telma31138310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365.77906000000002</v>
          </cell>
          <cell r="K312">
            <v>-357.98376000000002</v>
          </cell>
          <cell r="L312">
            <v>-4.90794</v>
          </cell>
          <cell r="M312">
            <v>1.1756700000000002</v>
          </cell>
        </row>
        <row r="313">
          <cell r="A313" t="str">
            <v>Telma31138313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365.77906000000002</v>
          </cell>
          <cell r="K313">
            <v>-357.98376000000002</v>
          </cell>
          <cell r="L313">
            <v>-4.90794</v>
          </cell>
          <cell r="M313">
            <v>1.1756700000000002</v>
          </cell>
        </row>
        <row r="314">
          <cell r="A314" t="str">
            <v>Telma31138320</v>
          </cell>
          <cell r="B314">
            <v>351.26756</v>
          </cell>
          <cell r="C314">
            <v>224.01499000000001</v>
          </cell>
          <cell r="D314">
            <v>216.69754999999998</v>
          </cell>
          <cell r="E314">
            <v>192.08759999999995</v>
          </cell>
          <cell r="F314">
            <v>272.96528000000001</v>
          </cell>
          <cell r="G314">
            <v>119.93498999999997</v>
          </cell>
          <cell r="H314">
            <v>219.92742999999996</v>
          </cell>
          <cell r="I314">
            <v>219.92743000000019</v>
          </cell>
          <cell r="J314">
            <v>519.98398999999972</v>
          </cell>
          <cell r="K314">
            <v>814.90144000000009</v>
          </cell>
          <cell r="L314">
            <v>298.5319999999997</v>
          </cell>
          <cell r="M314">
            <v>366.7505000000001</v>
          </cell>
        </row>
        <row r="315">
          <cell r="A315" t="str">
            <v>Telma31138323</v>
          </cell>
          <cell r="B315">
            <v>351.26756</v>
          </cell>
          <cell r="C315">
            <v>224.01499000000001</v>
          </cell>
          <cell r="D315">
            <v>216.69754999999998</v>
          </cell>
          <cell r="E315">
            <v>192.08759999999995</v>
          </cell>
          <cell r="F315">
            <v>272.96528000000001</v>
          </cell>
          <cell r="G315">
            <v>119.93498999999997</v>
          </cell>
          <cell r="H315">
            <v>219.92742999999996</v>
          </cell>
          <cell r="I315">
            <v>219.92743000000019</v>
          </cell>
          <cell r="J315">
            <v>519.98398999999972</v>
          </cell>
          <cell r="K315">
            <v>814.90144000000009</v>
          </cell>
          <cell r="L315">
            <v>298.5319999999997</v>
          </cell>
          <cell r="M315">
            <v>366.7505000000001</v>
          </cell>
        </row>
        <row r="316">
          <cell r="A316" t="str">
            <v>Telma31138330</v>
          </cell>
          <cell r="B316">
            <v>113.20669000000001</v>
          </cell>
          <cell r="C316">
            <v>99.017320000000012</v>
          </cell>
          <cell r="D316">
            <v>104.58076</v>
          </cell>
          <cell r="E316">
            <v>89.707089999999994</v>
          </cell>
          <cell r="F316">
            <v>8.8294299999999453</v>
          </cell>
          <cell r="G316">
            <v>243.53834000000006</v>
          </cell>
          <cell r="H316">
            <v>106.95965999999999</v>
          </cell>
          <cell r="I316">
            <v>106.95965999999999</v>
          </cell>
          <cell r="J316">
            <v>9.5661299999999301</v>
          </cell>
          <cell r="K316">
            <v>181.68796000000009</v>
          </cell>
          <cell r="L316">
            <v>27.454940000000079</v>
          </cell>
          <cell r="M316">
            <v>56.827309999999898</v>
          </cell>
        </row>
        <row r="317">
          <cell r="A317" t="str">
            <v>Telma31138333</v>
          </cell>
          <cell r="B317">
            <v>113.20669000000001</v>
          </cell>
          <cell r="C317">
            <v>99.017320000000012</v>
          </cell>
          <cell r="D317">
            <v>104.58076</v>
          </cell>
          <cell r="E317">
            <v>89.707089999999994</v>
          </cell>
          <cell r="F317">
            <v>8.8294299999999453</v>
          </cell>
          <cell r="G317">
            <v>243.53834000000006</v>
          </cell>
          <cell r="H317">
            <v>106.95965999999999</v>
          </cell>
          <cell r="I317">
            <v>106.95965999999999</v>
          </cell>
          <cell r="J317">
            <v>9.5661299999999301</v>
          </cell>
          <cell r="K317">
            <v>181.68796000000009</v>
          </cell>
          <cell r="L317">
            <v>27.454940000000079</v>
          </cell>
          <cell r="M317">
            <v>56.827309999999898</v>
          </cell>
        </row>
        <row r="318">
          <cell r="A318" t="str">
            <v>Telma31138340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127.91028999999999</v>
          </cell>
          <cell r="K318">
            <v>-124.30396999999999</v>
          </cell>
          <cell r="L318">
            <v>-3.3930300000000004</v>
          </cell>
          <cell r="M318">
            <v>0.37270999999999999</v>
          </cell>
        </row>
        <row r="319">
          <cell r="A319" t="str">
            <v>Telma31138343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127.91028999999999</v>
          </cell>
          <cell r="K319">
            <v>-124.30396999999999</v>
          </cell>
          <cell r="L319">
            <v>-3.3930300000000004</v>
          </cell>
          <cell r="M319">
            <v>0.37270999999999999</v>
          </cell>
        </row>
        <row r="320">
          <cell r="A320" t="str">
            <v>Telma41111320</v>
          </cell>
          <cell r="B320">
            <v>2390.5182300000001</v>
          </cell>
          <cell r="C320">
            <v>2585.38859</v>
          </cell>
          <cell r="D320">
            <v>1767.3208800000002</v>
          </cell>
          <cell r="E320">
            <v>-61.881750000000466</v>
          </cell>
          <cell r="F320">
            <v>2812.9455200000002</v>
          </cell>
          <cell r="G320">
            <v>1855.0913</v>
          </cell>
          <cell r="H320">
            <v>1747.6310899999989</v>
          </cell>
          <cell r="I320">
            <v>2387.4454999999998</v>
          </cell>
          <cell r="J320">
            <v>2342.5748199999998</v>
          </cell>
          <cell r="K320">
            <v>2488.2037500000006</v>
          </cell>
          <cell r="L320">
            <v>1587.0712100000019</v>
          </cell>
          <cell r="M320">
            <v>1777.6940300000024</v>
          </cell>
        </row>
        <row r="321">
          <cell r="A321" t="str">
            <v>Telma41111323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6.9871099999999995</v>
          </cell>
          <cell r="H321">
            <v>-6.9871099999999995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A322" t="str">
            <v>Telma41111324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60.186390000000003</v>
          </cell>
          <cell r="I322">
            <v>52.868989999999997</v>
          </cell>
          <cell r="J322">
            <v>10.727000000000004</v>
          </cell>
          <cell r="K322">
            <v>55.225989999999982</v>
          </cell>
          <cell r="L322">
            <v>37.809170000000023</v>
          </cell>
          <cell r="M322">
            <v>57.188789999999983</v>
          </cell>
        </row>
        <row r="323">
          <cell r="A323" t="str">
            <v>Telma41111330</v>
          </cell>
          <cell r="B323">
            <v>161.63235</v>
          </cell>
          <cell r="C323">
            <v>105.07611999999997</v>
          </cell>
          <cell r="D323">
            <v>-241.37460999999996</v>
          </cell>
          <cell r="E323">
            <v>804.40657999999996</v>
          </cell>
          <cell r="F323">
            <v>-532.82060999999999</v>
          </cell>
          <cell r="G323">
            <v>1.5300000000024738E-2</v>
          </cell>
          <cell r="H323">
            <v>211.16780999999997</v>
          </cell>
          <cell r="I323">
            <v>574.36343000000011</v>
          </cell>
          <cell r="J323">
            <v>670.84865999999988</v>
          </cell>
          <cell r="K323">
            <v>398.07536000000005</v>
          </cell>
          <cell r="L323">
            <v>562.33399000000009</v>
          </cell>
          <cell r="M323">
            <v>698.35162999999966</v>
          </cell>
        </row>
        <row r="324">
          <cell r="A324" t="str">
            <v>Telpa31138100</v>
          </cell>
          <cell r="B324">
            <v>1563.57087</v>
          </cell>
          <cell r="C324">
            <v>1495.2385800000002</v>
          </cell>
          <cell r="D324">
            <v>1481.2102900000004</v>
          </cell>
          <cell r="E324">
            <v>1636.7517799999987</v>
          </cell>
          <cell r="F324">
            <v>1496.3143500000006</v>
          </cell>
          <cell r="G324">
            <v>1801.8624300000001</v>
          </cell>
          <cell r="H324">
            <v>1558.5359100000005</v>
          </cell>
          <cell r="I324">
            <v>1649.9999099999986</v>
          </cell>
          <cell r="J324">
            <v>2685.6818400000011</v>
          </cell>
          <cell r="K324">
            <v>2841.5468899999996</v>
          </cell>
          <cell r="L324">
            <v>1203.4073200000021</v>
          </cell>
          <cell r="M324">
            <v>2457.2970699999969</v>
          </cell>
        </row>
        <row r="325">
          <cell r="A325" t="str">
            <v>Telpa31138110</v>
          </cell>
          <cell r="B325">
            <v>1432.5129999999999</v>
          </cell>
          <cell r="C325">
            <v>1377.0056300000001</v>
          </cell>
          <cell r="D325">
            <v>1408.8094699999997</v>
          </cell>
          <cell r="E325">
            <v>1479.4730100000006</v>
          </cell>
          <cell r="F325">
            <v>1392.4335000000001</v>
          </cell>
          <cell r="G325">
            <v>1689.6211900000008</v>
          </cell>
          <cell r="H325">
            <v>1450.243269999999</v>
          </cell>
          <cell r="I325">
            <v>1541.707269999999</v>
          </cell>
          <cell r="J325">
            <v>1963.9784700000018</v>
          </cell>
          <cell r="K325">
            <v>1803.9926599999999</v>
          </cell>
          <cell r="L325">
            <v>3180.4636099999989</v>
          </cell>
          <cell r="M325">
            <v>2353.0964600000007</v>
          </cell>
        </row>
        <row r="326">
          <cell r="A326" t="str">
            <v>Telpa31138113</v>
          </cell>
          <cell r="B326">
            <v>1432.5129999999999</v>
          </cell>
          <cell r="C326">
            <v>1377.0056300000001</v>
          </cell>
          <cell r="D326">
            <v>1408.8094699999997</v>
          </cell>
          <cell r="E326">
            <v>1479.4730100000006</v>
          </cell>
          <cell r="F326">
            <v>1392.4335000000001</v>
          </cell>
          <cell r="G326">
            <v>1689.6211900000008</v>
          </cell>
          <cell r="H326">
            <v>1450.243269999999</v>
          </cell>
          <cell r="I326">
            <v>1541.707269999999</v>
          </cell>
          <cell r="J326">
            <v>1963.9784700000018</v>
          </cell>
          <cell r="K326">
            <v>1803.9926599999999</v>
          </cell>
          <cell r="L326">
            <v>3180.4636099999989</v>
          </cell>
          <cell r="M326">
            <v>2353.0964600000007</v>
          </cell>
        </row>
        <row r="327">
          <cell r="A327" t="str">
            <v>Telpa31138120</v>
          </cell>
          <cell r="B327">
            <v>3.3732500000000001</v>
          </cell>
          <cell r="C327">
            <v>2.5353299999999996</v>
          </cell>
          <cell r="D327">
            <v>2.7947000000000015</v>
          </cell>
          <cell r="E327">
            <v>6.61416</v>
          </cell>
          <cell r="F327">
            <v>4.2913399999999982</v>
          </cell>
          <cell r="G327">
            <v>2.5012699999999981</v>
          </cell>
          <cell r="H327">
            <v>3.4615900000000011</v>
          </cell>
          <cell r="I327">
            <v>3.8702700000000014</v>
          </cell>
          <cell r="J327">
            <v>15.55565</v>
          </cell>
          <cell r="K327">
            <v>18.444020000000002</v>
          </cell>
          <cell r="L327">
            <v>2.2635599999999982</v>
          </cell>
          <cell r="M327">
            <v>22.454850000000008</v>
          </cell>
        </row>
        <row r="328">
          <cell r="A328" t="str">
            <v>Telpa31138122</v>
          </cell>
          <cell r="B328">
            <v>1.0838800000000002</v>
          </cell>
          <cell r="C328">
            <v>0.87525999999999993</v>
          </cell>
          <cell r="D328">
            <v>1.0363299999999995</v>
          </cell>
          <cell r="E328">
            <v>2.6749200000000006</v>
          </cell>
          <cell r="F328">
            <v>1.6365599999999993</v>
          </cell>
          <cell r="G328">
            <v>0.6383100000000006</v>
          </cell>
          <cell r="H328">
            <v>1.1313899999999988</v>
          </cell>
          <cell r="I328">
            <v>1.3425600000000006</v>
          </cell>
          <cell r="J328">
            <v>2.152000000000065E-2</v>
          </cell>
          <cell r="K328">
            <v>-1.01478</v>
          </cell>
          <cell r="L328">
            <v>0.1255999999999986</v>
          </cell>
          <cell r="M328">
            <v>-0.5566299999999984</v>
          </cell>
        </row>
        <row r="329">
          <cell r="A329" t="str">
            <v>Telpa31138123</v>
          </cell>
          <cell r="B329">
            <v>2.2893699999999999</v>
          </cell>
          <cell r="C329">
            <v>1.6600700000000002</v>
          </cell>
          <cell r="D329">
            <v>1.7583700000000002</v>
          </cell>
          <cell r="E329">
            <v>3.9392399999999999</v>
          </cell>
          <cell r="F329">
            <v>2.6547800000000006</v>
          </cell>
          <cell r="G329">
            <v>1.8629599999999993</v>
          </cell>
          <cell r="H329">
            <v>2.3302000000000014</v>
          </cell>
          <cell r="I329">
            <v>2.527709999999999</v>
          </cell>
          <cell r="J329">
            <v>15.534130000000005</v>
          </cell>
          <cell r="K329">
            <v>19.458799999999989</v>
          </cell>
          <cell r="L329">
            <v>2.1379599999999996</v>
          </cell>
          <cell r="M329">
            <v>23.011480000000006</v>
          </cell>
        </row>
        <row r="330">
          <cell r="A330" t="str">
            <v>Telpa31138130</v>
          </cell>
          <cell r="B330">
            <v>127.68462</v>
          </cell>
          <cell r="C330">
            <v>115.69762</v>
          </cell>
          <cell r="D330">
            <v>69.606120000000004</v>
          </cell>
          <cell r="E330">
            <v>150.66460999999998</v>
          </cell>
          <cell r="F330">
            <v>99.589510000000018</v>
          </cell>
          <cell r="G330">
            <v>109.73996999999997</v>
          </cell>
          <cell r="H330">
            <v>104.83105</v>
          </cell>
          <cell r="I330">
            <v>104.42237</v>
          </cell>
          <cell r="J330">
            <v>706.14772000000016</v>
          </cell>
          <cell r="K330">
            <v>1019.1102099999996</v>
          </cell>
          <cell r="L330">
            <v>-1979.3198499999999</v>
          </cell>
          <cell r="M330">
            <v>81.745760000000018</v>
          </cell>
        </row>
        <row r="331">
          <cell r="A331" t="str">
            <v>Telpa31138133</v>
          </cell>
          <cell r="B331">
            <v>127.68462</v>
          </cell>
          <cell r="C331">
            <v>115.69762</v>
          </cell>
          <cell r="D331">
            <v>69.606120000000004</v>
          </cell>
          <cell r="E331">
            <v>150.66460999999998</v>
          </cell>
          <cell r="F331">
            <v>99.589510000000018</v>
          </cell>
          <cell r="G331">
            <v>109.73996999999997</v>
          </cell>
          <cell r="H331">
            <v>104.83105</v>
          </cell>
          <cell r="I331">
            <v>104.42237</v>
          </cell>
          <cell r="J331">
            <v>706.14772000000016</v>
          </cell>
          <cell r="K331">
            <v>1019.1102099999996</v>
          </cell>
          <cell r="L331">
            <v>-1979.3198499999999</v>
          </cell>
          <cell r="M331">
            <v>81.745760000000018</v>
          </cell>
        </row>
        <row r="332">
          <cell r="A332" t="str">
            <v>Telpa31138300</v>
          </cell>
          <cell r="B332">
            <v>259.81763000000001</v>
          </cell>
          <cell r="C332">
            <v>214.26044999999999</v>
          </cell>
          <cell r="D332">
            <v>239.13096000000007</v>
          </cell>
          <cell r="E332">
            <v>220.36537999999996</v>
          </cell>
          <cell r="F332">
            <v>194.59148999999991</v>
          </cell>
          <cell r="G332">
            <v>184.21510000000012</v>
          </cell>
          <cell r="H332">
            <v>584.21510000000012</v>
          </cell>
          <cell r="I332">
            <v>-210</v>
          </cell>
          <cell r="J332">
            <v>1827.5851999999998</v>
          </cell>
          <cell r="K332">
            <v>-730.01458999999977</v>
          </cell>
          <cell r="L332">
            <v>306.48617000000013</v>
          </cell>
          <cell r="M332">
            <v>309.5000699999996</v>
          </cell>
        </row>
        <row r="333">
          <cell r="A333" t="str">
            <v>Telpa31138310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607.25378999999998</v>
          </cell>
          <cell r="K333">
            <v>-604.49105999999995</v>
          </cell>
          <cell r="L333">
            <v>0.67599000000000009</v>
          </cell>
          <cell r="M333">
            <v>0.7758200000000004</v>
          </cell>
        </row>
        <row r="334">
          <cell r="A334" t="str">
            <v>Telpa31138312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604.68320999999992</v>
          </cell>
          <cell r="K334">
            <v>-604.68320999999992</v>
          </cell>
          <cell r="L334">
            <v>0</v>
          </cell>
          <cell r="M334">
            <v>0</v>
          </cell>
        </row>
        <row r="335">
          <cell r="A335" t="str">
            <v>Telpa31138313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2.5705800000000001</v>
          </cell>
          <cell r="K335">
            <v>0.19214999999999982</v>
          </cell>
          <cell r="L335">
            <v>0.67599000000000009</v>
          </cell>
          <cell r="M335">
            <v>0.7758200000000004</v>
          </cell>
        </row>
        <row r="336">
          <cell r="A336" t="str">
            <v>Telpa31138320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1282.70246</v>
          </cell>
          <cell r="K336">
            <v>-94.135379999999941</v>
          </cell>
          <cell r="L336">
            <v>269.37093000000004</v>
          </cell>
          <cell r="M336">
            <v>278.79316999999992</v>
          </cell>
        </row>
        <row r="337">
          <cell r="A337" t="str">
            <v>Telpa31138322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236.02903000000001</v>
          </cell>
          <cell r="K337">
            <v>-236.02903000000001</v>
          </cell>
          <cell r="L337">
            <v>0</v>
          </cell>
          <cell r="M337">
            <v>0</v>
          </cell>
        </row>
        <row r="338">
          <cell r="A338" t="str">
            <v>Telpa31138323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1046.6734300000001</v>
          </cell>
          <cell r="K338">
            <v>141.89364999999998</v>
          </cell>
          <cell r="L338">
            <v>269.37093000000004</v>
          </cell>
          <cell r="M338">
            <v>278.79316999999992</v>
          </cell>
        </row>
        <row r="339">
          <cell r="A339" t="str">
            <v>Telpa31138330</v>
          </cell>
          <cell r="B339">
            <v>259.81763000000001</v>
          </cell>
          <cell r="C339">
            <v>214.26044999999999</v>
          </cell>
          <cell r="D339">
            <v>239.13096000000007</v>
          </cell>
          <cell r="E339">
            <v>220.36537999999996</v>
          </cell>
          <cell r="F339">
            <v>194.59148999999991</v>
          </cell>
          <cell r="G339">
            <v>184.21510000000012</v>
          </cell>
          <cell r="H339">
            <v>584.21510000000012</v>
          </cell>
          <cell r="I339">
            <v>-210</v>
          </cell>
          <cell r="J339">
            <v>-244.84733000000006</v>
          </cell>
          <cell r="K339">
            <v>150.21229999999991</v>
          </cell>
          <cell r="L339">
            <v>36.224950000000035</v>
          </cell>
          <cell r="M339">
            <v>29.685129999999845</v>
          </cell>
        </row>
        <row r="340">
          <cell r="A340" t="str">
            <v>Telpa31138333</v>
          </cell>
          <cell r="B340">
            <v>259.81763000000001</v>
          </cell>
          <cell r="C340">
            <v>214.26044999999999</v>
          </cell>
          <cell r="D340">
            <v>239.13096000000007</v>
          </cell>
          <cell r="E340">
            <v>220.36537999999996</v>
          </cell>
          <cell r="F340">
            <v>194.59148999999991</v>
          </cell>
          <cell r="G340">
            <v>184.21510000000012</v>
          </cell>
          <cell r="H340">
            <v>584.21510000000012</v>
          </cell>
          <cell r="I340">
            <v>-210</v>
          </cell>
          <cell r="J340">
            <v>-244.84733000000006</v>
          </cell>
          <cell r="K340">
            <v>150.21229999999991</v>
          </cell>
          <cell r="L340">
            <v>36.224950000000035</v>
          </cell>
          <cell r="M340">
            <v>29.685129999999845</v>
          </cell>
        </row>
        <row r="341">
          <cell r="A341" t="str">
            <v>Telpa31138340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182.47628</v>
          </cell>
          <cell r="K341">
            <v>-181.60045</v>
          </cell>
          <cell r="L341">
            <v>0.21430000000000005</v>
          </cell>
          <cell r="M341">
            <v>0.24594999999999989</v>
          </cell>
        </row>
        <row r="342">
          <cell r="A342" t="str">
            <v>Telpa31138342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181.65391</v>
          </cell>
          <cell r="K342">
            <v>-181.65391</v>
          </cell>
          <cell r="L342">
            <v>0</v>
          </cell>
          <cell r="M342">
            <v>0</v>
          </cell>
        </row>
        <row r="343">
          <cell r="A343" t="str">
            <v>Telpa31138343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0.82237000000000005</v>
          </cell>
          <cell r="K343">
            <v>5.3459999999999952E-2</v>
          </cell>
          <cell r="L343">
            <v>0.21430000000000005</v>
          </cell>
          <cell r="M343">
            <v>0.24594999999999989</v>
          </cell>
        </row>
        <row r="344">
          <cell r="A344" t="str">
            <v>Telpa41111320</v>
          </cell>
          <cell r="B344">
            <v>1844.3067100000001</v>
          </cell>
          <cell r="C344">
            <v>1664.6295899999998</v>
          </cell>
          <cell r="D344">
            <v>2367.79765</v>
          </cell>
          <cell r="E344">
            <v>2188.2360500000004</v>
          </cell>
          <cell r="F344">
            <v>2140.7639100000006</v>
          </cell>
          <cell r="G344">
            <v>1784.6874099999986</v>
          </cell>
          <cell r="H344">
            <v>2080.8622599999999</v>
          </cell>
          <cell r="I344">
            <v>1840.8239300000005</v>
          </cell>
          <cell r="J344">
            <v>1607.9332700000032</v>
          </cell>
          <cell r="K344">
            <v>1828.8178399999997</v>
          </cell>
          <cell r="L344">
            <v>1565.8003799999969</v>
          </cell>
          <cell r="M344">
            <v>1495.9736599999997</v>
          </cell>
        </row>
        <row r="345">
          <cell r="A345" t="str">
            <v>Telpa41111323</v>
          </cell>
          <cell r="B345">
            <v>1.125E-2</v>
          </cell>
          <cell r="C345">
            <v>2.2430000000000002E-2</v>
          </cell>
          <cell r="D345">
            <v>4.5330000000000009E-2</v>
          </cell>
          <cell r="E345">
            <v>1.5509999999999982E-2</v>
          </cell>
          <cell r="F345">
            <v>7.6770000000000005E-2</v>
          </cell>
          <cell r="G345">
            <v>6.583E-2</v>
          </cell>
          <cell r="H345">
            <v>3.4000000000000141E-3</v>
          </cell>
          <cell r="I345">
            <v>6.8659999999999999E-2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Telpa41111324</v>
          </cell>
          <cell r="B346">
            <v>20.39697</v>
          </cell>
          <cell r="C346">
            <v>16.4361</v>
          </cell>
          <cell r="D346">
            <v>16.489620000000002</v>
          </cell>
          <cell r="E346">
            <v>17.458589999999994</v>
          </cell>
          <cell r="F346">
            <v>18.281009999999995</v>
          </cell>
          <cell r="G346">
            <v>28.140570000000011</v>
          </cell>
          <cell r="H346">
            <v>18.144199999999998</v>
          </cell>
          <cell r="I346">
            <v>33.160679999999985</v>
          </cell>
          <cell r="J346">
            <v>27.481750000000005</v>
          </cell>
          <cell r="K346">
            <v>49.06783999999999</v>
          </cell>
          <cell r="L346">
            <v>51.934210000000007</v>
          </cell>
          <cell r="M346">
            <v>36.444420000000036</v>
          </cell>
        </row>
        <row r="347">
          <cell r="A347" t="str">
            <v>Telpa41111330</v>
          </cell>
          <cell r="B347">
            <v>40.439360000000001</v>
          </cell>
          <cell r="C347">
            <v>161.39590999999999</v>
          </cell>
          <cell r="D347">
            <v>281.59904</v>
          </cell>
          <cell r="E347">
            <v>242.18304000000001</v>
          </cell>
          <cell r="F347">
            <v>99.160089999999968</v>
          </cell>
          <cell r="G347">
            <v>64.978610000000117</v>
          </cell>
          <cell r="H347">
            <v>867.82864999999981</v>
          </cell>
          <cell r="I347">
            <v>779.53765999999996</v>
          </cell>
          <cell r="J347">
            <v>1058.9725100000001</v>
          </cell>
          <cell r="K347">
            <v>900.85575000000063</v>
          </cell>
          <cell r="L347">
            <v>941.92578999999932</v>
          </cell>
          <cell r="M347">
            <v>943.50824000000011</v>
          </cell>
        </row>
        <row r="348">
          <cell r="A348" t="str">
            <v>Telpa41111334</v>
          </cell>
          <cell r="B348">
            <v>2.5533699999999997</v>
          </cell>
          <cell r="C348">
            <v>12.258320000000001</v>
          </cell>
          <cell r="D348">
            <v>23.762090000000001</v>
          </cell>
          <cell r="E348">
            <v>19.255040000000001</v>
          </cell>
          <cell r="F348">
            <v>20.837589999999999</v>
          </cell>
          <cell r="G348">
            <v>21.833300000000008</v>
          </cell>
          <cell r="H348">
            <v>0</v>
          </cell>
          <cell r="I348">
            <v>2.281480000000002</v>
          </cell>
          <cell r="J348">
            <v>47.838130000000007</v>
          </cell>
          <cell r="K348">
            <v>-4.1532000000000266</v>
          </cell>
          <cell r="L348">
            <v>13.522559999999999</v>
          </cell>
          <cell r="M348">
            <v>14.22499000000002</v>
          </cell>
        </row>
        <row r="349">
          <cell r="A349" t="str">
            <v>Telpa41111335</v>
          </cell>
          <cell r="B349">
            <v>0</v>
          </cell>
          <cell r="C349">
            <v>0</v>
          </cell>
          <cell r="D349">
            <v>0</v>
          </cell>
          <cell r="E349">
            <v>0.68779999999999997</v>
          </cell>
          <cell r="F349">
            <v>8.1700000000000106E-3</v>
          </cell>
          <cell r="G349">
            <v>5.8300000000000018E-3</v>
          </cell>
          <cell r="H349">
            <v>0</v>
          </cell>
          <cell r="I349">
            <v>0</v>
          </cell>
          <cell r="J349">
            <v>9.8200000000000509E-3</v>
          </cell>
          <cell r="K349">
            <v>-4.730000000000012E-3</v>
          </cell>
          <cell r="L349">
            <v>0</v>
          </cell>
          <cell r="M349">
            <v>0</v>
          </cell>
        </row>
        <row r="350">
          <cell r="A350" t="str">
            <v>Telpe31138100</v>
          </cell>
          <cell r="B350">
            <v>4292.8428800000002</v>
          </cell>
          <cell r="C350">
            <v>4053.0451699999994</v>
          </cell>
          <cell r="D350">
            <v>7493.8587900000002</v>
          </cell>
          <cell r="E350">
            <v>4728.3823400000001</v>
          </cell>
          <cell r="F350">
            <v>11412.06956</v>
          </cell>
          <cell r="G350">
            <v>3946.6789600000047</v>
          </cell>
          <cell r="H350">
            <v>4114.491829999999</v>
          </cell>
          <cell r="I350">
            <v>6605.9197299999942</v>
          </cell>
          <cell r="J350">
            <v>5054.1591499999995</v>
          </cell>
          <cell r="K350">
            <v>6203.6155700000018</v>
          </cell>
          <cell r="L350">
            <v>9061.7473700000046</v>
          </cell>
          <cell r="M350">
            <v>11376.369179999994</v>
          </cell>
        </row>
        <row r="351">
          <cell r="A351" t="str">
            <v>Telpe31138110</v>
          </cell>
          <cell r="B351">
            <v>4098.2809900000002</v>
          </cell>
          <cell r="C351">
            <v>3807.2026699999997</v>
          </cell>
          <cell r="D351">
            <v>6774.9126400000005</v>
          </cell>
          <cell r="E351">
            <v>4391.0159999999996</v>
          </cell>
          <cell r="F351">
            <v>11113.629560000001</v>
          </cell>
          <cell r="G351">
            <v>3754.0858100000005</v>
          </cell>
          <cell r="H351">
            <v>4012.4048299999995</v>
          </cell>
          <cell r="I351">
            <v>6605.9197299999942</v>
          </cell>
          <cell r="J351">
            <v>4976.1591500000068</v>
          </cell>
          <cell r="K351">
            <v>6203.6155700000018</v>
          </cell>
          <cell r="L351">
            <v>9061.7473699999973</v>
          </cell>
          <cell r="M351">
            <v>10962.830410000002</v>
          </cell>
        </row>
        <row r="352">
          <cell r="A352" t="str">
            <v>Telpe31138111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8162.9050099999995</v>
          </cell>
          <cell r="G352">
            <v>-8162.9050099999995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Telpe31138113</v>
          </cell>
          <cell r="B353">
            <v>4098.2809900000002</v>
          </cell>
          <cell r="C353">
            <v>3807.2026699999997</v>
          </cell>
          <cell r="D353">
            <v>6774.9126400000005</v>
          </cell>
          <cell r="E353">
            <v>4391.0159999999996</v>
          </cell>
          <cell r="F353">
            <v>2950.7245500000026</v>
          </cell>
          <cell r="G353">
            <v>11916.990819999999</v>
          </cell>
          <cell r="H353">
            <v>4012.4048299999995</v>
          </cell>
          <cell r="I353">
            <v>6605.9197299999942</v>
          </cell>
          <cell r="J353">
            <v>4976.1591500000068</v>
          </cell>
          <cell r="K353">
            <v>6203.6155700000018</v>
          </cell>
          <cell r="L353">
            <v>9061.7473699999973</v>
          </cell>
          <cell r="M353">
            <v>10962.830410000002</v>
          </cell>
        </row>
        <row r="354">
          <cell r="A354" t="str">
            <v>Telpe31138130</v>
          </cell>
          <cell r="B354">
            <v>194.56189000000001</v>
          </cell>
          <cell r="C354">
            <v>245.8425</v>
          </cell>
          <cell r="D354">
            <v>718.9461500000001</v>
          </cell>
          <cell r="E354">
            <v>337.36633999999981</v>
          </cell>
          <cell r="F354">
            <v>298.44</v>
          </cell>
          <cell r="G354">
            <v>192.59314999999992</v>
          </cell>
          <cell r="H354">
            <v>102.08700000000022</v>
          </cell>
          <cell r="I354">
            <v>0</v>
          </cell>
          <cell r="J354">
            <v>77.999999999999545</v>
          </cell>
          <cell r="K354">
            <v>0</v>
          </cell>
          <cell r="L354">
            <v>0</v>
          </cell>
          <cell r="M354">
            <v>413.53877000000011</v>
          </cell>
        </row>
        <row r="355">
          <cell r="A355" t="str">
            <v>Telpe31138132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19.272590000000001</v>
          </cell>
          <cell r="H355">
            <v>-19.272590000000001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Telpe31138133</v>
          </cell>
          <cell r="B356">
            <v>194.56189000000001</v>
          </cell>
          <cell r="C356">
            <v>245.8425</v>
          </cell>
          <cell r="D356">
            <v>718.9461500000001</v>
          </cell>
          <cell r="E356">
            <v>337.36633999999981</v>
          </cell>
          <cell r="F356">
            <v>298.44</v>
          </cell>
          <cell r="G356">
            <v>173.32055999999989</v>
          </cell>
          <cell r="H356">
            <v>121.35959000000025</v>
          </cell>
          <cell r="I356">
            <v>0</v>
          </cell>
          <cell r="J356">
            <v>77.999999999999545</v>
          </cell>
          <cell r="K356">
            <v>0</v>
          </cell>
          <cell r="L356">
            <v>0</v>
          </cell>
          <cell r="M356">
            <v>413.53877000000011</v>
          </cell>
        </row>
        <row r="357">
          <cell r="A357" t="str">
            <v>Telpe31138300</v>
          </cell>
          <cell r="B357">
            <v>61.676349999999999</v>
          </cell>
          <cell r="C357">
            <v>53.516000000000005</v>
          </cell>
          <cell r="D357">
            <v>59.245440000000002</v>
          </cell>
          <cell r="E357">
            <v>59.015669999999972</v>
          </cell>
          <cell r="F357">
            <v>55.230970000000042</v>
          </cell>
          <cell r="G357">
            <v>63.579409999999996</v>
          </cell>
          <cell r="H357">
            <v>35.08</v>
          </cell>
          <cell r="I357">
            <v>83.267440000000022</v>
          </cell>
          <cell r="J357">
            <v>5486.4233400000003</v>
          </cell>
          <cell r="K357">
            <v>-3064.4899400000004</v>
          </cell>
          <cell r="L357">
            <v>257.37017999999989</v>
          </cell>
          <cell r="M357">
            <v>354.20991000000004</v>
          </cell>
        </row>
        <row r="358">
          <cell r="A358" t="str">
            <v>Telpe31138310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2202.1575600000001</v>
          </cell>
          <cell r="K358">
            <v>-2189.0697800000003</v>
          </cell>
          <cell r="L358">
            <v>-5.4784900000000007</v>
          </cell>
          <cell r="M358">
            <v>2.2252600000000005</v>
          </cell>
        </row>
        <row r="359">
          <cell r="A359" t="str">
            <v>Telpe31138313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2202.1575600000001</v>
          </cell>
          <cell r="K359">
            <v>-2189.0697800000003</v>
          </cell>
          <cell r="L359">
            <v>-5.4784900000000007</v>
          </cell>
          <cell r="M359">
            <v>2.2252600000000005</v>
          </cell>
        </row>
        <row r="360">
          <cell r="A360" t="str">
            <v>Telpe31138320</v>
          </cell>
          <cell r="B360">
            <v>23.41048</v>
          </cell>
          <cell r="C360">
            <v>19.495339999999999</v>
          </cell>
          <cell r="D360">
            <v>22.021329999999999</v>
          </cell>
          <cell r="E360">
            <v>18.957440000000005</v>
          </cell>
          <cell r="F360">
            <v>9.5473399999999913</v>
          </cell>
          <cell r="G360">
            <v>10.258939999999996</v>
          </cell>
          <cell r="H360">
            <v>35.08</v>
          </cell>
          <cell r="I360">
            <v>78</v>
          </cell>
          <cell r="J360">
            <v>2518.9171999999999</v>
          </cell>
          <cell r="K360">
            <v>-245.14471999999978</v>
          </cell>
          <cell r="L360">
            <v>175.35215999999991</v>
          </cell>
          <cell r="M360">
            <v>298.31613000000016</v>
          </cell>
        </row>
        <row r="361">
          <cell r="A361" t="str">
            <v>Telpe31138323</v>
          </cell>
          <cell r="B361">
            <v>23.41048</v>
          </cell>
          <cell r="C361">
            <v>19.495339999999999</v>
          </cell>
          <cell r="D361">
            <v>22.021329999999999</v>
          </cell>
          <cell r="E361">
            <v>18.957440000000005</v>
          </cell>
          <cell r="F361">
            <v>9.5473399999999913</v>
          </cell>
          <cell r="G361">
            <v>10.258939999999996</v>
          </cell>
          <cell r="H361">
            <v>35.08</v>
          </cell>
          <cell r="I361">
            <v>78</v>
          </cell>
          <cell r="J361">
            <v>2518.9171999999999</v>
          </cell>
          <cell r="K361">
            <v>-245.14471999999978</v>
          </cell>
          <cell r="L361">
            <v>175.35215999999991</v>
          </cell>
          <cell r="M361">
            <v>298.31613000000016</v>
          </cell>
        </row>
        <row r="362">
          <cell r="A362" t="str">
            <v>Telpe31138330</v>
          </cell>
          <cell r="B362">
            <v>38.26587</v>
          </cell>
          <cell r="C362">
            <v>34.020659999999999</v>
          </cell>
          <cell r="D362">
            <v>37.224109999999996</v>
          </cell>
          <cell r="E362">
            <v>40.058230000000009</v>
          </cell>
          <cell r="F362">
            <v>45.683629999999994</v>
          </cell>
          <cell r="G362">
            <v>53.32047</v>
          </cell>
          <cell r="H362">
            <v>0</v>
          </cell>
          <cell r="I362">
            <v>5.2674399999999935</v>
          </cell>
          <cell r="J362">
            <v>97.47326000000001</v>
          </cell>
          <cell r="K362">
            <v>33.677660000000003</v>
          </cell>
          <cell r="L362">
            <v>89.006380000000036</v>
          </cell>
          <cell r="M362">
            <v>53.668519999999887</v>
          </cell>
        </row>
        <row r="363">
          <cell r="A363" t="str">
            <v>Telpe31138333</v>
          </cell>
          <cell r="B363">
            <v>38.26587</v>
          </cell>
          <cell r="C363">
            <v>34.020659999999999</v>
          </cell>
          <cell r="D363">
            <v>37.224109999999996</v>
          </cell>
          <cell r="E363">
            <v>40.058230000000009</v>
          </cell>
          <cell r="F363">
            <v>45.683629999999994</v>
          </cell>
          <cell r="G363">
            <v>53.32047</v>
          </cell>
          <cell r="H363">
            <v>0</v>
          </cell>
          <cell r="I363">
            <v>5.2674399999999935</v>
          </cell>
          <cell r="J363">
            <v>97.47326000000001</v>
          </cell>
          <cell r="K363">
            <v>33.677660000000003</v>
          </cell>
          <cell r="L363">
            <v>89.006380000000036</v>
          </cell>
          <cell r="M363">
            <v>53.668519999999887</v>
          </cell>
        </row>
        <row r="364">
          <cell r="A364" t="str">
            <v>Telpe31138340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667.87531999999999</v>
          </cell>
          <cell r="K364">
            <v>-663.95309999999995</v>
          </cell>
          <cell r="L364">
            <v>-1.5098699999999998</v>
          </cell>
          <cell r="M364">
            <v>0</v>
          </cell>
        </row>
        <row r="365">
          <cell r="A365" t="str">
            <v>Telpe31138343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667.87531999999999</v>
          </cell>
          <cell r="K365">
            <v>-663.95309999999995</v>
          </cell>
          <cell r="L365">
            <v>-1.5098699999999998</v>
          </cell>
          <cell r="M365">
            <v>0</v>
          </cell>
        </row>
        <row r="366">
          <cell r="A366" t="str">
            <v>Telpe31144300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2995.9186</v>
          </cell>
        </row>
        <row r="367">
          <cell r="A367" t="str">
            <v>Telpe41111320</v>
          </cell>
          <cell r="B367">
            <v>4783.1837000000005</v>
          </cell>
          <cell r="C367">
            <v>4799.54727</v>
          </cell>
          <cell r="D367">
            <v>-884.48715000000084</v>
          </cell>
          <cell r="E367">
            <v>5401.2759999999998</v>
          </cell>
          <cell r="F367">
            <v>5388.2841900000003</v>
          </cell>
          <cell r="G367">
            <v>5047.766639999998</v>
          </cell>
          <cell r="H367">
            <v>2917.971470000004</v>
          </cell>
          <cell r="I367">
            <v>4699.604879999999</v>
          </cell>
          <cell r="J367">
            <v>5439.2337899999948</v>
          </cell>
          <cell r="K367">
            <v>1028.2225800000015</v>
          </cell>
          <cell r="L367">
            <v>6045.6276500000095</v>
          </cell>
          <cell r="M367">
            <v>2992.6563999999926</v>
          </cell>
        </row>
        <row r="368">
          <cell r="A368" t="str">
            <v>Telpe41111323</v>
          </cell>
          <cell r="B368">
            <v>0</v>
          </cell>
          <cell r="C368">
            <v>0</v>
          </cell>
          <cell r="D368">
            <v>0</v>
          </cell>
          <cell r="E368">
            <v>2.2699999999999999E-3</v>
          </cell>
          <cell r="F368">
            <v>0</v>
          </cell>
          <cell r="G368">
            <v>0</v>
          </cell>
          <cell r="H368">
            <v>8.8600000000000016E-3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Telpe41111324</v>
          </cell>
          <cell r="B369">
            <v>292.87541999999996</v>
          </cell>
          <cell r="C369">
            <v>589.52098000000001</v>
          </cell>
          <cell r="D369">
            <v>-151.41960999999992</v>
          </cell>
          <cell r="E369">
            <v>401.81055000000003</v>
          </cell>
          <cell r="F369">
            <v>364.66454999999974</v>
          </cell>
          <cell r="G369">
            <v>364.67398000000026</v>
          </cell>
          <cell r="H369">
            <v>160.48114999999984</v>
          </cell>
          <cell r="I369">
            <v>488.1260699999998</v>
          </cell>
          <cell r="J369">
            <v>102.40812000000005</v>
          </cell>
          <cell r="K369">
            <v>358.86155000000008</v>
          </cell>
          <cell r="L369">
            <v>235.78908000000001</v>
          </cell>
          <cell r="M369">
            <v>401.13411000000042</v>
          </cell>
        </row>
        <row r="370">
          <cell r="A370" t="str">
            <v>Telpe41111325</v>
          </cell>
          <cell r="B370">
            <v>146.38425000000001</v>
          </cell>
          <cell r="C370">
            <v>-146.38425000000001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Telpe41111330</v>
          </cell>
          <cell r="B371">
            <v>0</v>
          </cell>
          <cell r="C371">
            <v>-1.0585599999999999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3915.5735699999996</v>
          </cell>
          <cell r="I371">
            <v>2278.994470000001</v>
          </cell>
          <cell r="J371">
            <v>2990.5870899999991</v>
          </cell>
          <cell r="K371">
            <v>1797.9991300000002</v>
          </cell>
          <cell r="L371">
            <v>1687.9970599999997</v>
          </cell>
          <cell r="M371">
            <v>849.29496000000108</v>
          </cell>
        </row>
        <row r="372">
          <cell r="A372" t="str">
            <v>Telpe41111334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224.95589999999999</v>
          </cell>
          <cell r="J372">
            <v>62.096609999999998</v>
          </cell>
          <cell r="K372">
            <v>-14.965139999999963</v>
          </cell>
          <cell r="L372">
            <v>34.99536999999998</v>
          </cell>
          <cell r="M372">
            <v>-0.24524000000002388</v>
          </cell>
        </row>
        <row r="373">
          <cell r="A373" t="str">
            <v>Consolidado31138100</v>
          </cell>
          <cell r="B373">
            <v>44017.763100000004</v>
          </cell>
          <cell r="C373">
            <v>49711.49267</v>
          </cell>
          <cell r="D373">
            <v>55219.083159999995</v>
          </cell>
          <cell r="E373">
            <v>51272.617020000034</v>
          </cell>
          <cell r="F373">
            <v>78535.39711999998</v>
          </cell>
          <cell r="G373">
            <v>66573.934360000014</v>
          </cell>
          <cell r="H373">
            <v>67255.37142000004</v>
          </cell>
          <cell r="I373">
            <v>70516.900940000021</v>
          </cell>
          <cell r="J373">
            <v>72480.883349999902</v>
          </cell>
          <cell r="K373">
            <v>76298.310500000021</v>
          </cell>
          <cell r="L373">
            <v>87966.624650000129</v>
          </cell>
          <cell r="M373">
            <v>115669.26445999974</v>
          </cell>
        </row>
        <row r="374">
          <cell r="A374" t="str">
            <v>Consolidado31138110</v>
          </cell>
          <cell r="B374">
            <v>42185.970600000001</v>
          </cell>
          <cell r="C374">
            <v>45458.382669999992</v>
          </cell>
          <cell r="D374">
            <v>51600.396020000015</v>
          </cell>
          <cell r="E374">
            <v>48668.28608999998</v>
          </cell>
          <cell r="F374">
            <v>75953.710410000029</v>
          </cell>
          <cell r="G374">
            <v>64193.03979999997</v>
          </cell>
          <cell r="H374">
            <v>64751.645340000046</v>
          </cell>
          <cell r="I374">
            <v>68314.574119999947</v>
          </cell>
          <cell r="J374">
            <v>70715.149600000062</v>
          </cell>
          <cell r="K374">
            <v>73733.091350000002</v>
          </cell>
          <cell r="L374">
            <v>88498.487999999896</v>
          </cell>
          <cell r="M374">
            <v>113642.34324000007</v>
          </cell>
        </row>
        <row r="375">
          <cell r="A375" t="str">
            <v>Consolidado31138111</v>
          </cell>
          <cell r="B375">
            <v>10121.606669999999</v>
          </cell>
          <cell r="C375">
            <v>11389.512409999998</v>
          </cell>
          <cell r="D375">
            <v>-21511.119079999997</v>
          </cell>
          <cell r="E375">
            <v>46196.315920000001</v>
          </cell>
          <cell r="F375">
            <v>38445.366329999997</v>
          </cell>
          <cell r="G375">
            <v>-84641.682249999998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Consolidado31138112</v>
          </cell>
          <cell r="B376">
            <v>0</v>
          </cell>
          <cell r="C376">
            <v>0</v>
          </cell>
          <cell r="D376">
            <v>6.720000000000001E-2</v>
          </cell>
          <cell r="E376">
            <v>3.8269999999999985E-2</v>
          </cell>
          <cell r="F376">
            <v>3.8270000000000012E-2</v>
          </cell>
          <cell r="G376">
            <v>2.3549999999999988E-2</v>
          </cell>
          <cell r="H376">
            <v>-3.0909999999999993E-2</v>
          </cell>
          <cell r="I376">
            <v>25.260020000000001</v>
          </cell>
          <cell r="J376">
            <v>4.6230000000001326E-2</v>
          </cell>
          <cell r="K376">
            <v>-0.14167000000000129</v>
          </cell>
          <cell r="L376">
            <v>0</v>
          </cell>
          <cell r="M376">
            <v>0</v>
          </cell>
        </row>
        <row r="377">
          <cell r="A377" t="str">
            <v>Consolidado31138113</v>
          </cell>
          <cell r="B377">
            <v>32064.36393</v>
          </cell>
          <cell r="C377">
            <v>34068.870260000003</v>
          </cell>
          <cell r="D377">
            <v>73111.447900000014</v>
          </cell>
          <cell r="E377">
            <v>2471.9318999999959</v>
          </cell>
          <cell r="F377">
            <v>37508.305809999991</v>
          </cell>
          <cell r="G377">
            <v>148834.69849999997</v>
          </cell>
          <cell r="H377">
            <v>64751.676250000077</v>
          </cell>
          <cell r="I377">
            <v>68289.314099999901</v>
          </cell>
          <cell r="J377">
            <v>70715.103370000026</v>
          </cell>
          <cell r="K377">
            <v>73733.233020000043</v>
          </cell>
          <cell r="L377">
            <v>88498.488000000012</v>
          </cell>
          <cell r="M377">
            <v>113642.34323999996</v>
          </cell>
        </row>
        <row r="378">
          <cell r="A378" t="str">
            <v>Consolidado31138120</v>
          </cell>
          <cell r="B378">
            <v>255.12130999999999</v>
          </cell>
          <cell r="C378">
            <v>1608.49584</v>
          </cell>
          <cell r="D378">
            <v>390.78018999999995</v>
          </cell>
          <cell r="E378">
            <v>221.03207999999995</v>
          </cell>
          <cell r="F378">
            <v>221.6887200000001</v>
          </cell>
          <cell r="G378">
            <v>197.48556000000008</v>
          </cell>
          <cell r="H378">
            <v>138.50857000000042</v>
          </cell>
          <cell r="I378">
            <v>130.53653999999915</v>
          </cell>
          <cell r="J378">
            <v>59.371160000000145</v>
          </cell>
          <cell r="K378">
            <v>135.34595000000036</v>
          </cell>
          <cell r="L378">
            <v>493.2801999999997</v>
          </cell>
          <cell r="M378">
            <v>289.34780999999975</v>
          </cell>
        </row>
        <row r="379">
          <cell r="A379" t="str">
            <v>Consolidado31138121</v>
          </cell>
          <cell r="B379">
            <v>5.1673599999999995</v>
          </cell>
          <cell r="C379">
            <v>1389.06988</v>
          </cell>
          <cell r="D379">
            <v>-1394.2372399999999</v>
          </cell>
          <cell r="E379">
            <v>1553.7434699999999</v>
          </cell>
          <cell r="F379">
            <v>49.016320000000178</v>
          </cell>
          <cell r="G379">
            <v>-1602.7597900000001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A380" t="str">
            <v>Consolidado31138122</v>
          </cell>
          <cell r="B380">
            <v>16.188690000000001</v>
          </cell>
          <cell r="C380">
            <v>9.4734300000000005</v>
          </cell>
          <cell r="D380">
            <v>45.006870000000006</v>
          </cell>
          <cell r="E380">
            <v>3.6647999999999854</v>
          </cell>
          <cell r="F380">
            <v>15.144900000000007</v>
          </cell>
          <cell r="G380">
            <v>10.379509999999996</v>
          </cell>
          <cell r="H380">
            <v>29.109400000000008</v>
          </cell>
          <cell r="I380">
            <v>25.998339999999985</v>
          </cell>
          <cell r="J380">
            <v>16.729510000000005</v>
          </cell>
          <cell r="K380">
            <v>16.69786000000002</v>
          </cell>
          <cell r="L380">
            <v>305.86614999999995</v>
          </cell>
          <cell r="M380">
            <v>218.01689999999996</v>
          </cell>
        </row>
        <row r="381">
          <cell r="A381" t="str">
            <v>Consolidado31138123</v>
          </cell>
          <cell r="B381">
            <v>233.76526000000001</v>
          </cell>
          <cell r="C381">
            <v>209.95253000000002</v>
          </cell>
          <cell r="D381">
            <v>1740.0105599999997</v>
          </cell>
          <cell r="E381">
            <v>-1336.37619</v>
          </cell>
          <cell r="F381">
            <v>157.5275</v>
          </cell>
          <cell r="G381">
            <v>1789.8658399999999</v>
          </cell>
          <cell r="H381">
            <v>109.39917000000014</v>
          </cell>
          <cell r="I381">
            <v>104.53819999999951</v>
          </cell>
          <cell r="J381">
            <v>42.641650000000482</v>
          </cell>
          <cell r="K381">
            <v>118.64808999999968</v>
          </cell>
          <cell r="L381">
            <v>187.41405000000032</v>
          </cell>
          <cell r="M381">
            <v>71.330909999999676</v>
          </cell>
        </row>
        <row r="382">
          <cell r="A382" t="str">
            <v>Consolidado31138130</v>
          </cell>
          <cell r="B382">
            <v>1576.6711900000003</v>
          </cell>
          <cell r="C382">
            <v>2644.6141600000001</v>
          </cell>
          <cell r="D382">
            <v>3227.9069499999978</v>
          </cell>
          <cell r="E382">
            <v>2383.2988500000019</v>
          </cell>
          <cell r="F382">
            <v>2359.9979900000017</v>
          </cell>
          <cell r="G382">
            <v>2183.4090099999994</v>
          </cell>
          <cell r="H382">
            <v>2365.2175499999976</v>
          </cell>
          <cell r="I382">
            <v>2071.790219999999</v>
          </cell>
          <cell r="J382">
            <v>1706.3625800000045</v>
          </cell>
          <cell r="K382">
            <v>2429.8731699999953</v>
          </cell>
          <cell r="L382">
            <v>-1025.1435099999981</v>
          </cell>
          <cell r="M382">
            <v>1737.5734699999994</v>
          </cell>
        </row>
        <row r="383">
          <cell r="A383" t="str">
            <v>Consolidado31138132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19.272590000000001</v>
          </cell>
          <cell r="H383">
            <v>-19.272590000000001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Consolidado31138133</v>
          </cell>
          <cell r="B384">
            <v>1576.6711900000003</v>
          </cell>
          <cell r="C384">
            <v>2644.6141600000001</v>
          </cell>
          <cell r="D384">
            <v>3227.9069499999978</v>
          </cell>
          <cell r="E384">
            <v>2383.2988500000019</v>
          </cell>
          <cell r="F384">
            <v>2359.9979900000017</v>
          </cell>
          <cell r="G384">
            <v>2164.1364199999989</v>
          </cell>
          <cell r="H384">
            <v>2384.4901399999981</v>
          </cell>
          <cell r="I384">
            <v>2071.790219999999</v>
          </cell>
          <cell r="J384">
            <v>1706.3625800000045</v>
          </cell>
          <cell r="K384">
            <v>2429.8731699999953</v>
          </cell>
          <cell r="L384">
            <v>-1025.1435099999981</v>
          </cell>
          <cell r="M384">
            <v>1737.5734699999994</v>
          </cell>
        </row>
        <row r="385">
          <cell r="A385" t="str">
            <v>Consolidado31138300</v>
          </cell>
          <cell r="B385">
            <v>5395.9648700000007</v>
          </cell>
          <cell r="C385">
            <v>4821.8741800000016</v>
          </cell>
          <cell r="D385">
            <v>5207.6265099999982</v>
          </cell>
          <cell r="E385">
            <v>4359.1014900000009</v>
          </cell>
          <cell r="F385">
            <v>4747.6575100000009</v>
          </cell>
          <cell r="G385">
            <v>6204.0446400000037</v>
          </cell>
          <cell r="H385">
            <v>5174.6181699999979</v>
          </cell>
          <cell r="I385">
            <v>5313.5695799999958</v>
          </cell>
          <cell r="J385">
            <v>25709.792869999997</v>
          </cell>
          <cell r="K385">
            <v>-630.09348999999929</v>
          </cell>
          <cell r="L385">
            <v>3105.2850900000049</v>
          </cell>
          <cell r="M385">
            <v>9070.1868099999992</v>
          </cell>
        </row>
        <row r="386">
          <cell r="A386" t="str">
            <v>Consolidado31138310</v>
          </cell>
          <cell r="B386">
            <v>292.57974000000002</v>
          </cell>
          <cell r="C386">
            <v>381.99401999999998</v>
          </cell>
          <cell r="D386">
            <v>327.74330999999995</v>
          </cell>
          <cell r="E386">
            <v>283.21355000000005</v>
          </cell>
          <cell r="F386">
            <v>344.05219000000011</v>
          </cell>
          <cell r="G386">
            <v>1889.2080299999996</v>
          </cell>
          <cell r="H386">
            <v>-1572.5372399999997</v>
          </cell>
          <cell r="I386">
            <v>59.898879999999963</v>
          </cell>
          <cell r="J386">
            <v>8270.1368799999982</v>
          </cell>
          <cell r="K386">
            <v>-5981.0356699999993</v>
          </cell>
          <cell r="L386">
            <v>793.68978000000061</v>
          </cell>
          <cell r="M386">
            <v>-496.40357999999924</v>
          </cell>
        </row>
        <row r="387">
          <cell r="A387" t="str">
            <v>Consolidado31138312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1911.04945</v>
          </cell>
          <cell r="K387">
            <v>-1174.2634499999999</v>
          </cell>
          <cell r="L387">
            <v>-415.8036800000001</v>
          </cell>
          <cell r="M387">
            <v>-133.22797999999995</v>
          </cell>
        </row>
        <row r="388">
          <cell r="A388" t="str">
            <v>Consolidado31138313</v>
          </cell>
          <cell r="B388">
            <v>292.57974000000002</v>
          </cell>
          <cell r="C388">
            <v>381.99401999999998</v>
          </cell>
          <cell r="D388">
            <v>327.74330999999995</v>
          </cell>
          <cell r="E388">
            <v>283.21355000000005</v>
          </cell>
          <cell r="F388">
            <v>344.05219000000011</v>
          </cell>
          <cell r="G388">
            <v>1889.2080299999996</v>
          </cell>
          <cell r="H388">
            <v>-1572.5372399999997</v>
          </cell>
          <cell r="I388">
            <v>59.898879999999963</v>
          </cell>
          <cell r="J388">
            <v>6359.0874300000005</v>
          </cell>
          <cell r="K388">
            <v>-4806.7722200000007</v>
          </cell>
          <cell r="L388">
            <v>1209.4934600000015</v>
          </cell>
          <cell r="M388">
            <v>-363.17560000000049</v>
          </cell>
        </row>
        <row r="389">
          <cell r="A389" t="str">
            <v>Consolidado31138320</v>
          </cell>
          <cell r="B389">
            <v>3507.0200999999997</v>
          </cell>
          <cell r="C389">
            <v>3150.4509800000005</v>
          </cell>
          <cell r="D389">
            <v>3118.9878000000017</v>
          </cell>
          <cell r="E389">
            <v>3032.3137399999978</v>
          </cell>
          <cell r="F389">
            <v>3270.3843300000008</v>
          </cell>
          <cell r="G389">
            <v>2928.1811899999993</v>
          </cell>
          <cell r="H389">
            <v>4419.4919999999984</v>
          </cell>
          <cell r="I389">
            <v>4181.1250300000065</v>
          </cell>
          <cell r="J389">
            <v>14624.792509999996</v>
          </cell>
          <cell r="K389">
            <v>6459.8399099999951</v>
          </cell>
          <cell r="L389">
            <v>1179.2254300000059</v>
          </cell>
          <cell r="M389">
            <v>8955.7357199999969</v>
          </cell>
        </row>
        <row r="390">
          <cell r="A390" t="str">
            <v>Consolidado31138322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792.86041</v>
          </cell>
          <cell r="K390">
            <v>-395.90102000000002</v>
          </cell>
          <cell r="L390">
            <v>-208.00736000000001</v>
          </cell>
          <cell r="M390">
            <v>-52.300559999999962</v>
          </cell>
        </row>
        <row r="391">
          <cell r="A391" t="str">
            <v>Consolidado31138323</v>
          </cell>
          <cell r="B391">
            <v>3507.0200999999997</v>
          </cell>
          <cell r="C391">
            <v>3150.4509800000005</v>
          </cell>
          <cell r="D391">
            <v>3118.9878000000017</v>
          </cell>
          <cell r="E391">
            <v>3032.3137399999978</v>
          </cell>
          <cell r="F391">
            <v>3270.3843300000008</v>
          </cell>
          <cell r="G391">
            <v>2928.1811899999993</v>
          </cell>
          <cell r="H391">
            <v>4419.4919999999984</v>
          </cell>
          <cell r="I391">
            <v>4181.1250300000065</v>
          </cell>
          <cell r="J391">
            <v>13831.932100000002</v>
          </cell>
          <cell r="K391">
            <v>6855.7409299999927</v>
          </cell>
          <cell r="L391">
            <v>1387.2327900000018</v>
          </cell>
          <cell r="M391">
            <v>9008.0362800000003</v>
          </cell>
        </row>
        <row r="392">
          <cell r="A392" t="str">
            <v>Consolidado31138330</v>
          </cell>
          <cell r="B392">
            <v>1467.6013499999999</v>
          </cell>
          <cell r="C392">
            <v>1187.2874199999997</v>
          </cell>
          <cell r="D392">
            <v>1648.7094600000009</v>
          </cell>
          <cell r="E392">
            <v>946.63068999999905</v>
          </cell>
          <cell r="F392">
            <v>1015.4525200000007</v>
          </cell>
          <cell r="G392">
            <v>1365.91399</v>
          </cell>
          <cell r="H392">
            <v>2322.9984100000011</v>
          </cell>
          <cell r="I392">
            <v>1053.5011799999975</v>
          </cell>
          <cell r="J392">
            <v>-564.09117999999944</v>
          </cell>
          <cell r="K392">
            <v>1396.7711900000013</v>
          </cell>
          <cell r="L392">
            <v>886.24673000000075</v>
          </cell>
          <cell r="M392">
            <v>817.44866999999977</v>
          </cell>
        </row>
        <row r="393">
          <cell r="A393" t="str">
            <v>Consolidado31138333</v>
          </cell>
          <cell r="B393">
            <v>1467.6013499999999</v>
          </cell>
          <cell r="C393">
            <v>1187.2874199999997</v>
          </cell>
          <cell r="D393">
            <v>1648.7094600000009</v>
          </cell>
          <cell r="E393">
            <v>946.63068999999905</v>
          </cell>
          <cell r="F393">
            <v>1015.4525200000007</v>
          </cell>
          <cell r="G393">
            <v>1365.91399</v>
          </cell>
          <cell r="H393">
            <v>2322.9984100000011</v>
          </cell>
          <cell r="I393">
            <v>1053.5011799999975</v>
          </cell>
          <cell r="J393">
            <v>-564.09117999999944</v>
          </cell>
          <cell r="K393">
            <v>1396.7711900000013</v>
          </cell>
          <cell r="L393">
            <v>886.24673000000075</v>
          </cell>
          <cell r="M393">
            <v>817.44866999999977</v>
          </cell>
        </row>
        <row r="394">
          <cell r="A394" t="str">
            <v>Consolidado31138340</v>
          </cell>
          <cell r="B394">
            <v>128.76367999999999</v>
          </cell>
          <cell r="C394">
            <v>102.14176</v>
          </cell>
          <cell r="D394">
            <v>112.18594000000002</v>
          </cell>
          <cell r="E394">
            <v>96.943510000000003</v>
          </cell>
          <cell r="F394">
            <v>117.76846999999998</v>
          </cell>
          <cell r="G394">
            <v>20.741430000000037</v>
          </cell>
          <cell r="H394">
            <v>4.6649999999999636</v>
          </cell>
          <cell r="I394">
            <v>19.044489999999996</v>
          </cell>
          <cell r="J394">
            <v>3378.9546600000008</v>
          </cell>
          <cell r="K394">
            <v>-2505.668920000001</v>
          </cell>
          <cell r="L394">
            <v>246.1231499999999</v>
          </cell>
          <cell r="M394">
            <v>-206.5939999999996</v>
          </cell>
        </row>
        <row r="395">
          <cell r="A395" t="str">
            <v>Consolidado31138342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616.19950000000006</v>
          </cell>
          <cell r="K395">
            <v>-372.64267000000007</v>
          </cell>
          <cell r="L395">
            <v>-135.07437000000002</v>
          </cell>
          <cell r="M395">
            <v>-21.91413</v>
          </cell>
        </row>
        <row r="396">
          <cell r="A396" t="str">
            <v>Consolidado31138343</v>
          </cell>
          <cell r="B396">
            <v>128.76367999999999</v>
          </cell>
          <cell r="C396">
            <v>102.14176</v>
          </cell>
          <cell r="D396">
            <v>112.18594000000002</v>
          </cell>
          <cell r="E396">
            <v>96.943510000000003</v>
          </cell>
          <cell r="F396">
            <v>117.76846999999998</v>
          </cell>
          <cell r="G396">
            <v>20.741430000000037</v>
          </cell>
          <cell r="H396">
            <v>4.6649999999999636</v>
          </cell>
          <cell r="I396">
            <v>19.044489999999996</v>
          </cell>
          <cell r="J396">
            <v>2762.7551600000002</v>
          </cell>
          <cell r="K396">
            <v>-2133.0262500000003</v>
          </cell>
          <cell r="L396">
            <v>381.19752000000017</v>
          </cell>
          <cell r="M396">
            <v>-184.67986999999994</v>
          </cell>
        </row>
        <row r="397">
          <cell r="A397" t="str">
            <v>Consolidado31144300</v>
          </cell>
          <cell r="B397">
            <v>242.43836999999999</v>
          </cell>
          <cell r="C397">
            <v>238.6464</v>
          </cell>
          <cell r="D397">
            <v>841.22470000000021</v>
          </cell>
          <cell r="E397">
            <v>241.84019999999987</v>
          </cell>
          <cell r="F397">
            <v>239.19391000000019</v>
          </cell>
          <cell r="G397">
            <v>245.79401000000007</v>
          </cell>
          <cell r="H397">
            <v>461.63940999999977</v>
          </cell>
          <cell r="I397">
            <v>681.55292999999983</v>
          </cell>
          <cell r="J397">
            <v>1081.1676400000006</v>
          </cell>
          <cell r="K397">
            <v>2106.9936299999999</v>
          </cell>
          <cell r="L397">
            <v>3270.9449199999999</v>
          </cell>
          <cell r="M397">
            <v>4045.1155099999996</v>
          </cell>
        </row>
        <row r="398">
          <cell r="A398" t="str">
            <v>Consolidado41111320</v>
          </cell>
          <cell r="B398">
            <v>69189.331869999995</v>
          </cell>
          <cell r="C398">
            <v>64324.483040000021</v>
          </cell>
          <cell r="D398">
            <v>66776.372730000003</v>
          </cell>
          <cell r="E398">
            <v>67720.63460999995</v>
          </cell>
          <cell r="F398">
            <v>71963.331240000029</v>
          </cell>
          <cell r="G398">
            <v>74380.853460000013</v>
          </cell>
          <cell r="H398">
            <v>56379.796299999987</v>
          </cell>
          <cell r="I398">
            <v>64595.747319999966</v>
          </cell>
          <cell r="J398">
            <v>76699.571950000012</v>
          </cell>
          <cell r="K398">
            <v>59104.068460000213</v>
          </cell>
          <cell r="L398">
            <v>59507.405569999828</v>
          </cell>
          <cell r="M398">
            <v>56513.877870000084</v>
          </cell>
        </row>
        <row r="399">
          <cell r="A399" t="str">
            <v>Consolidado41111323</v>
          </cell>
          <cell r="B399">
            <v>41.7956</v>
          </cell>
          <cell r="C399">
            <v>41.047720000000005</v>
          </cell>
          <cell r="D399">
            <v>54.945069999999987</v>
          </cell>
          <cell r="E399">
            <v>55.490560000000016</v>
          </cell>
          <cell r="F399">
            <v>70.443379999999991</v>
          </cell>
          <cell r="G399">
            <v>60.705939999999941</v>
          </cell>
          <cell r="H399">
            <v>25.67270000000002</v>
          </cell>
          <cell r="I399">
            <v>35.353870000000029</v>
          </cell>
          <cell r="J399">
            <v>45.696150000000046</v>
          </cell>
          <cell r="K399">
            <v>29.402289999999937</v>
          </cell>
          <cell r="L399">
            <v>35.672970000000021</v>
          </cell>
          <cell r="M399">
            <v>25.450419999999951</v>
          </cell>
        </row>
        <row r="400">
          <cell r="A400" t="str">
            <v>Consolidado41111324</v>
          </cell>
          <cell r="B400">
            <v>2904.88355</v>
          </cell>
          <cell r="C400">
            <v>2699.3331600000006</v>
          </cell>
          <cell r="D400">
            <v>2357.8248600000006</v>
          </cell>
          <cell r="E400">
            <v>3138.9158099999986</v>
          </cell>
          <cell r="F400">
            <v>3594.5728600000002</v>
          </cell>
          <cell r="G400">
            <v>4346.6319399999993</v>
          </cell>
          <cell r="H400">
            <v>2193.3606400000026</v>
          </cell>
          <cell r="I400">
            <v>2760.8719899999996</v>
          </cell>
          <cell r="J400">
            <v>6559.0922199999986</v>
          </cell>
          <cell r="K400">
            <v>3952.0616400000035</v>
          </cell>
          <cell r="L400">
            <v>5027.1461899999995</v>
          </cell>
          <cell r="M400">
            <v>4954.504829999998</v>
          </cell>
        </row>
        <row r="401">
          <cell r="A401" t="str">
            <v>Consolidado41111325</v>
          </cell>
          <cell r="B401">
            <v>150.33160999999998</v>
          </cell>
          <cell r="C401">
            <v>-145.90378999999999</v>
          </cell>
          <cell r="D401">
            <v>5.4272099999999988</v>
          </cell>
          <cell r="E401">
            <v>1.1116400000000013</v>
          </cell>
          <cell r="F401">
            <v>1.5747599999999995</v>
          </cell>
          <cell r="G401">
            <v>0.96364999999999945</v>
          </cell>
          <cell r="H401">
            <v>1.2974300000000003</v>
          </cell>
          <cell r="I401">
            <v>1.9972300000000001</v>
          </cell>
          <cell r="J401">
            <v>3.214109999999998</v>
          </cell>
          <cell r="K401">
            <v>1.1359400000000015</v>
          </cell>
          <cell r="L401">
            <v>1.0410399999999989</v>
          </cell>
          <cell r="M401">
            <v>0.73873000000000033</v>
          </cell>
        </row>
        <row r="402">
          <cell r="A402" t="str">
            <v>Consolidado41111330</v>
          </cell>
          <cell r="B402">
            <v>1922.01305</v>
          </cell>
          <cell r="C402">
            <v>1728.9321199999995</v>
          </cell>
          <cell r="D402">
            <v>-1444.3927199999994</v>
          </cell>
          <cell r="E402">
            <v>2374.4188899999999</v>
          </cell>
          <cell r="F402">
            <v>199.95474999999988</v>
          </cell>
          <cell r="G402">
            <v>120.71892000000025</v>
          </cell>
          <cell r="H402">
            <v>23366.951590000001</v>
          </cell>
          <cell r="I402">
            <v>24599.721070000003</v>
          </cell>
          <cell r="J402">
            <v>30019.543669999985</v>
          </cell>
          <cell r="K402">
            <v>27422.429590000014</v>
          </cell>
          <cell r="L402">
            <v>24552.790999999983</v>
          </cell>
          <cell r="M402">
            <v>23858.433730000019</v>
          </cell>
        </row>
        <row r="403">
          <cell r="A403" t="str">
            <v>Consolidado41111333</v>
          </cell>
          <cell r="B403">
            <v>1010.9059500000001</v>
          </cell>
          <cell r="C403">
            <v>940.35074000000009</v>
          </cell>
          <cell r="D403">
            <v>-1947.2414300000003</v>
          </cell>
          <cell r="E403">
            <v>-3.6618999999999997</v>
          </cell>
          <cell r="F403">
            <v>3.5760000000000014E-2</v>
          </cell>
          <cell r="G403">
            <v>-0.20771000000000003</v>
          </cell>
          <cell r="H403">
            <v>1.95004</v>
          </cell>
          <cell r="I403">
            <v>4.1011800000000003</v>
          </cell>
          <cell r="J403">
            <v>4.9359199999999994</v>
          </cell>
          <cell r="K403">
            <v>3.8451199999999996</v>
          </cell>
          <cell r="L403">
            <v>3.435789999999999</v>
          </cell>
          <cell r="M403">
            <v>1.7779700000000034</v>
          </cell>
        </row>
        <row r="404">
          <cell r="A404" t="str">
            <v>Consolidado41111334</v>
          </cell>
          <cell r="B404">
            <v>366.29703999999998</v>
          </cell>
          <cell r="C404">
            <v>344.29455000000002</v>
          </cell>
          <cell r="D404">
            <v>571.67466999999988</v>
          </cell>
          <cell r="E404">
            <v>595.8786399999999</v>
          </cell>
          <cell r="F404">
            <v>548.5942</v>
          </cell>
          <cell r="G404">
            <v>543.74744000000055</v>
          </cell>
          <cell r="H404">
            <v>480.73590999999988</v>
          </cell>
          <cell r="I404">
            <v>897.5971699999991</v>
          </cell>
          <cell r="J404">
            <v>10612.572209999998</v>
          </cell>
          <cell r="K404">
            <v>5196.1541900000029</v>
          </cell>
          <cell r="L404">
            <v>3576.8917900000015</v>
          </cell>
          <cell r="M404">
            <v>5768.3812899999975</v>
          </cell>
        </row>
        <row r="405">
          <cell r="A405" t="str">
            <v>Consolidado41111335</v>
          </cell>
          <cell r="B405">
            <v>0</v>
          </cell>
          <cell r="C405">
            <v>3.3948100000000001</v>
          </cell>
          <cell r="D405">
            <v>-3.3948100000000001</v>
          </cell>
          <cell r="E405">
            <v>0.68779999999999997</v>
          </cell>
          <cell r="F405">
            <v>8.1700000000000106E-3</v>
          </cell>
          <cell r="G405">
            <v>5.8300000000000018E-3</v>
          </cell>
          <cell r="H405">
            <v>3.8628100000000001</v>
          </cell>
          <cell r="I405">
            <v>4.7277500000000003</v>
          </cell>
          <cell r="J405">
            <v>7.1386999999999983</v>
          </cell>
          <cell r="K405">
            <v>1.1526700000000005</v>
          </cell>
          <cell r="L405">
            <v>-0.1104699999999994</v>
          </cell>
          <cell r="M405">
            <v>-1.8999999999991246E-4</v>
          </cell>
        </row>
        <row r="65473">
          <cell r="A65473">
            <v>0</v>
          </cell>
          <cell r="B65473">
            <v>0</v>
          </cell>
          <cell r="C65473">
            <v>0</v>
          </cell>
          <cell r="D65473">
            <v>0</v>
          </cell>
          <cell r="E65473">
            <v>0</v>
          </cell>
          <cell r="F65473">
            <v>0</v>
          </cell>
          <cell r="G65473">
            <v>0</v>
          </cell>
          <cell r="H65473">
            <v>0</v>
          </cell>
          <cell r="I65473">
            <v>0</v>
          </cell>
          <cell r="J65473">
            <v>0</v>
          </cell>
          <cell r="K65473">
            <v>0</v>
          </cell>
          <cell r="L65473">
            <v>0</v>
          </cell>
          <cell r="M65473">
            <v>0</v>
          </cell>
        </row>
      </sheetData>
      <sheetData sheetId="24" refreshError="1">
        <row r="1">
          <cell r="A1" t="str">
            <v>Teleamazon</v>
          </cell>
          <cell r="B1" t="str">
            <v>CE</v>
          </cell>
          <cell r="C1" t="str">
            <v>Teleamazon</v>
          </cell>
        </row>
        <row r="2">
          <cell r="A2" t="str">
            <v>Telamazon</v>
          </cell>
          <cell r="B2" t="str">
            <v>CE</v>
          </cell>
          <cell r="C2" t="str">
            <v>Teleamazon</v>
          </cell>
        </row>
        <row r="3">
          <cell r="A3" t="str">
            <v>Telaima</v>
          </cell>
          <cell r="B3" t="str">
            <v>CE</v>
          </cell>
          <cell r="C3" t="str">
            <v>Telaima</v>
          </cell>
        </row>
        <row r="4">
          <cell r="A4" t="str">
            <v>Telepara</v>
          </cell>
          <cell r="B4" t="str">
            <v>CE</v>
          </cell>
          <cell r="C4" t="str">
            <v>Telepara</v>
          </cell>
        </row>
        <row r="5">
          <cell r="A5" t="str">
            <v>Telepará</v>
          </cell>
          <cell r="B5" t="str">
            <v>CE</v>
          </cell>
          <cell r="C5" t="str">
            <v>Telepara</v>
          </cell>
        </row>
        <row r="6">
          <cell r="A6" t="str">
            <v>Teleamapa</v>
          </cell>
          <cell r="B6" t="str">
            <v>CE</v>
          </cell>
          <cell r="C6" t="str">
            <v>Teleamapa</v>
          </cell>
        </row>
        <row r="7">
          <cell r="A7" t="str">
            <v>Teleamapá</v>
          </cell>
          <cell r="B7" t="str">
            <v>CE</v>
          </cell>
          <cell r="C7" t="str">
            <v>Teleamapa</v>
          </cell>
        </row>
        <row r="8">
          <cell r="A8" t="str">
            <v>Telma</v>
          </cell>
          <cell r="B8" t="str">
            <v>CE</v>
          </cell>
          <cell r="C8" t="str">
            <v>Telma</v>
          </cell>
        </row>
        <row r="9">
          <cell r="A9" t="str">
            <v>Telepisa</v>
          </cell>
          <cell r="B9" t="str">
            <v>CE</v>
          </cell>
          <cell r="C9" t="str">
            <v>Telepisa</v>
          </cell>
        </row>
        <row r="10">
          <cell r="A10" t="str">
            <v>Teleceara</v>
          </cell>
          <cell r="B10" t="str">
            <v>CE</v>
          </cell>
          <cell r="C10" t="str">
            <v>Teleceara</v>
          </cell>
        </row>
        <row r="11">
          <cell r="A11" t="str">
            <v>Teleceará</v>
          </cell>
          <cell r="B11" t="str">
            <v>CE</v>
          </cell>
          <cell r="C11" t="str">
            <v>Teleceara</v>
          </cell>
        </row>
        <row r="12">
          <cell r="A12" t="str">
            <v>Telern</v>
          </cell>
          <cell r="B12" t="str">
            <v>PE</v>
          </cell>
          <cell r="C12" t="str">
            <v>Telern</v>
          </cell>
        </row>
        <row r="13">
          <cell r="A13" t="str">
            <v>Telpa</v>
          </cell>
          <cell r="B13" t="str">
            <v>PE</v>
          </cell>
          <cell r="C13" t="str">
            <v>Telpa</v>
          </cell>
        </row>
        <row r="14">
          <cell r="A14" t="str">
            <v>Telpe</v>
          </cell>
          <cell r="B14" t="str">
            <v>PE</v>
          </cell>
          <cell r="C14" t="str">
            <v>Telpe</v>
          </cell>
        </row>
        <row r="15">
          <cell r="A15" t="str">
            <v>Telasa</v>
          </cell>
          <cell r="B15" t="str">
            <v>BA</v>
          </cell>
          <cell r="C15" t="str">
            <v>Telasa</v>
          </cell>
        </row>
        <row r="16">
          <cell r="A16" t="str">
            <v>Telergipe</v>
          </cell>
          <cell r="B16" t="str">
            <v>BA</v>
          </cell>
          <cell r="C16" t="str">
            <v>Telergipe</v>
          </cell>
        </row>
        <row r="17">
          <cell r="A17" t="str">
            <v>Telebahia</v>
          </cell>
          <cell r="B17" t="str">
            <v>BA</v>
          </cell>
          <cell r="C17" t="str">
            <v>Telebahia</v>
          </cell>
        </row>
        <row r="18">
          <cell r="A18" t="str">
            <v>Telemig</v>
          </cell>
          <cell r="B18" t="str">
            <v>MG</v>
          </cell>
          <cell r="C18" t="str">
            <v>Telemig</v>
          </cell>
        </row>
        <row r="19">
          <cell r="A19" t="str">
            <v>Telest</v>
          </cell>
          <cell r="B19" t="str">
            <v>MG</v>
          </cell>
          <cell r="C19" t="str">
            <v>Telest</v>
          </cell>
        </row>
        <row r="20">
          <cell r="A20" t="str">
            <v>Teleste</v>
          </cell>
          <cell r="B20" t="str">
            <v>MG</v>
          </cell>
          <cell r="C20" t="str">
            <v>Telest</v>
          </cell>
        </row>
        <row r="21">
          <cell r="A21" t="str">
            <v>Telerj</v>
          </cell>
          <cell r="B21" t="str">
            <v>RJ</v>
          </cell>
          <cell r="C21" t="str">
            <v>Telerj</v>
          </cell>
        </row>
        <row r="22">
          <cell r="A22" t="str">
            <v>TELEMAR - AM</v>
          </cell>
          <cell r="B22" t="str">
            <v>CE</v>
          </cell>
          <cell r="C22" t="str">
            <v>Teleamazon</v>
          </cell>
        </row>
        <row r="23">
          <cell r="A23" t="str">
            <v>TELEMAR - RR</v>
          </cell>
          <cell r="B23" t="str">
            <v>CE</v>
          </cell>
          <cell r="C23" t="str">
            <v>Telaima</v>
          </cell>
        </row>
        <row r="24">
          <cell r="A24" t="str">
            <v>TELEMAR - PA</v>
          </cell>
          <cell r="B24" t="str">
            <v>CE</v>
          </cell>
          <cell r="C24" t="str">
            <v>Telepara</v>
          </cell>
        </row>
        <row r="25">
          <cell r="A25" t="str">
            <v>TELEMAR - AP</v>
          </cell>
          <cell r="B25" t="str">
            <v>CE</v>
          </cell>
          <cell r="C25" t="str">
            <v>Teleamapa</v>
          </cell>
        </row>
        <row r="26">
          <cell r="A26" t="str">
            <v>TELEMAR - MA</v>
          </cell>
          <cell r="B26" t="str">
            <v>CE</v>
          </cell>
          <cell r="C26" t="str">
            <v>Telma</v>
          </cell>
        </row>
        <row r="27">
          <cell r="A27" t="str">
            <v>TELEMAR - PI</v>
          </cell>
          <cell r="B27" t="str">
            <v>CE</v>
          </cell>
          <cell r="C27" t="str">
            <v>Telepisa</v>
          </cell>
        </row>
        <row r="28">
          <cell r="A28" t="str">
            <v>TELEMAR - CE</v>
          </cell>
          <cell r="B28" t="str">
            <v>CE</v>
          </cell>
          <cell r="C28" t="str">
            <v>Teleceara</v>
          </cell>
        </row>
        <row r="29">
          <cell r="A29" t="str">
            <v>TELEMAR - RN</v>
          </cell>
          <cell r="B29" t="str">
            <v>PE</v>
          </cell>
          <cell r="C29" t="str">
            <v>Telern</v>
          </cell>
        </row>
        <row r="30">
          <cell r="A30" t="str">
            <v>TELEMAR - PB</v>
          </cell>
          <cell r="B30" t="str">
            <v>PE</v>
          </cell>
          <cell r="C30" t="str">
            <v>Telpa</v>
          </cell>
        </row>
        <row r="31">
          <cell r="A31" t="str">
            <v>TELEMAR - PE</v>
          </cell>
          <cell r="B31" t="str">
            <v>PE</v>
          </cell>
          <cell r="C31" t="str">
            <v>Telpe</v>
          </cell>
        </row>
        <row r="32">
          <cell r="A32" t="str">
            <v>TELEMAR - AL</v>
          </cell>
          <cell r="B32" t="str">
            <v>BA</v>
          </cell>
          <cell r="C32" t="str">
            <v>Telasa</v>
          </cell>
        </row>
        <row r="33">
          <cell r="A33" t="str">
            <v>TELEMAR - SE</v>
          </cell>
          <cell r="B33" t="str">
            <v>BA</v>
          </cell>
          <cell r="C33" t="str">
            <v>Telergipe</v>
          </cell>
        </row>
        <row r="34">
          <cell r="A34" t="str">
            <v>TELEMAR - BA</v>
          </cell>
          <cell r="B34" t="str">
            <v>BA</v>
          </cell>
          <cell r="C34" t="str">
            <v>Telebahia</v>
          </cell>
        </row>
        <row r="35">
          <cell r="A35" t="str">
            <v>TELEMAR - MG</v>
          </cell>
          <cell r="B35" t="str">
            <v>MG</v>
          </cell>
          <cell r="C35" t="str">
            <v>Telemig</v>
          </cell>
        </row>
        <row r="36">
          <cell r="A36" t="str">
            <v>TELEMAR - ES</v>
          </cell>
          <cell r="B36" t="str">
            <v>MG</v>
          </cell>
          <cell r="C36" t="str">
            <v>Telest</v>
          </cell>
        </row>
        <row r="37">
          <cell r="A37" t="str">
            <v>TELEMAR - RJ</v>
          </cell>
          <cell r="B37" t="str">
            <v>RJ</v>
          </cell>
          <cell r="C37" t="str">
            <v>Telerj</v>
          </cell>
        </row>
        <row r="38">
          <cell r="A38" t="str">
            <v>TELEMAR-AM</v>
          </cell>
          <cell r="B38" t="str">
            <v>CE</v>
          </cell>
          <cell r="C38" t="str">
            <v>Teleamazon</v>
          </cell>
        </row>
        <row r="39">
          <cell r="A39" t="str">
            <v>TELEMAR-RR</v>
          </cell>
          <cell r="B39" t="str">
            <v>CE</v>
          </cell>
          <cell r="C39" t="str">
            <v>Telaima</v>
          </cell>
        </row>
        <row r="40">
          <cell r="A40" t="str">
            <v>TELEMAR-PA</v>
          </cell>
          <cell r="B40" t="str">
            <v>CE</v>
          </cell>
          <cell r="C40" t="str">
            <v>Telepara</v>
          </cell>
        </row>
        <row r="41">
          <cell r="A41" t="str">
            <v>TELEMAR-AP</v>
          </cell>
          <cell r="B41" t="str">
            <v>CE</v>
          </cell>
          <cell r="C41" t="str">
            <v>Teleamapa</v>
          </cell>
        </row>
        <row r="42">
          <cell r="A42" t="str">
            <v>TELEMAR-MA</v>
          </cell>
          <cell r="B42" t="str">
            <v>CE</v>
          </cell>
          <cell r="C42" t="str">
            <v>Telma</v>
          </cell>
        </row>
        <row r="43">
          <cell r="A43" t="str">
            <v>TELEMAR-PI</v>
          </cell>
          <cell r="B43" t="str">
            <v>CE</v>
          </cell>
          <cell r="C43" t="str">
            <v>Telepisa</v>
          </cell>
        </row>
        <row r="44">
          <cell r="A44" t="str">
            <v>TELEMAR-CE</v>
          </cell>
          <cell r="B44" t="str">
            <v>CE</v>
          </cell>
          <cell r="C44" t="str">
            <v>Teleceara</v>
          </cell>
        </row>
        <row r="45">
          <cell r="A45" t="str">
            <v>TELEMAR-RN</v>
          </cell>
          <cell r="B45" t="str">
            <v>PE</v>
          </cell>
          <cell r="C45" t="str">
            <v>Telern</v>
          </cell>
        </row>
        <row r="46">
          <cell r="A46" t="str">
            <v>TELEMAR-PB</v>
          </cell>
          <cell r="B46" t="str">
            <v>PE</v>
          </cell>
          <cell r="C46" t="str">
            <v>Telpa</v>
          </cell>
        </row>
        <row r="47">
          <cell r="A47" t="str">
            <v>TELEMAR-PE</v>
          </cell>
          <cell r="B47" t="str">
            <v>PE</v>
          </cell>
          <cell r="C47" t="str">
            <v>Telpe</v>
          </cell>
        </row>
        <row r="48">
          <cell r="A48" t="str">
            <v>TELEMAR-AL</v>
          </cell>
          <cell r="B48" t="str">
            <v>BA</v>
          </cell>
          <cell r="C48" t="str">
            <v>Telasa</v>
          </cell>
        </row>
        <row r="49">
          <cell r="A49" t="str">
            <v>TELEMAR-SE</v>
          </cell>
          <cell r="B49" t="str">
            <v>BA</v>
          </cell>
          <cell r="C49" t="str">
            <v>Telergipe</v>
          </cell>
        </row>
        <row r="50">
          <cell r="A50" t="str">
            <v>TELEMAR-BA</v>
          </cell>
          <cell r="B50" t="str">
            <v>BA</v>
          </cell>
          <cell r="C50" t="str">
            <v>Telebahia</v>
          </cell>
        </row>
        <row r="51">
          <cell r="A51" t="str">
            <v>TELEMAR-MG</v>
          </cell>
          <cell r="B51" t="str">
            <v>MG</v>
          </cell>
          <cell r="C51" t="str">
            <v>Telemig</v>
          </cell>
        </row>
        <row r="52">
          <cell r="A52" t="str">
            <v>TELEMAR-ES</v>
          </cell>
          <cell r="B52" t="str">
            <v>MG</v>
          </cell>
          <cell r="C52" t="str">
            <v>Telest</v>
          </cell>
        </row>
        <row r="53">
          <cell r="A53" t="str">
            <v>TELEMAR-RJ</v>
          </cell>
          <cell r="B53" t="str">
            <v>RJ</v>
          </cell>
          <cell r="C53" t="str">
            <v>Telerj</v>
          </cell>
        </row>
        <row r="54">
          <cell r="A54" t="str">
            <v>AM</v>
          </cell>
          <cell r="B54" t="str">
            <v>CE</v>
          </cell>
          <cell r="C54" t="str">
            <v>Teleamazon</v>
          </cell>
        </row>
        <row r="55">
          <cell r="A55" t="str">
            <v>RR</v>
          </cell>
          <cell r="B55" t="str">
            <v>CE</v>
          </cell>
          <cell r="C55" t="str">
            <v>Telaima</v>
          </cell>
        </row>
        <row r="56">
          <cell r="A56" t="str">
            <v>PA</v>
          </cell>
          <cell r="B56" t="str">
            <v>CE</v>
          </cell>
          <cell r="C56" t="str">
            <v>Telepara</v>
          </cell>
        </row>
        <row r="57">
          <cell r="A57" t="str">
            <v>AP</v>
          </cell>
          <cell r="B57" t="str">
            <v>CE</v>
          </cell>
          <cell r="C57" t="str">
            <v>Teleamapa</v>
          </cell>
        </row>
        <row r="58">
          <cell r="A58" t="str">
            <v>MA</v>
          </cell>
          <cell r="B58" t="str">
            <v>CE</v>
          </cell>
          <cell r="C58" t="str">
            <v>Telma</v>
          </cell>
        </row>
        <row r="59">
          <cell r="A59" t="str">
            <v>PI</v>
          </cell>
          <cell r="B59" t="str">
            <v>CE</v>
          </cell>
          <cell r="C59" t="str">
            <v>Telepisa</v>
          </cell>
        </row>
        <row r="60">
          <cell r="A60" t="str">
            <v>CE</v>
          </cell>
          <cell r="B60" t="str">
            <v>CE</v>
          </cell>
          <cell r="C60" t="str">
            <v>Teleceara</v>
          </cell>
        </row>
        <row r="61">
          <cell r="A61" t="str">
            <v>RN</v>
          </cell>
          <cell r="B61" t="str">
            <v>PE</v>
          </cell>
          <cell r="C61" t="str">
            <v>Telern</v>
          </cell>
        </row>
        <row r="62">
          <cell r="A62" t="str">
            <v>PB</v>
          </cell>
          <cell r="B62" t="str">
            <v>PE</v>
          </cell>
          <cell r="C62" t="str">
            <v>Telpa</v>
          </cell>
        </row>
        <row r="63">
          <cell r="A63" t="str">
            <v>PE</v>
          </cell>
          <cell r="B63" t="str">
            <v>PE</v>
          </cell>
          <cell r="C63" t="str">
            <v>Telpe</v>
          </cell>
        </row>
        <row r="64">
          <cell r="A64" t="str">
            <v>AL</v>
          </cell>
          <cell r="B64" t="str">
            <v>BA</v>
          </cell>
          <cell r="C64" t="str">
            <v>Telasa</v>
          </cell>
        </row>
        <row r="65">
          <cell r="A65" t="str">
            <v>SE</v>
          </cell>
          <cell r="B65" t="str">
            <v>BA</v>
          </cell>
          <cell r="C65" t="str">
            <v>Telergipe</v>
          </cell>
        </row>
        <row r="66">
          <cell r="A66" t="str">
            <v>BA</v>
          </cell>
          <cell r="B66" t="str">
            <v>BA</v>
          </cell>
          <cell r="C66" t="str">
            <v>Telebahia</v>
          </cell>
        </row>
        <row r="67">
          <cell r="A67" t="str">
            <v>MG</v>
          </cell>
          <cell r="B67" t="str">
            <v>MG</v>
          </cell>
          <cell r="C67" t="str">
            <v>Telemig</v>
          </cell>
        </row>
        <row r="68">
          <cell r="A68" t="str">
            <v>ES</v>
          </cell>
          <cell r="B68" t="str">
            <v>MG</v>
          </cell>
          <cell r="C68" t="str">
            <v>Telest</v>
          </cell>
        </row>
        <row r="69">
          <cell r="A69" t="str">
            <v>RJ</v>
          </cell>
          <cell r="B69" t="str">
            <v>RJ</v>
          </cell>
          <cell r="C69" t="str">
            <v>Telerj</v>
          </cell>
        </row>
        <row r="70">
          <cell r="A70" t="str">
            <v>REGIONAL-MG</v>
          </cell>
          <cell r="C70" t="str">
            <v>Nucleo MG</v>
          </cell>
        </row>
        <row r="71">
          <cell r="A71" t="str">
            <v>REGIONAL-BA</v>
          </cell>
          <cell r="C71" t="str">
            <v>Nucleo BA</v>
          </cell>
        </row>
        <row r="72">
          <cell r="A72" t="str">
            <v>REGIONAL-PE</v>
          </cell>
          <cell r="C72" t="str">
            <v>Nucleo PE</v>
          </cell>
        </row>
        <row r="73">
          <cell r="A73" t="str">
            <v>REGIONAL-CE</v>
          </cell>
          <cell r="C73" t="str">
            <v>Nucleo CE</v>
          </cell>
        </row>
        <row r="74">
          <cell r="A74" t="str">
            <v>CONSOLIDADO</v>
          </cell>
          <cell r="C74" t="str">
            <v>Consolidado</v>
          </cell>
        </row>
      </sheetData>
      <sheetData sheetId="25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ese"/>
      <sheetName val="DemoRes"/>
      <sheetName val="DemoRes (2)"/>
      <sheetName val="RecLiqServ"/>
      <sheetName val="RecLiqServ (2)"/>
      <sheetName val="RecUni"/>
      <sheetName val="DetDemoRes"/>
      <sheetName val="DetDemoRes (2)"/>
      <sheetName val="Demanda"/>
      <sheetName val="PlanInvA"/>
      <sheetName val="PlanInvB"/>
      <sheetName val="PlaFin"/>
      <sheetName val="FluxCxaInd"/>
      <sheetName val="FluxCxa"/>
      <sheetName val="BalPat"/>
      <sheetName val="RecHum"/>
      <sheetName val="Sispec"/>
      <sheetName val="SispecPSAP"/>
      <sheetName val="Tabelas"/>
      <sheetName val="MêsBase"/>
      <sheetName val="Sispec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A1" t="str">
            <v>Chave</v>
          </cell>
          <cell r="B1" t="str">
            <v>01/01/00</v>
          </cell>
          <cell r="C1" t="str">
            <v>01/02/00</v>
          </cell>
          <cell r="D1" t="str">
            <v>01/03/00</v>
          </cell>
          <cell r="E1" t="str">
            <v>01/04/00</v>
          </cell>
          <cell r="F1" t="str">
            <v>01/05/00</v>
          </cell>
          <cell r="G1" t="str">
            <v>01/06/00</v>
          </cell>
        </row>
        <row r="2">
          <cell r="A2" t="str">
            <v>Empresa Polo141100011</v>
          </cell>
          <cell r="B2">
            <v>11481.906949600001</v>
          </cell>
          <cell r="C2">
            <v>11271.560682299998</v>
          </cell>
          <cell r="D2">
            <v>13016.989928100003</v>
          </cell>
          <cell r="E2">
            <v>12317.723839999999</v>
          </cell>
          <cell r="F2">
            <v>11166.735189999992</v>
          </cell>
          <cell r="G2">
            <v>11705.652779999997</v>
          </cell>
        </row>
        <row r="3">
          <cell r="A3" t="str">
            <v>Empresa Polo141100013</v>
          </cell>
          <cell r="B3">
            <v>890.17300460000001</v>
          </cell>
          <cell r="C3">
            <v>558.91992899999991</v>
          </cell>
          <cell r="D3">
            <v>1011.8063064000003</v>
          </cell>
          <cell r="E3">
            <v>1149.3918199999994</v>
          </cell>
          <cell r="F3">
            <v>2215.0618100000011</v>
          </cell>
          <cell r="G3">
            <v>1323.6560299999992</v>
          </cell>
        </row>
        <row r="4">
          <cell r="A4" t="str">
            <v>Empresa Polo141100014</v>
          </cell>
          <cell r="B4">
            <v>42.300134800000002</v>
          </cell>
          <cell r="C4">
            <v>42.975131499999996</v>
          </cell>
          <cell r="D4">
            <v>70.873033700000008</v>
          </cell>
          <cell r="E4">
            <v>75.373549999999994</v>
          </cell>
          <cell r="F4">
            <v>122.68118000000001</v>
          </cell>
          <cell r="G4">
            <v>68.972689999999943</v>
          </cell>
        </row>
        <row r="5">
          <cell r="A5" t="str">
            <v>Empresa Polo141100015</v>
          </cell>
          <cell r="B5">
            <v>977.48490579999998</v>
          </cell>
          <cell r="C5">
            <v>1345.8053227</v>
          </cell>
          <cell r="D5">
            <v>2217.0097915000006</v>
          </cell>
          <cell r="E5">
            <v>933.57241999999951</v>
          </cell>
          <cell r="F5">
            <v>1666.4883499999987</v>
          </cell>
          <cell r="G5">
            <v>807.47407000000112</v>
          </cell>
        </row>
        <row r="6">
          <cell r="A6" t="str">
            <v>Empresa Polo141100021</v>
          </cell>
          <cell r="B6">
            <v>6210.0735664000003</v>
          </cell>
          <cell r="C6">
            <v>4759.9938950000014</v>
          </cell>
          <cell r="D6">
            <v>5214.0919286000026</v>
          </cell>
          <cell r="E6">
            <v>4889.8438399999941</v>
          </cell>
          <cell r="F6">
            <v>2626.6789200000021</v>
          </cell>
          <cell r="G6">
            <v>4701.9248799999987</v>
          </cell>
        </row>
        <row r="7">
          <cell r="A7" t="str">
            <v>Empresa Polo141100022</v>
          </cell>
          <cell r="B7">
            <v>1169.7627576999998</v>
          </cell>
          <cell r="C7">
            <v>1074.8231334000002</v>
          </cell>
          <cell r="D7">
            <v>1475.8932989</v>
          </cell>
          <cell r="E7">
            <v>1816.7371600000006</v>
          </cell>
          <cell r="F7">
            <v>2690.7356400000008</v>
          </cell>
          <cell r="G7">
            <v>1198.8764699999992</v>
          </cell>
        </row>
        <row r="8">
          <cell r="A8" t="str">
            <v>Empresa Polo141100023</v>
          </cell>
          <cell r="B8">
            <v>1765.9230812000001</v>
          </cell>
          <cell r="C8">
            <v>1222.9864837999999</v>
          </cell>
          <cell r="D8">
            <v>2218.0277050000004</v>
          </cell>
          <cell r="E8">
            <v>1554.0895199999995</v>
          </cell>
          <cell r="F8">
            <v>2118.8597599999994</v>
          </cell>
          <cell r="G8">
            <v>1472.1469799999995</v>
          </cell>
        </row>
        <row r="9">
          <cell r="A9" t="str">
            <v>Empresa Polo141100024</v>
          </cell>
          <cell r="B9">
            <v>1170.3203364000001</v>
          </cell>
          <cell r="C9">
            <v>1140.8472961999996</v>
          </cell>
          <cell r="D9">
            <v>1032.6810774000005</v>
          </cell>
          <cell r="E9">
            <v>1188.8314799999998</v>
          </cell>
          <cell r="F9">
            <v>1585.12273</v>
          </cell>
          <cell r="G9">
            <v>1142.6124200000022</v>
          </cell>
        </row>
        <row r="10">
          <cell r="A10" t="str">
            <v>Empresa Polo141100031</v>
          </cell>
          <cell r="B10">
            <v>2453.1541389000004</v>
          </cell>
          <cell r="C10">
            <v>2686.2875460999994</v>
          </cell>
          <cell r="D10">
            <v>2012.7244450000007</v>
          </cell>
          <cell r="E10">
            <v>1692.744859999998</v>
          </cell>
          <cell r="F10">
            <v>1636.9572300000018</v>
          </cell>
          <cell r="G10">
            <v>1829.7209800000019</v>
          </cell>
        </row>
        <row r="11">
          <cell r="A11" t="str">
            <v>Empresa Polo141100032</v>
          </cell>
          <cell r="B11">
            <v>1204.9747311000001</v>
          </cell>
          <cell r="C11">
            <v>846.3147442999998</v>
          </cell>
          <cell r="D11">
            <v>786.17274459999999</v>
          </cell>
          <cell r="E11">
            <v>964.03208000000041</v>
          </cell>
          <cell r="F11">
            <v>1009.545979999999</v>
          </cell>
          <cell r="G11">
            <v>515.99049999999988</v>
          </cell>
        </row>
        <row r="12">
          <cell r="A12" t="str">
            <v>Empresa Polo141100050</v>
          </cell>
          <cell r="B12">
            <v>177.59183000000002</v>
          </cell>
          <cell r="C12">
            <v>318.16829999999999</v>
          </cell>
          <cell r="D12">
            <v>635.62440999999978</v>
          </cell>
          <cell r="E12">
            <v>37.940039999999954</v>
          </cell>
          <cell r="F12">
            <v>793.21111000000042</v>
          </cell>
          <cell r="G12">
            <v>825.35176999999999</v>
          </cell>
        </row>
        <row r="13">
          <cell r="A13" t="str">
            <v>Empresa Polo141100200</v>
          </cell>
          <cell r="B13">
            <v>1885.0848000000001</v>
          </cell>
          <cell r="C13">
            <v>2002.9245799999994</v>
          </cell>
          <cell r="D13">
            <v>1414.6345900000006</v>
          </cell>
          <cell r="E13">
            <v>1384.1800999999996</v>
          </cell>
          <cell r="F13">
            <v>1617.67551</v>
          </cell>
          <cell r="G13">
            <v>2212.1933800000006</v>
          </cell>
        </row>
        <row r="14">
          <cell r="A14" t="str">
            <v>Empresa Polo141100210</v>
          </cell>
          <cell r="B14">
            <v>253.19493999999997</v>
          </cell>
          <cell r="C14">
            <v>291.31199000000004</v>
          </cell>
          <cell r="D14">
            <v>224.53882999999996</v>
          </cell>
          <cell r="E14">
            <v>535.44229999999993</v>
          </cell>
          <cell r="F14">
            <v>326.69327999999996</v>
          </cell>
          <cell r="G14">
            <v>365.58230000000026</v>
          </cell>
        </row>
        <row r="15">
          <cell r="A15" t="str">
            <v>Empresa Polo141100220</v>
          </cell>
          <cell r="B15">
            <v>140.25214000000003</v>
          </cell>
          <cell r="C15">
            <v>138.93465999999998</v>
          </cell>
          <cell r="D15">
            <v>225.96228000000002</v>
          </cell>
          <cell r="E15">
            <v>200.46241999999995</v>
          </cell>
          <cell r="F15">
            <v>184.14971000000003</v>
          </cell>
          <cell r="G15">
            <v>193.3934999999999</v>
          </cell>
        </row>
        <row r="16">
          <cell r="A16" t="str">
            <v>Empresa Polo141100300</v>
          </cell>
          <cell r="B16">
            <v>929.55090999999993</v>
          </cell>
          <cell r="C16">
            <v>513.60866310000029</v>
          </cell>
          <cell r="D16">
            <v>1153.8122368999998</v>
          </cell>
          <cell r="E16">
            <v>753.2777900000001</v>
          </cell>
          <cell r="F16">
            <v>2076.5181300000004</v>
          </cell>
          <cell r="G16">
            <v>656.81617999999889</v>
          </cell>
        </row>
        <row r="17">
          <cell r="A17" t="str">
            <v>Empresa Polo141100310</v>
          </cell>
          <cell r="B17">
            <v>153.29721000000001</v>
          </cell>
          <cell r="C17">
            <v>284.21540420000002</v>
          </cell>
          <cell r="D17">
            <v>-99.876914200000044</v>
          </cell>
          <cell r="E17">
            <v>152.35766999999998</v>
          </cell>
          <cell r="F17">
            <v>-360.96017999999998</v>
          </cell>
          <cell r="G17">
            <v>99.758200000000016</v>
          </cell>
        </row>
        <row r="18">
          <cell r="A18" t="str">
            <v>Empresa Polo141100320</v>
          </cell>
          <cell r="B18">
            <v>64.911259999999999</v>
          </cell>
          <cell r="C18">
            <v>456.05317009999999</v>
          </cell>
          <cell r="D18">
            <v>134.51919989999999</v>
          </cell>
          <cell r="E18">
            <v>147.30675000000008</v>
          </cell>
          <cell r="F18">
            <v>152.97722999999985</v>
          </cell>
          <cell r="G18">
            <v>201.19855000000007</v>
          </cell>
        </row>
        <row r="19">
          <cell r="A19" t="str">
            <v>Empresa Polo141100330</v>
          </cell>
          <cell r="B19">
            <v>74.117450000000005</v>
          </cell>
          <cell r="C19">
            <v>111.21714259999997</v>
          </cell>
          <cell r="D19">
            <v>21.014807399999995</v>
          </cell>
          <cell r="E19">
            <v>71.384589999999974</v>
          </cell>
          <cell r="F19">
            <v>54.686170000000061</v>
          </cell>
          <cell r="G19">
            <v>77.162070000000085</v>
          </cell>
        </row>
        <row r="20">
          <cell r="A20" t="str">
            <v>Empresa Polo141100400</v>
          </cell>
          <cell r="B20">
            <v>332.52625</v>
          </cell>
          <cell r="C20">
            <v>439.14192000000003</v>
          </cell>
          <cell r="D20">
            <v>317.62688999999989</v>
          </cell>
          <cell r="E20">
            <v>170.71903999999995</v>
          </cell>
          <cell r="F20">
            <v>242.53550000000018</v>
          </cell>
          <cell r="G20">
            <v>235.21048999999971</v>
          </cell>
        </row>
        <row r="21">
          <cell r="A21" t="str">
            <v>Empresa Polo141100410</v>
          </cell>
          <cell r="B21">
            <v>30.268650000000001</v>
          </cell>
          <cell r="C21">
            <v>37.055720000000001</v>
          </cell>
          <cell r="D21">
            <v>30.417330000000007</v>
          </cell>
          <cell r="E21">
            <v>36.033100000000019</v>
          </cell>
          <cell r="F21">
            <v>43.835189999999955</v>
          </cell>
          <cell r="G21">
            <v>37.978800000000007</v>
          </cell>
        </row>
        <row r="22">
          <cell r="A22" t="str">
            <v>Empresa Polo141100420</v>
          </cell>
          <cell r="B22">
            <v>67.149349999999998</v>
          </cell>
          <cell r="C22">
            <v>105.98468</v>
          </cell>
          <cell r="D22">
            <v>69.698240000000027</v>
          </cell>
          <cell r="E22">
            <v>70.251889999999975</v>
          </cell>
          <cell r="F22">
            <v>88.499050000000011</v>
          </cell>
          <cell r="G22">
            <v>112.46548999999993</v>
          </cell>
        </row>
        <row r="23">
          <cell r="A23" t="str">
            <v>Empresa Polo141100500</v>
          </cell>
          <cell r="B23">
            <v>238.20644040000002</v>
          </cell>
          <cell r="C23">
            <v>133.88957989999994</v>
          </cell>
          <cell r="D23">
            <v>93.248569700000019</v>
          </cell>
          <cell r="E23">
            <v>562.78116000000023</v>
          </cell>
          <cell r="F23">
            <v>657.28368</v>
          </cell>
          <cell r="G23">
            <v>301.92610999999943</v>
          </cell>
        </row>
        <row r="24">
          <cell r="A24" t="str">
            <v>Empresa Polo141100505</v>
          </cell>
          <cell r="B24">
            <v>41.354489999999998</v>
          </cell>
          <cell r="C24">
            <v>-12.726449999999996</v>
          </cell>
          <cell r="D24">
            <v>176.42081999999999</v>
          </cell>
          <cell r="E24">
            <v>1440.3066199999998</v>
          </cell>
          <cell r="F24">
            <v>1793.4517600000001</v>
          </cell>
          <cell r="G24">
            <v>273.82337999999982</v>
          </cell>
        </row>
        <row r="25">
          <cell r="A25" t="str">
            <v>Empresa Polo141100510</v>
          </cell>
          <cell r="B25">
            <v>660.72101000000009</v>
          </cell>
          <cell r="C25">
            <v>2594.5530094999999</v>
          </cell>
          <cell r="D25">
            <v>371.37844050000012</v>
          </cell>
          <cell r="E25">
            <v>1040.73801</v>
          </cell>
          <cell r="F25">
            <v>1679.0969999999998</v>
          </cell>
          <cell r="G25">
            <v>1346.8161700000001</v>
          </cell>
        </row>
        <row r="26">
          <cell r="A26" t="str">
            <v>Empresa Polo141200011</v>
          </cell>
          <cell r="B26">
            <v>2448.5553500000001</v>
          </cell>
          <cell r="C26">
            <v>1714.4810999999986</v>
          </cell>
          <cell r="D26">
            <v>3792.3110400000014</v>
          </cell>
          <cell r="E26">
            <v>2286.1982000000007</v>
          </cell>
          <cell r="F26">
            <v>-170.05045000000064</v>
          </cell>
          <cell r="G26">
            <v>4889.2374299999956</v>
          </cell>
        </row>
        <row r="27">
          <cell r="A27" t="str">
            <v>Empresa Polo141200012</v>
          </cell>
          <cell r="B27">
            <v>573.80869000000007</v>
          </cell>
          <cell r="C27">
            <v>970.03188999999998</v>
          </cell>
          <cell r="D27">
            <v>656.56444999999985</v>
          </cell>
          <cell r="E27">
            <v>1706.0458900000003</v>
          </cell>
          <cell r="F27">
            <v>2070.5687499999995</v>
          </cell>
          <cell r="G27">
            <v>2418.9025600000004</v>
          </cell>
        </row>
        <row r="28">
          <cell r="A28" t="str">
            <v>Empresa Polo141200013</v>
          </cell>
          <cell r="B28">
            <v>178.43312000000003</v>
          </cell>
          <cell r="C28">
            <v>342.79005999999993</v>
          </cell>
          <cell r="D28">
            <v>-340.37429999999995</v>
          </cell>
          <cell r="E28">
            <v>73.430180000000007</v>
          </cell>
          <cell r="F28">
            <v>612.72113999999988</v>
          </cell>
          <cell r="G28">
            <v>250.78105000000005</v>
          </cell>
        </row>
        <row r="29">
          <cell r="A29" t="str">
            <v>Empresa Polo141200020</v>
          </cell>
          <cell r="B29">
            <v>353.85342999999995</v>
          </cell>
          <cell r="C29">
            <v>500.11598900000007</v>
          </cell>
          <cell r="D29">
            <v>-374.41155900000007</v>
          </cell>
          <cell r="E29">
            <v>686.87400000000025</v>
          </cell>
          <cell r="F29">
            <v>1108.78116</v>
          </cell>
          <cell r="G29">
            <v>513.89063000000078</v>
          </cell>
        </row>
        <row r="30">
          <cell r="A30" t="str">
            <v>Empresa Polo141200030</v>
          </cell>
          <cell r="B30">
            <v>95.992749999999987</v>
          </cell>
          <cell r="C30">
            <v>-8.3768310999999898</v>
          </cell>
          <cell r="D30">
            <v>-42.552898900000002</v>
          </cell>
          <cell r="E30">
            <v>83.446539999999999</v>
          </cell>
          <cell r="F30">
            <v>-34.018289999999993</v>
          </cell>
          <cell r="G30">
            <v>-10.172139999999999</v>
          </cell>
        </row>
        <row r="31">
          <cell r="A31" t="str">
            <v>Empresa Polo141200040</v>
          </cell>
          <cell r="B31">
            <v>249.83895000000001</v>
          </cell>
          <cell r="C31">
            <v>-95.315850600000005</v>
          </cell>
          <cell r="D31">
            <v>-97.630389400000013</v>
          </cell>
          <cell r="E31">
            <v>59.296630000000015</v>
          </cell>
          <cell r="F31">
            <v>35.163879999999978</v>
          </cell>
          <cell r="G31">
            <v>46.161640000000006</v>
          </cell>
        </row>
        <row r="32">
          <cell r="A32" t="str">
            <v>Empresa Polo141200050</v>
          </cell>
          <cell r="B32">
            <v>540.59717000000001</v>
          </cell>
          <cell r="C32">
            <v>623.11128009999993</v>
          </cell>
          <cell r="D32">
            <v>289.96215989999996</v>
          </cell>
          <cell r="E32">
            <v>468.83959000000027</v>
          </cell>
          <cell r="F32">
            <v>256.41415999999981</v>
          </cell>
          <cell r="G32">
            <v>887.03420000000006</v>
          </cell>
        </row>
        <row r="33">
          <cell r="A33" t="str">
            <v>Empresa Polo141200060</v>
          </cell>
          <cell r="B33">
            <v>549.05683999999997</v>
          </cell>
          <cell r="C33">
            <v>133.9042326</v>
          </cell>
          <cell r="D33">
            <v>-305.37821259999998</v>
          </cell>
          <cell r="E33">
            <v>36.633519999999976</v>
          </cell>
          <cell r="F33">
            <v>3116.8411800000003</v>
          </cell>
          <cell r="G33">
            <v>-2985.7639799999997</v>
          </cell>
        </row>
        <row r="34">
          <cell r="A34" t="str">
            <v>Empresa Polo141200100</v>
          </cell>
          <cell r="B34">
            <v>40.660579999999996</v>
          </cell>
          <cell r="C34">
            <v>84.637360000000015</v>
          </cell>
          <cell r="D34">
            <v>60.775409999999994</v>
          </cell>
          <cell r="E34">
            <v>165.98579000000001</v>
          </cell>
          <cell r="F34">
            <v>92.499850000000038</v>
          </cell>
          <cell r="G34">
            <v>134.57476999999989</v>
          </cell>
        </row>
        <row r="35">
          <cell r="A35" t="str">
            <v>Empresa Polo141200200</v>
          </cell>
          <cell r="B35">
            <v>163.64121</v>
          </cell>
          <cell r="C35">
            <v>191.98303999999996</v>
          </cell>
          <cell r="D35">
            <v>303.73931999999991</v>
          </cell>
          <cell r="E35">
            <v>609.02857000000029</v>
          </cell>
          <cell r="F35">
            <v>922.14871999999991</v>
          </cell>
          <cell r="G35">
            <v>1474.8067799999994</v>
          </cell>
        </row>
        <row r="36">
          <cell r="A36" t="str">
            <v>Empresa Polo141200210</v>
          </cell>
          <cell r="B36">
            <v>109.21218999999999</v>
          </cell>
          <cell r="C36">
            <v>185.51749000000004</v>
          </cell>
          <cell r="D36">
            <v>563.11276999999995</v>
          </cell>
          <cell r="E36">
            <v>189.55778000000021</v>
          </cell>
          <cell r="F36">
            <v>188.66232999999966</v>
          </cell>
          <cell r="G36">
            <v>263.78713999999991</v>
          </cell>
        </row>
        <row r="37">
          <cell r="A37" t="str">
            <v>Empresa Polo141200300</v>
          </cell>
          <cell r="B37">
            <v>0.98348999999999998</v>
          </cell>
          <cell r="C37">
            <v>1.1146199999999997</v>
          </cell>
          <cell r="D37">
            <v>2.1102800000000008</v>
          </cell>
          <cell r="E37">
            <v>17.611829999999998</v>
          </cell>
          <cell r="F37">
            <v>2.843989999999998</v>
          </cell>
          <cell r="G37">
            <v>1.466940000000001</v>
          </cell>
        </row>
        <row r="38">
          <cell r="A38" t="str">
            <v>Empresa Polo141200400</v>
          </cell>
          <cell r="B38">
            <v>79.362750000000005</v>
          </cell>
          <cell r="C38">
            <v>60.137309999999985</v>
          </cell>
          <cell r="D38">
            <v>103.95244</v>
          </cell>
          <cell r="E38">
            <v>97.831740000000082</v>
          </cell>
          <cell r="F38">
            <v>73.575940000000003</v>
          </cell>
          <cell r="G38">
            <v>77.247949999999946</v>
          </cell>
        </row>
        <row r="39">
          <cell r="A39" t="str">
            <v>Empresa Polo141200500</v>
          </cell>
          <cell r="B39">
            <v>118.56873999999999</v>
          </cell>
          <cell r="C39">
            <v>81.244060000000019</v>
          </cell>
          <cell r="D39">
            <v>59.805320000000023</v>
          </cell>
          <cell r="E39">
            <v>84.45563999999996</v>
          </cell>
          <cell r="F39">
            <v>179.89331000000004</v>
          </cell>
          <cell r="G39">
            <v>88.289299999999912</v>
          </cell>
        </row>
        <row r="40">
          <cell r="A40" t="str">
            <v>Empresa Polo141200600</v>
          </cell>
          <cell r="B40">
            <v>4770.0934200000002</v>
          </cell>
          <cell r="C40">
            <v>8193.3314900000005</v>
          </cell>
          <cell r="D40">
            <v>9074.9467999999997</v>
          </cell>
          <cell r="E40">
            <v>7269.6815999999999</v>
          </cell>
          <cell r="F40">
            <v>7958.371280000003</v>
          </cell>
          <cell r="G40">
            <v>8356.5041900000069</v>
          </cell>
        </row>
        <row r="41">
          <cell r="A41" t="str">
            <v>Empresa Polo141200710</v>
          </cell>
          <cell r="B41">
            <v>1.69333</v>
          </cell>
          <cell r="C41">
            <v>29.0151836</v>
          </cell>
          <cell r="D41">
            <v>-10.736643600000004</v>
          </cell>
          <cell r="E41">
            <v>1.2437300000000029</v>
          </cell>
          <cell r="F41">
            <v>1.2012100000000032</v>
          </cell>
          <cell r="G41">
            <v>6.2089300000000023</v>
          </cell>
        </row>
        <row r="42">
          <cell r="A42" t="str">
            <v>Empresa Polo141200720</v>
          </cell>
          <cell r="B42">
            <v>371.28602000000001</v>
          </cell>
          <cell r="C42">
            <v>612.78040410000006</v>
          </cell>
          <cell r="D42">
            <v>15.392865899999947</v>
          </cell>
          <cell r="E42">
            <v>568.76448000000005</v>
          </cell>
          <cell r="F42">
            <v>713.36941999999999</v>
          </cell>
          <cell r="G42">
            <v>880.09590000000026</v>
          </cell>
        </row>
        <row r="43">
          <cell r="A43" t="str">
            <v>Empresa Polo141200730</v>
          </cell>
          <cell r="B43">
            <v>0</v>
          </cell>
          <cell r="C43">
            <v>-0.20430000000000004</v>
          </cell>
          <cell r="D43">
            <v>1.2448700000000001</v>
          </cell>
          <cell r="E43">
            <v>0</v>
          </cell>
          <cell r="F43">
            <v>0</v>
          </cell>
          <cell r="G43">
            <v>0</v>
          </cell>
        </row>
        <row r="44">
          <cell r="A44" t="str">
            <v>Empresa Polo141200740</v>
          </cell>
          <cell r="B44">
            <v>0</v>
          </cell>
          <cell r="C44">
            <v>8.6111199999999997</v>
          </cell>
          <cell r="D44">
            <v>1.4492399999999996</v>
          </cell>
          <cell r="E44">
            <v>1.0811100000000007</v>
          </cell>
          <cell r="F44">
            <v>2.0160399999999985</v>
          </cell>
          <cell r="G44">
            <v>1.7313700000000019</v>
          </cell>
        </row>
        <row r="45">
          <cell r="A45" t="str">
            <v>Empresa Polo141200790</v>
          </cell>
          <cell r="B45">
            <v>588.79844000000003</v>
          </cell>
          <cell r="C45">
            <v>522.95379230000003</v>
          </cell>
          <cell r="D45">
            <v>-273.00569230000008</v>
          </cell>
          <cell r="E45">
            <v>286.29007999999988</v>
          </cell>
          <cell r="F45">
            <v>269.33473999999978</v>
          </cell>
          <cell r="G45">
            <v>149.86991000000012</v>
          </cell>
        </row>
        <row r="46">
          <cell r="A46" t="str">
            <v>Empresa Polo141300011</v>
          </cell>
          <cell r="B46">
            <v>9709.564980000001</v>
          </cell>
          <cell r="C46">
            <v>7144.6279199999972</v>
          </cell>
          <cell r="D46">
            <v>19867.368170000005</v>
          </cell>
          <cell r="E46">
            <v>10110.968329999996</v>
          </cell>
          <cell r="F46">
            <v>-9281.3782199999987</v>
          </cell>
          <cell r="G46">
            <v>34331.927049999998</v>
          </cell>
        </row>
        <row r="47">
          <cell r="A47" t="str">
            <v>Empresa Polo141300012</v>
          </cell>
          <cell r="B47">
            <v>6267.0207499999997</v>
          </cell>
          <cell r="C47">
            <v>11031.348440000002</v>
          </cell>
          <cell r="D47">
            <v>9587.6920799999971</v>
          </cell>
          <cell r="E47">
            <v>9453.2538700000077</v>
          </cell>
          <cell r="F47">
            <v>-4481.1802300000018</v>
          </cell>
          <cell r="G47">
            <v>3587.5932099999991</v>
          </cell>
        </row>
        <row r="48">
          <cell r="A48" t="str">
            <v>Empresa Polo141300013</v>
          </cell>
          <cell r="B48">
            <v>1031.8036</v>
          </cell>
          <cell r="C48">
            <v>4426.3737000000001</v>
          </cell>
          <cell r="D48">
            <v>-4171.9100500000004</v>
          </cell>
          <cell r="E48">
            <v>600.1582699999999</v>
          </cell>
          <cell r="F48">
            <v>842.34519999999998</v>
          </cell>
          <cell r="G48">
            <v>1379.8837100000005</v>
          </cell>
        </row>
        <row r="49">
          <cell r="A49" t="str">
            <v>Empresa Polo141300020</v>
          </cell>
          <cell r="B49">
            <v>2029.5411549999999</v>
          </cell>
          <cell r="C49">
            <v>2785.0469750000002</v>
          </cell>
          <cell r="D49">
            <v>-872.73971000000074</v>
          </cell>
          <cell r="E49">
            <v>2081.9268099999999</v>
          </cell>
          <cell r="F49">
            <v>19788.747130000003</v>
          </cell>
          <cell r="G49">
            <v>-2979.5374600000068</v>
          </cell>
        </row>
        <row r="50">
          <cell r="A50" t="str">
            <v>Empresa Polo141300030</v>
          </cell>
          <cell r="B50">
            <v>736.19116679999991</v>
          </cell>
          <cell r="C50">
            <v>259.74035470000013</v>
          </cell>
          <cell r="D50">
            <v>260.78593850000004</v>
          </cell>
          <cell r="E50">
            <v>273.25733000000037</v>
          </cell>
          <cell r="F50">
            <v>210.59389999999962</v>
          </cell>
          <cell r="G50">
            <v>346.78323000000046</v>
          </cell>
        </row>
        <row r="51">
          <cell r="A51" t="str">
            <v>Empresa Polo141300040</v>
          </cell>
          <cell r="B51">
            <v>1458.1454019999999</v>
          </cell>
          <cell r="C51">
            <v>366.50617860000011</v>
          </cell>
          <cell r="D51">
            <v>-65.789120599999933</v>
          </cell>
          <cell r="E51">
            <v>386.65284999999972</v>
          </cell>
          <cell r="F51">
            <v>656.8437200000003</v>
          </cell>
          <cell r="G51">
            <v>645.82130000000006</v>
          </cell>
        </row>
        <row r="52">
          <cell r="A52" t="str">
            <v>Empresa Polo141300050</v>
          </cell>
          <cell r="B52">
            <v>2851.3854447999997</v>
          </cell>
          <cell r="C52">
            <v>2435.8262073000001</v>
          </cell>
          <cell r="D52">
            <v>1053.7629979000003</v>
          </cell>
          <cell r="E52">
            <v>-337.46660000000065</v>
          </cell>
          <cell r="F52">
            <v>-2550.990589999999</v>
          </cell>
          <cell r="G52">
            <v>826.90328999999929</v>
          </cell>
        </row>
        <row r="53">
          <cell r="A53" t="str">
            <v>Empresa Polo141300060</v>
          </cell>
          <cell r="B53">
            <v>506.06175159999998</v>
          </cell>
          <cell r="C53">
            <v>651.22806450000007</v>
          </cell>
          <cell r="D53">
            <v>-592.96341610000002</v>
          </cell>
          <cell r="E53">
            <v>227.49843999999996</v>
          </cell>
          <cell r="F53">
            <v>18058.298300000002</v>
          </cell>
          <cell r="G53">
            <v>-17179.449710000001</v>
          </cell>
        </row>
        <row r="54">
          <cell r="A54" t="str">
            <v>Empresa Polo141300100</v>
          </cell>
          <cell r="B54">
            <v>225.07643000000002</v>
          </cell>
          <cell r="C54">
            <v>359.96043999999989</v>
          </cell>
          <cell r="D54">
            <v>255.61725000000024</v>
          </cell>
          <cell r="E54">
            <v>447.99929999999972</v>
          </cell>
          <cell r="F54">
            <v>213.01051000000029</v>
          </cell>
          <cell r="G54">
            <v>152.41264000000001</v>
          </cell>
        </row>
        <row r="55">
          <cell r="A55" t="str">
            <v>Empresa Polo141300200</v>
          </cell>
          <cell r="B55">
            <v>61.719409999999989</v>
          </cell>
          <cell r="C55">
            <v>82.848420000000033</v>
          </cell>
          <cell r="D55">
            <v>65.685579999999987</v>
          </cell>
          <cell r="E55">
            <v>124.3563</v>
          </cell>
          <cell r="F55">
            <v>656.90623000000005</v>
          </cell>
          <cell r="G55">
            <v>-307.10230000000001</v>
          </cell>
        </row>
        <row r="56">
          <cell r="A56" t="str">
            <v>Empresa Polo141300300</v>
          </cell>
          <cell r="B56">
            <v>9.7876799999999999</v>
          </cell>
          <cell r="C56">
            <v>9.6174400000000002</v>
          </cell>
          <cell r="D56">
            <v>71.547970000000007</v>
          </cell>
          <cell r="E56">
            <v>57.78313</v>
          </cell>
          <cell r="F56">
            <v>225.33863000000002</v>
          </cell>
          <cell r="G56">
            <v>180.00125</v>
          </cell>
        </row>
        <row r="57">
          <cell r="A57" t="str">
            <v>Empresa Polo141300400</v>
          </cell>
          <cell r="B57">
            <v>61.627780000000001</v>
          </cell>
          <cell r="C57">
            <v>109.92871</v>
          </cell>
          <cell r="D57">
            <v>-99.449520000000007</v>
          </cell>
          <cell r="E57">
            <v>10.824730000000017</v>
          </cell>
          <cell r="F57">
            <v>4.9783499999999918</v>
          </cell>
          <cell r="G57">
            <v>30.214029999999994</v>
          </cell>
        </row>
        <row r="58">
          <cell r="A58" t="str">
            <v>Empresa Polo141300410</v>
          </cell>
          <cell r="B58">
            <v>0</v>
          </cell>
          <cell r="C58">
            <v>0</v>
          </cell>
          <cell r="D58">
            <v>6.5860000000000003</v>
          </cell>
          <cell r="E58">
            <v>0</v>
          </cell>
          <cell r="F58">
            <v>0.84890000000000043</v>
          </cell>
          <cell r="G58">
            <v>0</v>
          </cell>
        </row>
        <row r="59">
          <cell r="A59" t="str">
            <v>Empresa Polo141300500</v>
          </cell>
          <cell r="B59">
            <v>96654.760650000011</v>
          </cell>
          <cell r="C59">
            <v>110085.65285000001</v>
          </cell>
          <cell r="D59">
            <v>101578.54574999999</v>
          </cell>
          <cell r="E59">
            <v>109370.92227000004</v>
          </cell>
          <cell r="F59">
            <v>122702.51254999998</v>
          </cell>
          <cell r="G59">
            <v>120268.47699</v>
          </cell>
        </row>
        <row r="60">
          <cell r="A60" t="str">
            <v>Empresa Polo141300600</v>
          </cell>
          <cell r="B60">
            <v>1224.0138299999999</v>
          </cell>
          <cell r="C60">
            <v>1270.6209199999998</v>
          </cell>
          <cell r="D60">
            <v>4388.8772700000009</v>
          </cell>
          <cell r="E60">
            <v>-1675.5044099999996</v>
          </cell>
          <cell r="F60">
            <v>918.8584299999975</v>
          </cell>
          <cell r="G60">
            <v>1215.1486999999997</v>
          </cell>
        </row>
        <row r="61">
          <cell r="A61" t="str">
            <v>Empresa Polo141300800</v>
          </cell>
          <cell r="B61">
            <v>-14.069179999999999</v>
          </cell>
          <cell r="C61">
            <v>418.65460000000002</v>
          </cell>
          <cell r="D61">
            <v>236.91977999999995</v>
          </cell>
          <cell r="E61">
            <v>209.65256999999997</v>
          </cell>
          <cell r="F61">
            <v>175.83158000000014</v>
          </cell>
          <cell r="G61">
            <v>243.86451999999986</v>
          </cell>
        </row>
        <row r="62">
          <cell r="A62" t="str">
            <v>Empresa Polo141300900</v>
          </cell>
          <cell r="B62">
            <v>4573.0899900000004</v>
          </cell>
          <cell r="C62">
            <v>4833.5628499999984</v>
          </cell>
          <cell r="D62">
            <v>4093.6538700000019</v>
          </cell>
          <cell r="E62">
            <v>3552.3751699999993</v>
          </cell>
          <cell r="F62">
            <v>3450.7330299999958</v>
          </cell>
          <cell r="G62">
            <v>3776.2358800000075</v>
          </cell>
        </row>
        <row r="63">
          <cell r="A63" t="str">
            <v>Empresa Polo141301000</v>
          </cell>
          <cell r="B63">
            <v>928.68284000000006</v>
          </cell>
          <cell r="C63">
            <v>840.48296999999991</v>
          </cell>
          <cell r="D63">
            <v>1028.8175500000002</v>
          </cell>
          <cell r="E63">
            <v>864.16251999999986</v>
          </cell>
          <cell r="F63">
            <v>2237.4411600000003</v>
          </cell>
          <cell r="G63">
            <v>2263.1792299999997</v>
          </cell>
        </row>
        <row r="64">
          <cell r="A64" t="str">
            <v>Empresa Polo141301100</v>
          </cell>
          <cell r="B64">
            <v>-8.0028100000000002</v>
          </cell>
          <cell r="C64">
            <v>102.45785999999998</v>
          </cell>
          <cell r="D64">
            <v>59.158380000000008</v>
          </cell>
          <cell r="E64">
            <v>51.45526000000001</v>
          </cell>
          <cell r="F64">
            <v>108.41881000000001</v>
          </cell>
          <cell r="G64">
            <v>-3.779679999999928</v>
          </cell>
        </row>
        <row r="65">
          <cell r="A65" t="str">
            <v>Empresa Polo141301300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24.11023999999999</v>
          </cell>
        </row>
        <row r="66">
          <cell r="A66" t="str">
            <v>Empresa Polo141301310</v>
          </cell>
          <cell r="B66">
            <v>22.273330000000001</v>
          </cell>
          <cell r="C66">
            <v>0</v>
          </cell>
          <cell r="D66">
            <v>32.384999999999998</v>
          </cell>
          <cell r="E66">
            <v>13.796999999999997</v>
          </cell>
          <cell r="F66">
            <v>25.534610000000001</v>
          </cell>
          <cell r="G66">
            <v>171.20301000000006</v>
          </cell>
        </row>
        <row r="67">
          <cell r="A67" t="str">
            <v>Empresa Polo141301330</v>
          </cell>
          <cell r="B67">
            <v>8.3546800000000001</v>
          </cell>
          <cell r="C67">
            <v>0.23799999999999955</v>
          </cell>
          <cell r="D67">
            <v>15.057080000000001</v>
          </cell>
          <cell r="E67">
            <v>2.0747</v>
          </cell>
          <cell r="F67">
            <v>148.13703000000001</v>
          </cell>
          <cell r="G67">
            <v>13063.211160000001</v>
          </cell>
        </row>
        <row r="68">
          <cell r="A68" t="str">
            <v>Empresa Polo141301350</v>
          </cell>
          <cell r="B68">
            <v>413.96316999999999</v>
          </cell>
          <cell r="C68">
            <v>584.02764999999999</v>
          </cell>
          <cell r="D68">
            <v>5892.3433499999992</v>
          </cell>
          <cell r="E68">
            <v>3040.6188800000009</v>
          </cell>
          <cell r="F68">
            <v>-128.28659000000152</v>
          </cell>
          <cell r="G68">
            <v>-138.75112999999874</v>
          </cell>
        </row>
        <row r="69">
          <cell r="A69" t="str">
            <v>Empresa Polo141301360</v>
          </cell>
          <cell r="B69">
            <v>1521.3442499999999</v>
          </cell>
          <cell r="C69">
            <v>2752.3344999999999</v>
          </cell>
          <cell r="D69">
            <v>1521.3442500000001</v>
          </cell>
          <cell r="E69">
            <v>5781.5736399999996</v>
          </cell>
          <cell r="F69">
            <v>3953.1282300000003</v>
          </cell>
          <cell r="G69">
            <v>-137.22334999999993</v>
          </cell>
        </row>
        <row r="70">
          <cell r="A70" t="str">
            <v>Empresa Polo141301390</v>
          </cell>
          <cell r="B70">
            <v>13.16873</v>
          </cell>
          <cell r="C70">
            <v>32.539389999999997</v>
          </cell>
          <cell r="D70">
            <v>603.30043999999998</v>
          </cell>
          <cell r="E70">
            <v>-198.97294000000005</v>
          </cell>
          <cell r="F70">
            <v>25.663510000000031</v>
          </cell>
          <cell r="G70">
            <v>119.02894000000001</v>
          </cell>
        </row>
        <row r="71">
          <cell r="A71" t="str">
            <v>Empresa Polo141301400</v>
          </cell>
          <cell r="B71">
            <v>11.86378</v>
          </cell>
          <cell r="C71">
            <v>714.81793000000005</v>
          </cell>
          <cell r="D71">
            <v>414.22782999999959</v>
          </cell>
          <cell r="E71">
            <v>-983.95036999999968</v>
          </cell>
          <cell r="F71">
            <v>36.547299999999979</v>
          </cell>
          <cell r="G71">
            <v>469.70090000000005</v>
          </cell>
        </row>
        <row r="72">
          <cell r="A72" t="str">
            <v>Empresa Polo141301800</v>
          </cell>
          <cell r="B72">
            <v>287.43237999999997</v>
          </cell>
          <cell r="C72">
            <v>275.30417000000011</v>
          </cell>
          <cell r="D72">
            <v>269.0632599999999</v>
          </cell>
          <cell r="E72">
            <v>158.99933999999985</v>
          </cell>
          <cell r="F72">
            <v>76.436650000000327</v>
          </cell>
          <cell r="G72">
            <v>5630.5957699999963</v>
          </cell>
        </row>
        <row r="73">
          <cell r="A73" t="str">
            <v>Empresa Polo141301810</v>
          </cell>
          <cell r="B73">
            <v>5603.9947699999993</v>
          </cell>
          <cell r="C73">
            <v>5594.5383299999994</v>
          </cell>
          <cell r="D73">
            <v>5094.2303200000024</v>
          </cell>
          <cell r="E73">
            <v>4448.7052999999996</v>
          </cell>
          <cell r="F73">
            <v>5682.1162799999984</v>
          </cell>
          <cell r="G73">
            <v>679.63557000000037</v>
          </cell>
        </row>
        <row r="74">
          <cell r="A74" t="str">
            <v>Empresa Polo141301820</v>
          </cell>
          <cell r="B74">
            <v>480.21276</v>
          </cell>
          <cell r="C74">
            <v>596.94969000000003</v>
          </cell>
          <cell r="D74">
            <v>637.59600999999998</v>
          </cell>
          <cell r="E74">
            <v>572.60478999999987</v>
          </cell>
          <cell r="F74">
            <v>629.29408000000058</v>
          </cell>
          <cell r="G74">
            <v>0</v>
          </cell>
        </row>
        <row r="75">
          <cell r="A75" t="str">
            <v>Empresa Polo141301830</v>
          </cell>
          <cell r="B75">
            <v>0</v>
          </cell>
          <cell r="C75">
            <v>0</v>
          </cell>
          <cell r="D75">
            <v>1.5300000000000001E-2</v>
          </cell>
          <cell r="E75">
            <v>0</v>
          </cell>
          <cell r="F75">
            <v>0.02</v>
          </cell>
          <cell r="G75">
            <v>130.74703</v>
          </cell>
        </row>
        <row r="76">
          <cell r="A76" t="str">
            <v>Empresa Polo141301900</v>
          </cell>
          <cell r="B76">
            <v>143.15264000000002</v>
          </cell>
          <cell r="C76">
            <v>130.79901999999998</v>
          </cell>
          <cell r="D76">
            <v>19.341600000000028</v>
          </cell>
          <cell r="E76">
            <v>124.49179999999996</v>
          </cell>
          <cell r="F76">
            <v>97.736919999999998</v>
          </cell>
          <cell r="G76">
            <v>33.375579999999999</v>
          </cell>
        </row>
        <row r="77">
          <cell r="A77" t="str">
            <v>Empresa Polo141301910</v>
          </cell>
          <cell r="B77">
            <v>10.793620000000001</v>
          </cell>
          <cell r="C77">
            <v>3.1088199999999997</v>
          </cell>
          <cell r="D77">
            <v>15.567050000000004</v>
          </cell>
          <cell r="E77">
            <v>18.841999999999995</v>
          </cell>
          <cell r="F77">
            <v>25.280380000000015</v>
          </cell>
          <cell r="G77">
            <v>129.69337000000041</v>
          </cell>
        </row>
        <row r="78">
          <cell r="A78" t="str">
            <v>Empresa Polo141302000</v>
          </cell>
          <cell r="B78">
            <v>334.46360000000004</v>
          </cell>
          <cell r="C78">
            <v>197.11332999999991</v>
          </cell>
          <cell r="D78">
            <v>130.13693000000012</v>
          </cell>
          <cell r="E78">
            <v>965.09501</v>
          </cell>
          <cell r="F78">
            <v>1052.1928399999999</v>
          </cell>
          <cell r="G78">
            <v>187.03667000000002</v>
          </cell>
        </row>
        <row r="79">
          <cell r="A79" t="str">
            <v>Empresa Polo141302010</v>
          </cell>
          <cell r="B79">
            <v>2.2997199999999998</v>
          </cell>
          <cell r="C79">
            <v>99.390450000000001</v>
          </cell>
          <cell r="D79">
            <v>1.811000000000007</v>
          </cell>
          <cell r="E79">
            <v>53.96893</v>
          </cell>
          <cell r="F79">
            <v>122.54332999999991</v>
          </cell>
          <cell r="G79">
            <v>271.60547999999994</v>
          </cell>
        </row>
        <row r="80">
          <cell r="A80" t="str">
            <v>Empresa Polo141302020</v>
          </cell>
          <cell r="B80">
            <v>454.11887000000002</v>
          </cell>
          <cell r="C80">
            <v>486.24489000000005</v>
          </cell>
          <cell r="D80">
            <v>303.94567000000018</v>
          </cell>
          <cell r="E80">
            <v>216.30765999999971</v>
          </cell>
          <cell r="F80">
            <v>207.93204000000014</v>
          </cell>
          <cell r="G80">
            <v>35.588890000000006</v>
          </cell>
        </row>
        <row r="81">
          <cell r="A81" t="str">
            <v>Empresa Polo141302030</v>
          </cell>
          <cell r="B81">
            <v>13.116719999999999</v>
          </cell>
          <cell r="C81">
            <v>13.788199999999998</v>
          </cell>
          <cell r="D81">
            <v>3.9865700000000039</v>
          </cell>
          <cell r="E81">
            <v>10.743579999999998</v>
          </cell>
          <cell r="F81">
            <v>38.264320000000012</v>
          </cell>
          <cell r="G81">
            <v>112.93569000000002</v>
          </cell>
        </row>
        <row r="82">
          <cell r="A82" t="str">
            <v>Empresa Polo141302040</v>
          </cell>
          <cell r="B82">
            <v>201.94325000000001</v>
          </cell>
          <cell r="C82">
            <v>74.300069999999977</v>
          </cell>
          <cell r="D82">
            <v>85.618740000000003</v>
          </cell>
          <cell r="E82">
            <v>135.60961000000009</v>
          </cell>
          <cell r="F82">
            <v>134.51563999999991</v>
          </cell>
          <cell r="G82">
            <v>-193.07899</v>
          </cell>
        </row>
        <row r="83">
          <cell r="A83" t="str">
            <v>Empresa Polo141302045</v>
          </cell>
          <cell r="B83">
            <v>96.29</v>
          </cell>
          <cell r="C83">
            <v>-96.29</v>
          </cell>
          <cell r="D83">
            <v>0</v>
          </cell>
          <cell r="E83">
            <v>1.9</v>
          </cell>
          <cell r="F83">
            <v>0</v>
          </cell>
          <cell r="G83">
            <v>-7.247410000000059</v>
          </cell>
        </row>
        <row r="84">
          <cell r="A84" t="str">
            <v>Empresa Polo141302050</v>
          </cell>
          <cell r="B84">
            <v>480.38729999999998</v>
          </cell>
          <cell r="C84">
            <v>418.71897000000001</v>
          </cell>
          <cell r="D84">
            <v>-559.94534999999996</v>
          </cell>
          <cell r="E84">
            <v>386.45889999999997</v>
          </cell>
          <cell r="F84">
            <v>94.618089999999938</v>
          </cell>
          <cell r="G84">
            <v>197.29134999999997</v>
          </cell>
        </row>
        <row r="85">
          <cell r="A85" t="str">
            <v>Empresa Polo141302100</v>
          </cell>
          <cell r="B85">
            <v>227.16678000000002</v>
          </cell>
          <cell r="C85">
            <v>217.94896999999997</v>
          </cell>
          <cell r="D85">
            <v>200.56786000000017</v>
          </cell>
          <cell r="E85">
            <v>207.44056999999987</v>
          </cell>
          <cell r="F85">
            <v>235.96983</v>
          </cell>
          <cell r="G85">
            <v>267.68380999999999</v>
          </cell>
        </row>
        <row r="86">
          <cell r="A86" t="str">
            <v>Empresa Polo141302110</v>
          </cell>
          <cell r="B86">
            <v>247.39706999999999</v>
          </cell>
          <cell r="C86">
            <v>190.79346000000004</v>
          </cell>
          <cell r="D86">
            <v>250.65710999999993</v>
          </cell>
          <cell r="E86">
            <v>294.65742000000012</v>
          </cell>
          <cell r="F86">
            <v>262.91154000000017</v>
          </cell>
          <cell r="G86">
            <v>424.61666999999966</v>
          </cell>
        </row>
        <row r="87">
          <cell r="A87" t="str">
            <v>Empresa Polo141302120</v>
          </cell>
          <cell r="B87">
            <v>453.27206000000001</v>
          </cell>
          <cell r="C87">
            <v>382.23891000000015</v>
          </cell>
          <cell r="D87">
            <v>319.34009999999978</v>
          </cell>
          <cell r="E87">
            <v>337.90113000000019</v>
          </cell>
          <cell r="F87">
            <v>467.25729999999999</v>
          </cell>
          <cell r="G87">
            <v>24.916860000000014</v>
          </cell>
        </row>
        <row r="88">
          <cell r="A88" t="str">
            <v>Empresa Polo141302130</v>
          </cell>
          <cell r="B88">
            <v>0</v>
          </cell>
          <cell r="C88">
            <v>0</v>
          </cell>
          <cell r="D88">
            <v>8.7414500000000004</v>
          </cell>
          <cell r="E88">
            <v>9.7052599999999991</v>
          </cell>
          <cell r="F88">
            <v>43.107100000000003</v>
          </cell>
          <cell r="G88">
            <v>19.010260000000002</v>
          </cell>
        </row>
        <row r="89">
          <cell r="A89" t="str">
            <v>Empresa Polo141302140</v>
          </cell>
          <cell r="B89">
            <v>8.3984500000000004</v>
          </cell>
          <cell r="C89">
            <v>16.535900000000002</v>
          </cell>
          <cell r="D89">
            <v>-6.4040099999999995</v>
          </cell>
          <cell r="E89">
            <v>10.977639999999997</v>
          </cell>
          <cell r="F89">
            <v>9.2606300000000026</v>
          </cell>
          <cell r="G89">
            <v>42.935000000000002</v>
          </cell>
        </row>
        <row r="90">
          <cell r="A90" t="str">
            <v>Empresa Polo141302150</v>
          </cell>
          <cell r="B90">
            <v>0</v>
          </cell>
          <cell r="C90">
            <v>0</v>
          </cell>
          <cell r="D90">
            <v>4.9140800000000002</v>
          </cell>
          <cell r="E90">
            <v>12.374269999999997</v>
          </cell>
          <cell r="F90">
            <v>43.467000000000013</v>
          </cell>
          <cell r="G90">
            <v>9.7000000000000171</v>
          </cell>
        </row>
        <row r="91">
          <cell r="A91" t="str">
            <v>Empresa Polo141302200</v>
          </cell>
          <cell r="B91">
            <v>16.265740000000001</v>
          </cell>
          <cell r="C91">
            <v>1.1274399999999964</v>
          </cell>
          <cell r="D91">
            <v>27.743150000000004</v>
          </cell>
          <cell r="E91">
            <v>17.581510000000009</v>
          </cell>
          <cell r="F91">
            <v>25.425000000000001</v>
          </cell>
          <cell r="G91">
            <v>36.216000000000065</v>
          </cell>
        </row>
        <row r="92">
          <cell r="A92" t="str">
            <v>Empresa Polo141302400</v>
          </cell>
          <cell r="B92">
            <v>64.168279999999996</v>
          </cell>
          <cell r="C92">
            <v>48.199060000000003</v>
          </cell>
          <cell r="D92">
            <v>78.988640000000018</v>
          </cell>
          <cell r="E92">
            <v>19.765119999999996</v>
          </cell>
          <cell r="F92">
            <v>168.51234999999997</v>
          </cell>
          <cell r="G92">
            <v>0.97016999999999987</v>
          </cell>
        </row>
        <row r="93">
          <cell r="A93" t="str">
            <v>Empresa Polo141302500</v>
          </cell>
          <cell r="B93">
            <v>0</v>
          </cell>
          <cell r="C93">
            <v>0</v>
          </cell>
          <cell r="D93">
            <v>0</v>
          </cell>
          <cell r="E93">
            <v>3.4040000000000001E-2</v>
          </cell>
          <cell r="F93">
            <v>0.49544000000000005</v>
          </cell>
          <cell r="G93">
            <v>190.27650999999992</v>
          </cell>
        </row>
        <row r="94">
          <cell r="A94" t="str">
            <v>Empresa Polo141399999</v>
          </cell>
          <cell r="B94">
            <v>257.07986999999997</v>
          </cell>
          <cell r="C94">
            <v>618.59775000000013</v>
          </cell>
          <cell r="D94">
            <v>71.573610000000144</v>
          </cell>
          <cell r="E94">
            <v>-188.9951100000003</v>
          </cell>
          <cell r="F94">
            <v>-95.789459999999849</v>
          </cell>
          <cell r="G94">
            <v>2171.6755300000004</v>
          </cell>
        </row>
        <row r="95">
          <cell r="A95" t="str">
            <v>Empresa Polo141500000</v>
          </cell>
          <cell r="B95">
            <v>731.63808999999992</v>
          </cell>
          <cell r="C95">
            <v>413.49460999999997</v>
          </cell>
          <cell r="D95">
            <v>100.05553000000032</v>
          </cell>
          <cell r="E95">
            <v>2335.7405899999999</v>
          </cell>
          <cell r="F95">
            <v>1170.9279799999995</v>
          </cell>
          <cell r="G95">
            <v>2601.6588599999995</v>
          </cell>
        </row>
        <row r="96">
          <cell r="A96" t="str">
            <v>Empresa Polo141500010</v>
          </cell>
          <cell r="B96">
            <v>2839.5025700000001</v>
          </cell>
          <cell r="C96">
            <v>2245.3222199999996</v>
          </cell>
          <cell r="D96">
            <v>3205.0526100000016</v>
          </cell>
          <cell r="E96">
            <v>5619.300199999996</v>
          </cell>
          <cell r="F96">
            <v>3386.0815500000008</v>
          </cell>
          <cell r="G96">
            <v>440.03566000000046</v>
          </cell>
        </row>
        <row r="97">
          <cell r="A97" t="str">
            <v>Empresa Polo141500020</v>
          </cell>
          <cell r="B97">
            <v>1224.9493199999999</v>
          </cell>
          <cell r="C97">
            <v>1014.0258300000003</v>
          </cell>
          <cell r="D97">
            <v>226.31695999999965</v>
          </cell>
          <cell r="E97">
            <v>-631.12706000000003</v>
          </cell>
          <cell r="F97">
            <v>1327.5402300000003</v>
          </cell>
          <cell r="G97">
            <v>1132.9607599999995</v>
          </cell>
        </row>
        <row r="98">
          <cell r="A98" t="str">
            <v>Empresa Polo141500030</v>
          </cell>
          <cell r="B98">
            <v>824.65865999999994</v>
          </cell>
          <cell r="C98">
            <v>645.1648100000001</v>
          </cell>
          <cell r="D98">
            <v>195.03251000000023</v>
          </cell>
          <cell r="E98">
            <v>1190.4478899999999</v>
          </cell>
          <cell r="F98">
            <v>-652.23689000000013</v>
          </cell>
          <cell r="G98">
            <v>8444.1897400000016</v>
          </cell>
        </row>
        <row r="99">
          <cell r="A99" t="str">
            <v>Empresa Polo141500040</v>
          </cell>
          <cell r="B99">
            <v>6610.0366700000013</v>
          </cell>
          <cell r="C99">
            <v>5578.4315099999967</v>
          </cell>
          <cell r="D99">
            <v>10234.120650000003</v>
          </cell>
          <cell r="E99">
            <v>8510.3029200000019</v>
          </cell>
          <cell r="F99">
            <v>2921.247850000007</v>
          </cell>
          <cell r="G99">
            <v>770.56094000000007</v>
          </cell>
        </row>
        <row r="100">
          <cell r="A100" t="str">
            <v>Empresa Polo141500050</v>
          </cell>
          <cell r="B100">
            <v>9.4186800000000002</v>
          </cell>
          <cell r="C100">
            <v>871.13163999999995</v>
          </cell>
          <cell r="D100">
            <v>-604.94128000000001</v>
          </cell>
          <cell r="E100">
            <v>793.47274999999968</v>
          </cell>
          <cell r="F100">
            <v>800.4524600000002</v>
          </cell>
          <cell r="G100">
            <v>610.15214999999989</v>
          </cell>
        </row>
        <row r="101">
          <cell r="A101" t="str">
            <v>Empresa Polo141500100</v>
          </cell>
          <cell r="B101">
            <v>1124.2746999999999</v>
          </cell>
          <cell r="C101">
            <v>56.754279999999881</v>
          </cell>
          <cell r="D101">
            <v>0.58799999999996544</v>
          </cell>
          <cell r="E101">
            <v>617.64368000000013</v>
          </cell>
          <cell r="F101">
            <v>614.33352000000014</v>
          </cell>
          <cell r="G101">
            <v>303.74639000000002</v>
          </cell>
        </row>
        <row r="102">
          <cell r="A102" t="str">
            <v>Empresa Polo141500200</v>
          </cell>
          <cell r="B102">
            <v>169.62576999999999</v>
          </cell>
          <cell r="C102">
            <v>199.85751000000005</v>
          </cell>
          <cell r="D102">
            <v>195.60494999999992</v>
          </cell>
          <cell r="E102">
            <v>195.04565000000002</v>
          </cell>
          <cell r="F102">
            <v>440.78868999999997</v>
          </cell>
          <cell r="G102">
            <v>210604.91582999984</v>
          </cell>
        </row>
        <row r="103">
          <cell r="A103" t="str">
            <v>Empresa Polo141600000</v>
          </cell>
          <cell r="B103">
            <v>220867.32327000002</v>
          </cell>
          <cell r="C103">
            <v>208042.39611</v>
          </cell>
          <cell r="D103">
            <v>211077.34670999995</v>
          </cell>
          <cell r="E103">
            <v>211388.53704000008</v>
          </cell>
          <cell r="F103">
            <v>207562.17483999988</v>
          </cell>
          <cell r="G103">
            <v>43.740250000000003</v>
          </cell>
        </row>
        <row r="104">
          <cell r="A104" t="str">
            <v>Empresa Polo141600020</v>
          </cell>
          <cell r="B104">
            <v>19.132900000000003</v>
          </cell>
          <cell r="C104">
            <v>1.7257699999999936</v>
          </cell>
          <cell r="D104">
            <v>0</v>
          </cell>
          <cell r="E104">
            <v>0</v>
          </cell>
          <cell r="F104">
            <v>38.538959999999996</v>
          </cell>
          <cell r="G104">
            <v>576.22693000000027</v>
          </cell>
        </row>
        <row r="105">
          <cell r="A105" t="str">
            <v>Empresa Polo141700000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558.03086999999869</v>
          </cell>
        </row>
        <row r="106">
          <cell r="A106" t="str">
            <v>Empresa Polo141700600</v>
          </cell>
          <cell r="B106">
            <v>595.09776989999989</v>
          </cell>
          <cell r="C106">
            <v>889.76081009999996</v>
          </cell>
          <cell r="D106">
            <v>603.97739999999999</v>
          </cell>
          <cell r="E106">
            <v>657.88166999999976</v>
          </cell>
          <cell r="F106">
            <v>716.43067000000019</v>
          </cell>
          <cell r="G106">
            <v>-372.36121999999995</v>
          </cell>
        </row>
        <row r="107">
          <cell r="A107" t="str">
            <v>Empresa Polo141910200</v>
          </cell>
          <cell r="B107">
            <v>739.19628999999998</v>
          </cell>
          <cell r="C107">
            <v>373.49057000000005</v>
          </cell>
          <cell r="D107">
            <v>6823.9445800000012</v>
          </cell>
          <cell r="E107">
            <v>-908.62531000000035</v>
          </cell>
          <cell r="F107">
            <v>470.61288999999942</v>
          </cell>
          <cell r="G107">
            <v>-16.693860000000008</v>
          </cell>
        </row>
        <row r="108">
          <cell r="A108" t="str">
            <v>Empresa Polo141910240</v>
          </cell>
          <cell r="B108">
            <v>414.11082999999996</v>
          </cell>
          <cell r="C108">
            <v>129.39357000000007</v>
          </cell>
          <cell r="D108">
            <v>-258.18488000000008</v>
          </cell>
          <cell r="E108">
            <v>9.5584800000000314</v>
          </cell>
          <cell r="F108">
            <v>388.17821999999995</v>
          </cell>
          <cell r="G108">
            <v>47.247770000000003</v>
          </cell>
        </row>
        <row r="109">
          <cell r="A109" t="str">
            <v>Empresa Polo141910250</v>
          </cell>
          <cell r="B109">
            <v>19.108619999999998</v>
          </cell>
          <cell r="C109">
            <v>109.64845</v>
          </cell>
          <cell r="D109">
            <v>-109.98881</v>
          </cell>
          <cell r="E109">
            <v>1.0204999999999984</v>
          </cell>
          <cell r="F109">
            <v>58.375050000000016</v>
          </cell>
          <cell r="G109">
            <v>-242.45219999999998</v>
          </cell>
        </row>
        <row r="110">
          <cell r="A110" t="str">
            <v>Empresa Polo141910900</v>
          </cell>
          <cell r="B110">
            <v>17.189520000000002</v>
          </cell>
          <cell r="C110">
            <v>138.52253999999999</v>
          </cell>
          <cell r="D110">
            <v>72.94784999999996</v>
          </cell>
          <cell r="E110">
            <v>22.049150000000054</v>
          </cell>
          <cell r="F110">
            <v>94.193649999999877</v>
          </cell>
          <cell r="G110">
            <v>-10.409499999999994</v>
          </cell>
        </row>
        <row r="111">
          <cell r="A111" t="str">
            <v>Empresa Polo141960000</v>
          </cell>
          <cell r="B111">
            <v>8.7935599999999994</v>
          </cell>
          <cell r="C111">
            <v>-0.30335999999999963</v>
          </cell>
          <cell r="D111">
            <v>0.57262000000000057</v>
          </cell>
          <cell r="E111">
            <v>-2.2189199999999998</v>
          </cell>
          <cell r="F111">
            <v>261.80182000000002</v>
          </cell>
          <cell r="G111">
            <v>0.854360000000014</v>
          </cell>
        </row>
        <row r="112">
          <cell r="A112" t="str">
            <v>Empresa Polo141960010</v>
          </cell>
          <cell r="B112">
            <v>4.8936200000000003</v>
          </cell>
          <cell r="C112">
            <v>7.9099499999999985</v>
          </cell>
          <cell r="D112">
            <v>2.805830000000002</v>
          </cell>
          <cell r="E112">
            <v>5.6897699999999993</v>
          </cell>
          <cell r="F112">
            <v>2.7802100000000003</v>
          </cell>
          <cell r="G112">
            <v>4.9981899999984307</v>
          </cell>
        </row>
        <row r="113">
          <cell r="A113" t="str">
            <v>Empresa Polo141999999</v>
          </cell>
          <cell r="B113">
            <v>85.0244</v>
          </cell>
          <cell r="C113">
            <v>0.85318999999999789</v>
          </cell>
          <cell r="D113">
            <v>226.41327000000001</v>
          </cell>
          <cell r="E113">
            <v>1.2759800000000041</v>
          </cell>
          <cell r="F113">
            <v>-84.641820000000024</v>
          </cell>
          <cell r="G113">
            <v>6591.6912900000025</v>
          </cell>
        </row>
        <row r="114">
          <cell r="A114" t="str">
            <v>Empresa Polo233800000</v>
          </cell>
          <cell r="B114">
            <v>21629.945960000001</v>
          </cell>
          <cell r="C114">
            <v>2575.7958800000015</v>
          </cell>
          <cell r="D114">
            <v>1043.2822800000031</v>
          </cell>
          <cell r="E114">
            <v>-373.73280000000159</v>
          </cell>
          <cell r="F114">
            <v>-0.22946000000592903</v>
          </cell>
          <cell r="G114">
            <v>260.92082000000005</v>
          </cell>
        </row>
        <row r="115">
          <cell r="A115" t="str">
            <v>Empresa Polo241100011</v>
          </cell>
          <cell r="B115">
            <v>6422.3047474000005</v>
          </cell>
          <cell r="C115">
            <v>5982.7349497999994</v>
          </cell>
          <cell r="D115">
            <v>8487.9099328000029</v>
          </cell>
          <cell r="E115">
            <v>6705.3409299999985</v>
          </cell>
          <cell r="F115">
            <v>5787.0369399999981</v>
          </cell>
          <cell r="G115">
            <v>0.94420999999999999</v>
          </cell>
        </row>
        <row r="116">
          <cell r="A116" t="str">
            <v>Empresa Polo241100013</v>
          </cell>
          <cell r="B116">
            <v>138.63257160000001</v>
          </cell>
          <cell r="C116">
            <v>75.642147000000023</v>
          </cell>
          <cell r="D116">
            <v>198.98545139999999</v>
          </cell>
          <cell r="E116">
            <v>248.21613000000002</v>
          </cell>
          <cell r="F116">
            <v>323.60760999999991</v>
          </cell>
          <cell r="G116">
            <v>209.71016999999983</v>
          </cell>
        </row>
        <row r="117">
          <cell r="A117" t="str">
            <v>Empresa Polo241100014</v>
          </cell>
          <cell r="B117">
            <v>0.30611000000000005</v>
          </cell>
          <cell r="C117">
            <v>0.36095999999999989</v>
          </cell>
          <cell r="D117">
            <v>3.6021600000000005</v>
          </cell>
          <cell r="E117">
            <v>5.8993500000000001</v>
          </cell>
          <cell r="F117">
            <v>1.7890500000000014</v>
          </cell>
          <cell r="G117">
            <v>2342.5463200000013</v>
          </cell>
        </row>
        <row r="118">
          <cell r="A118" t="str">
            <v>Empresa Polo241100015</v>
          </cell>
          <cell r="B118">
            <v>280.94326169999999</v>
          </cell>
          <cell r="C118">
            <v>394.91875220000009</v>
          </cell>
          <cell r="D118">
            <v>1082.4381060999999</v>
          </cell>
          <cell r="E118">
            <v>32.112519999999677</v>
          </cell>
          <cell r="F118">
            <v>579.35196000000019</v>
          </cell>
          <cell r="G118">
            <v>567.76565000000119</v>
          </cell>
        </row>
        <row r="119">
          <cell r="A119" t="str">
            <v>Empresa Polo241100021</v>
          </cell>
          <cell r="B119">
            <v>2934.0743732000001</v>
          </cell>
          <cell r="C119">
            <v>2523.4724416999998</v>
          </cell>
          <cell r="D119">
            <v>3123.8935250999994</v>
          </cell>
          <cell r="E119">
            <v>2249.8025800000014</v>
          </cell>
          <cell r="F119">
            <v>1096.0207799999989</v>
          </cell>
          <cell r="G119">
            <v>878.9943600000006</v>
          </cell>
        </row>
        <row r="120">
          <cell r="A120" t="str">
            <v>Empresa Polo241100022</v>
          </cell>
          <cell r="B120">
            <v>618.46176659999992</v>
          </cell>
          <cell r="C120">
            <v>687.40831600000001</v>
          </cell>
          <cell r="D120">
            <v>832.38814739999998</v>
          </cell>
          <cell r="E120">
            <v>932.71520999999984</v>
          </cell>
          <cell r="F120">
            <v>1137.7494399999996</v>
          </cell>
          <cell r="G120">
            <v>670.69017000000031</v>
          </cell>
        </row>
        <row r="121">
          <cell r="A121" t="str">
            <v>Empresa Polo241100023</v>
          </cell>
          <cell r="B121">
            <v>808.18897149999998</v>
          </cell>
          <cell r="C121">
            <v>609.2529684000001</v>
          </cell>
          <cell r="D121">
            <v>1336.2541700999998</v>
          </cell>
          <cell r="E121">
            <v>732.02631999999994</v>
          </cell>
          <cell r="F121">
            <v>1097.5853299999999</v>
          </cell>
          <cell r="G121">
            <v>910.10172000000148</v>
          </cell>
        </row>
        <row r="122">
          <cell r="A122" t="str">
            <v>Empresa Polo241100024</v>
          </cell>
          <cell r="B122">
            <v>590.7257767000001</v>
          </cell>
          <cell r="C122">
            <v>626.6425562999998</v>
          </cell>
          <cell r="D122">
            <v>724.36322699999982</v>
          </cell>
          <cell r="E122">
            <v>615.77034000000049</v>
          </cell>
          <cell r="F122">
            <v>792.71255999999994</v>
          </cell>
          <cell r="G122">
            <v>293.23145999999997</v>
          </cell>
        </row>
        <row r="123">
          <cell r="A123" t="str">
            <v>Empresa Polo241100031</v>
          </cell>
          <cell r="B123">
            <v>850.5445729999999</v>
          </cell>
          <cell r="C123">
            <v>1402.4294400000001</v>
          </cell>
          <cell r="D123">
            <v>1462.3999469999999</v>
          </cell>
          <cell r="E123">
            <v>725.49539000000004</v>
          </cell>
          <cell r="F123">
            <v>742.10968000000048</v>
          </cell>
          <cell r="G123">
            <v>250.19601000000011</v>
          </cell>
        </row>
        <row r="124">
          <cell r="A124" t="str">
            <v>Empresa Polo241100032</v>
          </cell>
          <cell r="B124">
            <v>514.06679699999995</v>
          </cell>
          <cell r="C124">
            <v>270.11795000000006</v>
          </cell>
          <cell r="D124">
            <v>524.38368299999979</v>
          </cell>
          <cell r="E124">
            <v>607.77507000000014</v>
          </cell>
          <cell r="F124">
            <v>418.60861999999997</v>
          </cell>
          <cell r="G124">
            <v>1279.8047200000001</v>
          </cell>
        </row>
        <row r="125">
          <cell r="A125" t="str">
            <v>Empresa Polo241100050</v>
          </cell>
          <cell r="B125">
            <v>812.22904000000017</v>
          </cell>
          <cell r="C125">
            <v>651.89773999999989</v>
          </cell>
          <cell r="D125">
            <v>-161.67696000000024</v>
          </cell>
          <cell r="E125">
            <v>113.43126000000029</v>
          </cell>
          <cell r="F125">
            <v>301.07677999999987</v>
          </cell>
          <cell r="G125">
            <v>179.55959999999993</v>
          </cell>
        </row>
        <row r="126">
          <cell r="A126" t="str">
            <v>Empresa Polo241100200</v>
          </cell>
          <cell r="B126">
            <v>1267.2270900000001</v>
          </cell>
          <cell r="C126">
            <v>1245.9332199999997</v>
          </cell>
          <cell r="D126">
            <v>937.66483999999991</v>
          </cell>
          <cell r="E126">
            <v>964.07467000000088</v>
          </cell>
          <cell r="F126">
            <v>906.32987999999932</v>
          </cell>
          <cell r="G126">
            <v>60.997869999999978</v>
          </cell>
        </row>
        <row r="127">
          <cell r="A127" t="str">
            <v>Empresa Polo241100210</v>
          </cell>
          <cell r="B127">
            <v>155.15049999999999</v>
          </cell>
          <cell r="C127">
            <v>159.49972999999997</v>
          </cell>
          <cell r="D127">
            <v>112.74503000000004</v>
          </cell>
          <cell r="E127">
            <v>209.30992999999989</v>
          </cell>
          <cell r="F127">
            <v>161.77009000000021</v>
          </cell>
          <cell r="G127">
            <v>519.26980000000094</v>
          </cell>
        </row>
        <row r="128">
          <cell r="A128" t="str">
            <v>Empresa Polo241100220</v>
          </cell>
          <cell r="B128">
            <v>45.328419999999994</v>
          </cell>
          <cell r="C128">
            <v>34.832500000000003</v>
          </cell>
          <cell r="D128">
            <v>102.07894999999999</v>
          </cell>
          <cell r="E128">
            <v>51.78476999999998</v>
          </cell>
          <cell r="F128">
            <v>47.263260000000002</v>
          </cell>
          <cell r="G128">
            <v>26.571660000000001</v>
          </cell>
        </row>
        <row r="129">
          <cell r="A129" t="str">
            <v>Empresa Polo241100300</v>
          </cell>
          <cell r="B129">
            <v>487.82322139999997</v>
          </cell>
          <cell r="C129">
            <v>346.28335960000004</v>
          </cell>
          <cell r="D129">
            <v>642.31137900000022</v>
          </cell>
          <cell r="E129">
            <v>545.17902999999978</v>
          </cell>
          <cell r="F129">
            <v>1148.4236599999999</v>
          </cell>
          <cell r="G129">
            <v>111.54650999999996</v>
          </cell>
        </row>
        <row r="130">
          <cell r="A130" t="str">
            <v>Empresa Polo241100310</v>
          </cell>
          <cell r="B130">
            <v>80.207699300000002</v>
          </cell>
          <cell r="C130">
            <v>206.55983270000002</v>
          </cell>
          <cell r="D130">
            <v>-88.321672000000007</v>
          </cell>
          <cell r="E130">
            <v>150.27125000000001</v>
          </cell>
          <cell r="F130">
            <v>-300.14676000000003</v>
          </cell>
          <cell r="G130">
            <v>56.152330000000006</v>
          </cell>
        </row>
        <row r="131">
          <cell r="A131" t="str">
            <v>Empresa Polo241100320</v>
          </cell>
          <cell r="B131">
            <v>34.404019399999996</v>
          </cell>
          <cell r="C131">
            <v>228.35290090000001</v>
          </cell>
          <cell r="D131">
            <v>41.516549699999985</v>
          </cell>
          <cell r="E131">
            <v>58.113870000000077</v>
          </cell>
          <cell r="F131">
            <v>46.910909999999944</v>
          </cell>
          <cell r="G131">
            <v>113.83509000000004</v>
          </cell>
        </row>
        <row r="132">
          <cell r="A132" t="str">
            <v>Empresa Polo241100330</v>
          </cell>
          <cell r="B132">
            <v>30.529500000000002</v>
          </cell>
          <cell r="C132">
            <v>43.899056700000003</v>
          </cell>
          <cell r="D132">
            <v>77.104303299999998</v>
          </cell>
          <cell r="E132">
            <v>40.914140000000003</v>
          </cell>
          <cell r="F132">
            <v>45.810339999999997</v>
          </cell>
          <cell r="G132">
            <v>47.531799999999976</v>
          </cell>
        </row>
        <row r="133">
          <cell r="A133" t="str">
            <v>Empresa Polo241100400</v>
          </cell>
          <cell r="B133">
            <v>226.00994999999998</v>
          </cell>
          <cell r="C133">
            <v>370.43441999999993</v>
          </cell>
          <cell r="D133">
            <v>245.36457000000007</v>
          </cell>
          <cell r="E133">
            <v>-132.44212000000005</v>
          </cell>
          <cell r="F133">
            <v>123.19925999999998</v>
          </cell>
          <cell r="G133">
            <v>16.545459999999991</v>
          </cell>
        </row>
        <row r="134">
          <cell r="A134" t="str">
            <v>Empresa Polo241100410</v>
          </cell>
          <cell r="B134">
            <v>50.404619999999994</v>
          </cell>
          <cell r="C134">
            <v>59.148620000000008</v>
          </cell>
          <cell r="D134">
            <v>80.665350000000004</v>
          </cell>
          <cell r="E134">
            <v>30.566759999999988</v>
          </cell>
          <cell r="F134">
            <v>58.702800000000025</v>
          </cell>
          <cell r="G134">
            <v>138.45528999999988</v>
          </cell>
        </row>
        <row r="135">
          <cell r="A135" t="str">
            <v>Empresa Polo241100420</v>
          </cell>
          <cell r="B135">
            <v>0.8569500000000001</v>
          </cell>
          <cell r="C135">
            <v>1.97353</v>
          </cell>
          <cell r="D135">
            <v>8.3319399999999995</v>
          </cell>
          <cell r="E135">
            <v>112.70402</v>
          </cell>
          <cell r="F135">
            <v>14.768380000000022</v>
          </cell>
          <cell r="G135">
            <v>222.88925999999992</v>
          </cell>
        </row>
        <row r="136">
          <cell r="A136" t="str">
            <v>Empresa Polo241100500</v>
          </cell>
          <cell r="B136">
            <v>97.922308599999994</v>
          </cell>
          <cell r="C136">
            <v>119.93790340000002</v>
          </cell>
          <cell r="D136">
            <v>139.58705799999998</v>
          </cell>
          <cell r="E136">
            <v>222.34856000000002</v>
          </cell>
          <cell r="F136">
            <v>203.31421</v>
          </cell>
          <cell r="G136">
            <v>522.0622400000002</v>
          </cell>
        </row>
        <row r="137">
          <cell r="A137" t="str">
            <v>Empresa Polo241100505</v>
          </cell>
          <cell r="B137">
            <v>7.1920900000000003</v>
          </cell>
          <cell r="C137">
            <v>-4.1355400000000007</v>
          </cell>
          <cell r="D137">
            <v>246.41360999999998</v>
          </cell>
          <cell r="E137">
            <v>537.67734000000007</v>
          </cell>
          <cell r="F137">
            <v>567.81194000000005</v>
          </cell>
          <cell r="G137">
            <v>49.92752000000003</v>
          </cell>
        </row>
        <row r="138">
          <cell r="A138" t="str">
            <v>Empresa Polo241100510</v>
          </cell>
          <cell r="B138">
            <v>131.64105999999998</v>
          </cell>
          <cell r="C138">
            <v>1330.5215907000002</v>
          </cell>
          <cell r="D138">
            <v>492.96466929999997</v>
          </cell>
          <cell r="E138">
            <v>390.66616999999997</v>
          </cell>
          <cell r="F138">
            <v>453.67760999999973</v>
          </cell>
          <cell r="G138">
            <v>80.002800000000036</v>
          </cell>
        </row>
        <row r="139">
          <cell r="A139" t="str">
            <v>Empresa Polo241200100</v>
          </cell>
          <cell r="B139">
            <v>3.6562700000000001</v>
          </cell>
          <cell r="C139">
            <v>276.95582999999999</v>
          </cell>
          <cell r="D139">
            <v>-243.35744</v>
          </cell>
          <cell r="E139">
            <v>35.287129999999991</v>
          </cell>
          <cell r="F139">
            <v>31.023029999999991</v>
          </cell>
          <cell r="G139">
            <v>24.169880000000049</v>
          </cell>
        </row>
        <row r="140">
          <cell r="A140" t="str">
            <v>Empresa Polo241200200</v>
          </cell>
          <cell r="B140">
            <v>19.573420000000002</v>
          </cell>
          <cell r="C140">
            <v>23.606339999999992</v>
          </cell>
          <cell r="D140">
            <v>45.372700000000016</v>
          </cell>
          <cell r="E140">
            <v>68.644799999999989</v>
          </cell>
          <cell r="F140">
            <v>102.11993000000004</v>
          </cell>
          <cell r="G140">
            <v>-244.44650999999993</v>
          </cell>
        </row>
        <row r="141">
          <cell r="A141" t="str">
            <v>Empresa Polo241200210</v>
          </cell>
          <cell r="B141">
            <v>5.2732700000000001</v>
          </cell>
          <cell r="C141">
            <v>6.5954599999999992</v>
          </cell>
          <cell r="D141">
            <v>73.555910000000011</v>
          </cell>
          <cell r="E141">
            <v>21.938349999999986</v>
          </cell>
          <cell r="F141">
            <v>13.346260000000001</v>
          </cell>
          <cell r="G141">
            <v>97.160949999999957</v>
          </cell>
        </row>
        <row r="142">
          <cell r="A142" t="str">
            <v>Empresa Polo241200300</v>
          </cell>
          <cell r="B142">
            <v>330.30209000000002</v>
          </cell>
          <cell r="C142">
            <v>4.264699999999948</v>
          </cell>
          <cell r="D142">
            <v>315.63918000000001</v>
          </cell>
          <cell r="E142">
            <v>-37.770549999999957</v>
          </cell>
          <cell r="F142">
            <v>7.7967899999998735</v>
          </cell>
          <cell r="G142">
            <v>55.057230000000118</v>
          </cell>
        </row>
        <row r="143">
          <cell r="A143" t="str">
            <v>Empresa Polo241200400</v>
          </cell>
          <cell r="B143">
            <v>144.77966000000001</v>
          </cell>
          <cell r="C143">
            <v>102.74400999999997</v>
          </cell>
          <cell r="D143">
            <v>162.74203999999997</v>
          </cell>
          <cell r="E143">
            <v>183.35302000000019</v>
          </cell>
          <cell r="F143">
            <v>86.707159999999931</v>
          </cell>
          <cell r="G143">
            <v>13.01630999999999</v>
          </cell>
        </row>
        <row r="144">
          <cell r="A144" t="str">
            <v>Empresa Polo241200500</v>
          </cell>
          <cell r="B144">
            <v>107.76951000000001</v>
          </cell>
          <cell r="C144">
            <v>130.25905999999998</v>
          </cell>
          <cell r="D144">
            <v>165.41759000000002</v>
          </cell>
          <cell r="E144">
            <v>79.092019999999991</v>
          </cell>
          <cell r="F144">
            <v>175.50142000000005</v>
          </cell>
          <cell r="G144">
            <v>0.27576000000000001</v>
          </cell>
        </row>
        <row r="145">
          <cell r="A145" t="str">
            <v>Empresa Polo241200710</v>
          </cell>
          <cell r="B145">
            <v>3.4092232</v>
          </cell>
          <cell r="C145">
            <v>15.965259</v>
          </cell>
          <cell r="D145">
            <v>24.146257799999997</v>
          </cell>
          <cell r="E145">
            <v>-16.487539999999999</v>
          </cell>
          <cell r="F145">
            <v>10.409500000000005</v>
          </cell>
          <cell r="G145">
            <v>0</v>
          </cell>
        </row>
        <row r="146">
          <cell r="A146" t="str">
            <v>Empresa Polo241200720</v>
          </cell>
          <cell r="B146">
            <v>28.582969799999997</v>
          </cell>
          <cell r="C146">
            <v>-1.9185261000000011</v>
          </cell>
          <cell r="D146">
            <v>-19.029323699999996</v>
          </cell>
          <cell r="E146">
            <v>10.689250000000001</v>
          </cell>
          <cell r="F146">
            <v>-11.489030000000001</v>
          </cell>
          <cell r="G146">
            <v>0</v>
          </cell>
        </row>
        <row r="147">
          <cell r="A147" t="str">
            <v>Empresa Polo241200730</v>
          </cell>
          <cell r="B147">
            <v>0</v>
          </cell>
          <cell r="C147">
            <v>13.60904</v>
          </cell>
          <cell r="D147">
            <v>-12.549630000000001</v>
          </cell>
          <cell r="E147">
            <v>0.03</v>
          </cell>
          <cell r="F147">
            <v>-3.8000000000000256E-3</v>
          </cell>
          <cell r="G147">
            <v>98.786329999999907</v>
          </cell>
        </row>
        <row r="148">
          <cell r="A148" t="str">
            <v>Empresa Polo241200740</v>
          </cell>
          <cell r="B148">
            <v>3.2979499999999997</v>
          </cell>
          <cell r="C148">
            <v>-3.0851499999999996</v>
          </cell>
          <cell r="D148">
            <v>0.81</v>
          </cell>
          <cell r="E148">
            <v>0.22500000000000001</v>
          </cell>
          <cell r="F148">
            <v>9.8000000000000309E-3</v>
          </cell>
          <cell r="G148">
            <v>88.169399999999996</v>
          </cell>
        </row>
        <row r="149">
          <cell r="A149" t="str">
            <v>Empresa Polo241200790</v>
          </cell>
          <cell r="B149">
            <v>1508.7224070000002</v>
          </cell>
          <cell r="C149">
            <v>-677.44665300000031</v>
          </cell>
          <cell r="D149">
            <v>-292.19464399999981</v>
          </cell>
          <cell r="E149">
            <v>183.50579999999991</v>
          </cell>
          <cell r="F149">
            <v>127.45440000000019</v>
          </cell>
          <cell r="G149">
            <v>8.7899799999999999</v>
          </cell>
        </row>
        <row r="150">
          <cell r="A150" t="str">
            <v>Empresa Polo241300100</v>
          </cell>
          <cell r="B150">
            <v>40.244329999999998</v>
          </cell>
          <cell r="C150">
            <v>65.663089999999983</v>
          </cell>
          <cell r="D150">
            <v>11.671720000000022</v>
          </cell>
          <cell r="E150">
            <v>63.382710000000003</v>
          </cell>
          <cell r="F150">
            <v>123.17654000000007</v>
          </cell>
          <cell r="G150">
            <v>21.440290000000033</v>
          </cell>
        </row>
        <row r="151">
          <cell r="A151" t="str">
            <v>Empresa Polo241300200</v>
          </cell>
          <cell r="B151">
            <v>2.8313299999999999</v>
          </cell>
          <cell r="C151">
            <v>5.6227200000000011</v>
          </cell>
          <cell r="D151">
            <v>12.318479999999999</v>
          </cell>
          <cell r="E151">
            <v>11.932870000000005</v>
          </cell>
          <cell r="F151">
            <v>4.975529999999992</v>
          </cell>
          <cell r="G151">
            <v>264.95931000000019</v>
          </cell>
        </row>
        <row r="152">
          <cell r="A152" t="str">
            <v>Empresa Polo241300300</v>
          </cell>
          <cell r="B152">
            <v>54.43674</v>
          </cell>
          <cell r="C152">
            <v>59.03913</v>
          </cell>
          <cell r="D152">
            <v>55.476759999999999</v>
          </cell>
          <cell r="E152">
            <v>37.084130000000016</v>
          </cell>
          <cell r="F152">
            <v>23.78726999999995</v>
          </cell>
          <cell r="G152">
            <v>4</v>
          </cell>
        </row>
        <row r="153">
          <cell r="A153" t="str">
            <v>Empresa Polo241300400</v>
          </cell>
          <cell r="B153">
            <v>431.37398999999994</v>
          </cell>
          <cell r="C153">
            <v>614.52628000000016</v>
          </cell>
          <cell r="D153">
            <v>38.38339999999971</v>
          </cell>
          <cell r="E153">
            <v>195.55867000000012</v>
          </cell>
          <cell r="F153">
            <v>307.17867999999999</v>
          </cell>
          <cell r="G153">
            <v>21.362510000000015</v>
          </cell>
        </row>
        <row r="154">
          <cell r="A154" t="str">
            <v>Empresa Polo241300410</v>
          </cell>
          <cell r="B154">
            <v>0</v>
          </cell>
          <cell r="C154">
            <v>0</v>
          </cell>
          <cell r="D154">
            <v>0.45500000000000002</v>
          </cell>
          <cell r="E154">
            <v>0</v>
          </cell>
          <cell r="F154">
            <v>57.004059999999996</v>
          </cell>
          <cell r="G154">
            <v>43.741969999999981</v>
          </cell>
        </row>
        <row r="155">
          <cell r="A155" t="str">
            <v>Empresa Polo241301300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1659.7048100000002</v>
          </cell>
        </row>
        <row r="156">
          <cell r="A156" t="str">
            <v>Empresa Polo241301310</v>
          </cell>
          <cell r="B156">
            <v>5.4831799999999999</v>
          </cell>
          <cell r="C156">
            <v>6.8812799999999994</v>
          </cell>
          <cell r="D156">
            <v>82.644700000000014</v>
          </cell>
          <cell r="E156">
            <v>58.157109999999989</v>
          </cell>
          <cell r="F156">
            <v>11.349549999999994</v>
          </cell>
          <cell r="G156">
            <v>-1278.3456500000002</v>
          </cell>
        </row>
        <row r="157">
          <cell r="A157" t="str">
            <v>Empresa Polo241301330</v>
          </cell>
          <cell r="B157">
            <v>2.8676599999999999</v>
          </cell>
          <cell r="C157">
            <v>66.090780000000009</v>
          </cell>
          <cell r="D157">
            <v>54.21562999999999</v>
          </cell>
          <cell r="E157">
            <v>5.9713600000000042</v>
          </cell>
          <cell r="F157">
            <v>46.91079000000002</v>
          </cell>
          <cell r="G157">
            <v>-493.27269000000024</v>
          </cell>
        </row>
        <row r="158">
          <cell r="A158" t="str">
            <v>Empresa Polo241301340</v>
          </cell>
          <cell r="B158">
            <v>2223.7511800000002</v>
          </cell>
          <cell r="C158">
            <v>680.82632000000012</v>
          </cell>
          <cell r="D158">
            <v>782.78051999999934</v>
          </cell>
          <cell r="E158">
            <v>1751.8851500000001</v>
          </cell>
          <cell r="F158">
            <v>810.69720000000143</v>
          </cell>
          <cell r="G158">
            <v>30.310879999999941</v>
          </cell>
        </row>
        <row r="159">
          <cell r="A159" t="str">
            <v>Empresa Polo241301350</v>
          </cell>
          <cell r="B159">
            <v>120.29275</v>
          </cell>
          <cell r="C159">
            <v>17.242390000000015</v>
          </cell>
          <cell r="D159">
            <v>-134.94465000000002</v>
          </cell>
          <cell r="E159">
            <v>214.3</v>
          </cell>
          <cell r="F159">
            <v>1353.2002800000002</v>
          </cell>
          <cell r="G159">
            <v>66.682350000000042</v>
          </cell>
        </row>
        <row r="160">
          <cell r="A160" t="str">
            <v>Empresa Polo241301360</v>
          </cell>
          <cell r="B160">
            <v>32.480490000000003</v>
          </cell>
          <cell r="C160">
            <v>255.70387000000002</v>
          </cell>
          <cell r="D160">
            <v>-99.832880000000017</v>
          </cell>
          <cell r="E160">
            <v>110.10481999999999</v>
          </cell>
          <cell r="F160">
            <v>821.08633000000009</v>
          </cell>
          <cell r="G160">
            <v>34.859150000000113</v>
          </cell>
        </row>
        <row r="161">
          <cell r="A161" t="str">
            <v>Empresa Polo241301390</v>
          </cell>
          <cell r="B161">
            <v>2.84552</v>
          </cell>
          <cell r="C161">
            <v>195.13634999999999</v>
          </cell>
          <cell r="D161">
            <v>-24.53546</v>
          </cell>
          <cell r="E161">
            <v>83.583210000000037</v>
          </cell>
          <cell r="F161">
            <v>74.384029999999939</v>
          </cell>
          <cell r="G161">
            <v>-18.180499999999483</v>
          </cell>
        </row>
        <row r="162">
          <cell r="A162" t="str">
            <v>Empresa Polo241301400</v>
          </cell>
          <cell r="B162">
            <v>554.06290999999999</v>
          </cell>
          <cell r="C162">
            <v>-1144.8857599999999</v>
          </cell>
          <cell r="D162">
            <v>364.35679999999985</v>
          </cell>
          <cell r="E162">
            <v>1215.1307499999998</v>
          </cell>
          <cell r="F162">
            <v>111.86931000000004</v>
          </cell>
          <cell r="G162">
            <v>-631.10877000000005</v>
          </cell>
        </row>
        <row r="163">
          <cell r="A163" t="str">
            <v>Empresa Polo241301500</v>
          </cell>
          <cell r="B163">
            <v>1305.76045</v>
          </cell>
          <cell r="C163">
            <v>2236.3715300000003</v>
          </cell>
          <cell r="D163">
            <v>-652.6202000000003</v>
          </cell>
          <cell r="E163">
            <v>-2322.6533199999999</v>
          </cell>
          <cell r="F163">
            <v>296.68879000000004</v>
          </cell>
          <cell r="G163">
            <v>398.16830000000027</v>
          </cell>
        </row>
        <row r="164">
          <cell r="A164" t="str">
            <v>Empresa Polo241301511</v>
          </cell>
          <cell r="B164">
            <v>0</v>
          </cell>
          <cell r="C164">
            <v>2.5034000000000001</v>
          </cell>
          <cell r="D164">
            <v>804.97714999999994</v>
          </cell>
          <cell r="E164">
            <v>379.13707000000022</v>
          </cell>
          <cell r="F164">
            <v>18.524419999999736</v>
          </cell>
          <cell r="G164">
            <v>1838.8430299999964</v>
          </cell>
        </row>
        <row r="165">
          <cell r="A165" t="str">
            <v>Empresa Polo241301512</v>
          </cell>
          <cell r="B165">
            <v>43.476559999999999</v>
          </cell>
          <cell r="C165">
            <v>275.12431000000004</v>
          </cell>
          <cell r="D165">
            <v>-100.93842000000004</v>
          </cell>
          <cell r="E165">
            <v>671.24153000000001</v>
          </cell>
          <cell r="F165">
            <v>103.89922000000001</v>
          </cell>
          <cell r="G165">
            <v>107.54077999999981</v>
          </cell>
        </row>
        <row r="166">
          <cell r="A166" t="str">
            <v>Empresa Polo241301513</v>
          </cell>
          <cell r="B166">
            <v>289.98668000000004</v>
          </cell>
          <cell r="C166">
            <v>130.63581000000005</v>
          </cell>
          <cell r="D166">
            <v>175.68358999999987</v>
          </cell>
          <cell r="E166">
            <v>234.59748000000002</v>
          </cell>
          <cell r="F166">
            <v>788.33840999999984</v>
          </cell>
          <cell r="G166">
            <v>62.72393999999997</v>
          </cell>
        </row>
        <row r="167">
          <cell r="A167" t="str">
            <v>Empresa Polo241301514</v>
          </cell>
          <cell r="B167">
            <v>4834.2635099999998</v>
          </cell>
          <cell r="C167">
            <v>8373.3488499999985</v>
          </cell>
          <cell r="D167">
            <v>5291.1581100000003</v>
          </cell>
          <cell r="E167">
            <v>24.784370000001218</v>
          </cell>
          <cell r="F167">
            <v>2286.2797200000023</v>
          </cell>
          <cell r="G167">
            <v>642.59496999999919</v>
          </cell>
        </row>
        <row r="168">
          <cell r="A168" t="str">
            <v>Empresa Polo241301515</v>
          </cell>
          <cell r="B168">
            <v>72.570250000000001</v>
          </cell>
          <cell r="C168">
            <v>47.31422000000002</v>
          </cell>
          <cell r="D168">
            <v>763.65070000000014</v>
          </cell>
          <cell r="E168">
            <v>130.05250999999987</v>
          </cell>
          <cell r="F168">
            <v>96.12264000000016</v>
          </cell>
          <cell r="G168">
            <v>-83.455099999999959</v>
          </cell>
        </row>
        <row r="169">
          <cell r="A169" t="str">
            <v>Empresa Polo241301516</v>
          </cell>
          <cell r="B169">
            <v>59.541179999999997</v>
          </cell>
          <cell r="C169">
            <v>39.088160000000002</v>
          </cell>
          <cell r="D169">
            <v>15.225</v>
          </cell>
          <cell r="E169">
            <v>-3.8802000000000021</v>
          </cell>
          <cell r="F169">
            <v>14.478300000000004</v>
          </cell>
          <cell r="G169">
            <v>458.08689999999933</v>
          </cell>
        </row>
        <row r="170">
          <cell r="A170" t="str">
            <v>Empresa Polo241301517</v>
          </cell>
          <cell r="B170">
            <v>1340.0340900000001</v>
          </cell>
          <cell r="C170">
            <v>143.91953000000012</v>
          </cell>
          <cell r="D170">
            <v>780.69452999999976</v>
          </cell>
          <cell r="E170">
            <v>1183.3491399999998</v>
          </cell>
          <cell r="F170">
            <v>749.63337000000001</v>
          </cell>
          <cell r="G170">
            <v>716.66308000000026</v>
          </cell>
        </row>
        <row r="171">
          <cell r="A171" t="str">
            <v>Empresa Polo241301530</v>
          </cell>
          <cell r="B171">
            <v>554.37351000000001</v>
          </cell>
          <cell r="C171">
            <v>713.65098999999998</v>
          </cell>
          <cell r="D171">
            <v>-763.76802999999995</v>
          </cell>
          <cell r="E171">
            <v>-194.63909000000001</v>
          </cell>
          <cell r="F171">
            <v>33.96963999999997</v>
          </cell>
          <cell r="G171">
            <v>20.768300000000011</v>
          </cell>
        </row>
        <row r="172">
          <cell r="A172" t="str">
            <v>Empresa Polo241301600</v>
          </cell>
          <cell r="B172">
            <v>0</v>
          </cell>
          <cell r="C172">
            <v>27</v>
          </cell>
          <cell r="D172">
            <v>209.23732999999999</v>
          </cell>
          <cell r="E172">
            <v>899.92952000000014</v>
          </cell>
          <cell r="F172">
            <v>998.95</v>
          </cell>
          <cell r="G172">
            <v>0</v>
          </cell>
        </row>
        <row r="173">
          <cell r="A173" t="str">
            <v>Empresa Polo241301610</v>
          </cell>
          <cell r="B173">
            <v>0</v>
          </cell>
          <cell r="C173">
            <v>46.36</v>
          </cell>
          <cell r="D173">
            <v>1429.2402000000002</v>
          </cell>
          <cell r="E173">
            <v>1091.3331799999999</v>
          </cell>
          <cell r="F173">
            <v>553.81421</v>
          </cell>
          <cell r="G173">
            <v>14.9343</v>
          </cell>
        </row>
        <row r="174">
          <cell r="A174" t="str">
            <v>Empresa Polo241301621</v>
          </cell>
          <cell r="B174">
            <v>1.6598900000000001</v>
          </cell>
          <cell r="C174">
            <v>93.728110000000001</v>
          </cell>
          <cell r="D174">
            <v>-30.1614</v>
          </cell>
          <cell r="E174">
            <v>60.745889999999989</v>
          </cell>
          <cell r="F174">
            <v>17.839410000000015</v>
          </cell>
          <cell r="G174">
            <v>92.345620000000025</v>
          </cell>
        </row>
        <row r="175">
          <cell r="A175" t="str">
            <v>Empresa Polo241301622</v>
          </cell>
          <cell r="B175">
            <v>4.1667500000000004</v>
          </cell>
          <cell r="C175">
            <v>-2.8344200000000006</v>
          </cell>
          <cell r="D175">
            <v>0</v>
          </cell>
          <cell r="E175">
            <v>21.702999999999999</v>
          </cell>
          <cell r="F175">
            <v>0</v>
          </cell>
          <cell r="G175">
            <v>2324.1240400000006</v>
          </cell>
        </row>
        <row r="176">
          <cell r="A176" t="str">
            <v>Empresa Polo241301623</v>
          </cell>
          <cell r="B176">
            <v>0</v>
          </cell>
          <cell r="C176">
            <v>3.6330200000000001</v>
          </cell>
          <cell r="D176">
            <v>13.322529999999999</v>
          </cell>
          <cell r="E176">
            <v>16.467009999999998</v>
          </cell>
          <cell r="F176">
            <v>0.84000000000000341</v>
          </cell>
          <cell r="G176">
            <v>-159.45956999999999</v>
          </cell>
        </row>
        <row r="177">
          <cell r="A177" t="str">
            <v>Empresa Polo241301624</v>
          </cell>
          <cell r="B177">
            <v>0</v>
          </cell>
          <cell r="C177">
            <v>0</v>
          </cell>
          <cell r="D177">
            <v>44.203420000000001</v>
          </cell>
          <cell r="E177">
            <v>-7.2532500000000013</v>
          </cell>
          <cell r="F177">
            <v>70.608130000000003</v>
          </cell>
          <cell r="G177">
            <v>441.21947</v>
          </cell>
        </row>
        <row r="178">
          <cell r="A178" t="str">
            <v>Empresa Polo241301700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306.96952000000033</v>
          </cell>
        </row>
        <row r="179">
          <cell r="A179" t="str">
            <v>Empresa Polo241301710</v>
          </cell>
          <cell r="B179">
            <v>32.365789999999997</v>
          </cell>
          <cell r="C179">
            <v>286.35156999999998</v>
          </cell>
          <cell r="D179">
            <v>1839.2599</v>
          </cell>
          <cell r="E179">
            <v>705.0991299999996</v>
          </cell>
          <cell r="F179">
            <v>1181.1708699999999</v>
          </cell>
          <cell r="G179">
            <v>45.425790000000063</v>
          </cell>
        </row>
        <row r="180">
          <cell r="A180" t="str">
            <v>Empresa Polo241301720</v>
          </cell>
          <cell r="B180">
            <v>328.88970999999998</v>
          </cell>
          <cell r="C180">
            <v>242.37820000000005</v>
          </cell>
          <cell r="D180">
            <v>182.37076999999988</v>
          </cell>
          <cell r="E180">
            <v>194.79799000000003</v>
          </cell>
          <cell r="F180">
            <v>647.17750000000001</v>
          </cell>
          <cell r="G180">
            <v>36.09579999999994</v>
          </cell>
        </row>
        <row r="181">
          <cell r="A181" t="str">
            <v>Empresa Polo241301800</v>
          </cell>
          <cell r="B181">
            <v>99.185739999999996</v>
          </cell>
          <cell r="C181">
            <v>400.19735000000003</v>
          </cell>
          <cell r="D181">
            <v>420.00803999999994</v>
          </cell>
          <cell r="E181">
            <v>-127.06063999999992</v>
          </cell>
          <cell r="F181">
            <v>393.98587999999995</v>
          </cell>
          <cell r="G181">
            <v>3415.4197800000002</v>
          </cell>
        </row>
        <row r="182">
          <cell r="A182" t="str">
            <v>Empresa Polo241301810</v>
          </cell>
          <cell r="B182">
            <v>266.95594999999997</v>
          </cell>
          <cell r="C182">
            <v>213.17119000000002</v>
          </cell>
          <cell r="D182">
            <v>299.65607000000006</v>
          </cell>
          <cell r="E182">
            <v>890.08650999999986</v>
          </cell>
          <cell r="F182">
            <v>351.48975999999993</v>
          </cell>
          <cell r="G182">
            <v>29.090379999999982</v>
          </cell>
        </row>
        <row r="183">
          <cell r="A183" t="str">
            <v>Empresa Polo241301820</v>
          </cell>
          <cell r="B183">
            <v>35.696830000000006</v>
          </cell>
          <cell r="C183">
            <v>68.038759999999996</v>
          </cell>
          <cell r="D183">
            <v>51.919639999999987</v>
          </cell>
          <cell r="E183">
            <v>48.022630000000021</v>
          </cell>
          <cell r="F183">
            <v>65.605289999999968</v>
          </cell>
          <cell r="G183">
            <v>37.124509999999987</v>
          </cell>
        </row>
        <row r="184">
          <cell r="A184" t="str">
            <v>Empresa Polo241301830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71.183109999999942</v>
          </cell>
        </row>
        <row r="185">
          <cell r="A185" t="str">
            <v>Empresa Polo241301900</v>
          </cell>
          <cell r="B185">
            <v>55.553330000000003</v>
          </cell>
          <cell r="C185">
            <v>84.26591999999998</v>
          </cell>
          <cell r="D185">
            <v>-26.918819999999997</v>
          </cell>
          <cell r="E185">
            <v>182.79725999999999</v>
          </cell>
          <cell r="F185">
            <v>68.652940000000001</v>
          </cell>
          <cell r="G185">
            <v>8.0095799999999961</v>
          </cell>
        </row>
        <row r="186">
          <cell r="A186" t="str">
            <v>Empresa Polo241301910</v>
          </cell>
          <cell r="B186">
            <v>3133.8944700000002</v>
          </cell>
          <cell r="C186">
            <v>4101.7010899999996</v>
          </cell>
          <cell r="D186">
            <v>5482.2924199999998</v>
          </cell>
          <cell r="E186">
            <v>1761.2603100000015</v>
          </cell>
          <cell r="F186">
            <v>3210.7334899999987</v>
          </cell>
          <cell r="G186">
            <v>1201.4696700000004</v>
          </cell>
        </row>
        <row r="187">
          <cell r="A187" t="str">
            <v>Empresa Polo241302000</v>
          </cell>
          <cell r="B187">
            <v>39.174429999999994</v>
          </cell>
          <cell r="C187">
            <v>21.354690000000005</v>
          </cell>
          <cell r="D187">
            <v>32.344029999999982</v>
          </cell>
          <cell r="E187">
            <v>191.05100000000002</v>
          </cell>
          <cell r="F187">
            <v>120.31102999999996</v>
          </cell>
          <cell r="G187">
            <v>5946.5609000000004</v>
          </cell>
        </row>
        <row r="188">
          <cell r="A188" t="str">
            <v>Empresa Polo241302010</v>
          </cell>
          <cell r="B188">
            <v>0.83311000000000002</v>
          </cell>
          <cell r="C188">
            <v>12.537939999999999</v>
          </cell>
          <cell r="D188">
            <v>-312.46410000000003</v>
          </cell>
          <cell r="E188">
            <v>493.69999000000001</v>
          </cell>
          <cell r="F188">
            <v>77.094380000000001</v>
          </cell>
          <cell r="G188">
            <v>395.85007000000019</v>
          </cell>
        </row>
        <row r="189">
          <cell r="A189" t="str">
            <v>Empresa Polo241302020</v>
          </cell>
          <cell r="B189">
            <v>97.395129999999995</v>
          </cell>
          <cell r="C189">
            <v>105.42832999999999</v>
          </cell>
          <cell r="D189">
            <v>96.96993999999998</v>
          </cell>
          <cell r="E189">
            <v>103.25547000000006</v>
          </cell>
          <cell r="F189">
            <v>164.94437999999997</v>
          </cell>
          <cell r="G189">
            <v>47.294449999999983</v>
          </cell>
        </row>
        <row r="190">
          <cell r="A190" t="str">
            <v>Empresa Polo241302030</v>
          </cell>
          <cell r="B190">
            <v>3.8936700000000002</v>
          </cell>
          <cell r="C190">
            <v>3.5238900000000006</v>
          </cell>
          <cell r="D190">
            <v>1.4401799999999989</v>
          </cell>
          <cell r="E190">
            <v>3.2405300000000015</v>
          </cell>
          <cell r="F190">
            <v>3.7748800000000013</v>
          </cell>
          <cell r="G190">
            <v>143.06874999999999</v>
          </cell>
        </row>
        <row r="191">
          <cell r="A191" t="str">
            <v>Empresa Polo241302040</v>
          </cell>
          <cell r="B191">
            <v>1194.01351</v>
          </cell>
          <cell r="C191">
            <v>1196.7360199999996</v>
          </cell>
          <cell r="D191">
            <v>1019.8254100000004</v>
          </cell>
          <cell r="E191">
            <v>2339.92434</v>
          </cell>
          <cell r="F191">
            <v>2130.6816799999988</v>
          </cell>
          <cell r="G191">
            <v>171.62646999999981</v>
          </cell>
        </row>
        <row r="192">
          <cell r="A192" t="str">
            <v>Empresa Polo241302045</v>
          </cell>
          <cell r="B192">
            <v>3479.6982699999999</v>
          </cell>
          <cell r="C192">
            <v>2336.3039099999996</v>
          </cell>
          <cell r="D192">
            <v>4450.5173800000011</v>
          </cell>
          <cell r="E192">
            <v>3738.4787099999994</v>
          </cell>
          <cell r="F192">
            <v>3386.6496000000006</v>
          </cell>
          <cell r="G192">
            <v>26.924549999999996</v>
          </cell>
        </row>
        <row r="193">
          <cell r="A193" t="str">
            <v>Empresa Polo241302050</v>
          </cell>
          <cell r="B193">
            <v>333.16780999999997</v>
          </cell>
          <cell r="C193">
            <v>304.32032999999996</v>
          </cell>
          <cell r="D193">
            <v>-83.49073999999996</v>
          </cell>
          <cell r="E193">
            <v>180.35968000000003</v>
          </cell>
          <cell r="F193">
            <v>335.87696000000005</v>
          </cell>
          <cell r="G193">
            <v>5.6079699999999946</v>
          </cell>
        </row>
        <row r="194">
          <cell r="A194" t="str">
            <v>Empresa Polo241302100</v>
          </cell>
          <cell r="B194">
            <v>49.042759999999994</v>
          </cell>
          <cell r="C194">
            <v>47.713079999999998</v>
          </cell>
          <cell r="D194">
            <v>48.006469999999993</v>
          </cell>
          <cell r="E194">
            <v>47.395830000000018</v>
          </cell>
          <cell r="F194">
            <v>39.131750000000011</v>
          </cell>
          <cell r="G194">
            <v>19.058559999999993</v>
          </cell>
        </row>
        <row r="195">
          <cell r="A195" t="str">
            <v>Empresa Polo241302110</v>
          </cell>
          <cell r="B195">
            <v>220.62649999999999</v>
          </cell>
          <cell r="C195">
            <v>226.28093000000004</v>
          </cell>
          <cell r="D195">
            <v>205.25299999999987</v>
          </cell>
          <cell r="E195">
            <v>325.47068000000013</v>
          </cell>
          <cell r="F195">
            <v>168.11586999999986</v>
          </cell>
          <cell r="G195">
            <v>179.50719000000004</v>
          </cell>
        </row>
        <row r="196">
          <cell r="A196" t="str">
            <v>Empresa Polo241302120</v>
          </cell>
          <cell r="B196">
            <v>220.71686000000005</v>
          </cell>
          <cell r="C196">
            <v>169.8564199999999</v>
          </cell>
          <cell r="D196">
            <v>170.66582999999991</v>
          </cell>
          <cell r="E196">
            <v>137.76166000000023</v>
          </cell>
          <cell r="F196">
            <v>201.80394999999987</v>
          </cell>
          <cell r="G196">
            <v>3.7640400000000032</v>
          </cell>
        </row>
        <row r="197">
          <cell r="A197" t="str">
            <v>Empresa Polo241302130</v>
          </cell>
          <cell r="B197">
            <v>0</v>
          </cell>
          <cell r="C197">
            <v>0</v>
          </cell>
          <cell r="D197">
            <v>32.371580000000002</v>
          </cell>
          <cell r="E197">
            <v>16.974589999999999</v>
          </cell>
          <cell r="F197">
            <v>40.046580000000006</v>
          </cell>
          <cell r="G197">
            <v>339.36253000000079</v>
          </cell>
        </row>
        <row r="198">
          <cell r="A198" t="str">
            <v>Empresa Polo241302140</v>
          </cell>
          <cell r="B198">
            <v>8.9276999999999997</v>
          </cell>
          <cell r="C198">
            <v>6.5845500000000001</v>
          </cell>
          <cell r="D198">
            <v>5.9413500000000017</v>
          </cell>
          <cell r="E198">
            <v>15.889770000000006</v>
          </cell>
          <cell r="F198">
            <v>12.327759999999998</v>
          </cell>
          <cell r="G198">
            <v>2738.4495900000002</v>
          </cell>
        </row>
        <row r="199">
          <cell r="A199" t="str">
            <v>Empresa Polo241302150</v>
          </cell>
          <cell r="B199">
            <v>0</v>
          </cell>
          <cell r="C199">
            <v>0</v>
          </cell>
          <cell r="D199">
            <v>3.2193200000000006</v>
          </cell>
          <cell r="E199">
            <v>8.4123200000000011</v>
          </cell>
          <cell r="F199">
            <v>40.340050000000005</v>
          </cell>
          <cell r="G199">
            <v>274.35113999999987</v>
          </cell>
        </row>
        <row r="200">
          <cell r="A200" t="str">
            <v>Empresa Polo241302400</v>
          </cell>
          <cell r="B200">
            <v>247.16953999999998</v>
          </cell>
          <cell r="C200">
            <v>54.924070000000029</v>
          </cell>
          <cell r="D200">
            <v>-9.6110200000000532</v>
          </cell>
          <cell r="E200">
            <v>51.436890000000062</v>
          </cell>
          <cell r="F200">
            <v>91.500499999999988</v>
          </cell>
          <cell r="G200">
            <v>173.16955000000007</v>
          </cell>
        </row>
        <row r="201">
          <cell r="A201" t="str">
            <v>Empresa Polo241302500</v>
          </cell>
          <cell r="B201">
            <v>7.6560000000000003E-2</v>
          </cell>
          <cell r="C201">
            <v>-7.6560000000000003E-2</v>
          </cell>
          <cell r="D201">
            <v>0.39384000000000002</v>
          </cell>
          <cell r="E201">
            <v>0.91316999999999982</v>
          </cell>
          <cell r="F201">
            <v>10.49939</v>
          </cell>
          <cell r="G201">
            <v>-5810.9395800000011</v>
          </cell>
        </row>
        <row r="202">
          <cell r="A202" t="str">
            <v>Empresa Polo241399999</v>
          </cell>
          <cell r="B202">
            <v>828.02003300000013</v>
          </cell>
          <cell r="C202">
            <v>750.73156700000038</v>
          </cell>
          <cell r="D202">
            <v>927.7847599999991</v>
          </cell>
          <cell r="E202">
            <v>842.00734000000102</v>
          </cell>
          <cell r="F202">
            <v>-105.64316000000053</v>
          </cell>
          <cell r="G202">
            <v>63.302350000000018</v>
          </cell>
        </row>
        <row r="203">
          <cell r="A203" t="str">
            <v>Empresa Polo241500000</v>
          </cell>
          <cell r="B203">
            <v>34.735844999999998</v>
          </cell>
          <cell r="C203">
            <v>52.391765000000007</v>
          </cell>
          <cell r="D203">
            <v>568.30226000000005</v>
          </cell>
          <cell r="E203">
            <v>-595.26133000000004</v>
          </cell>
          <cell r="F203">
            <v>278.61977000000002</v>
          </cell>
          <cell r="G203">
            <v>34.200719999999983</v>
          </cell>
        </row>
        <row r="204">
          <cell r="A204" t="str">
            <v>Empresa Polo241500020</v>
          </cell>
          <cell r="B204">
            <v>839.62437499999987</v>
          </cell>
          <cell r="C204">
            <v>-469.77628499999992</v>
          </cell>
          <cell r="D204">
            <v>292.62903000000006</v>
          </cell>
          <cell r="E204">
            <v>224.71256999999991</v>
          </cell>
          <cell r="F204">
            <v>114.87224000000003</v>
          </cell>
          <cell r="G204">
            <v>8.531480000000002</v>
          </cell>
        </row>
        <row r="205">
          <cell r="A205" t="str">
            <v>Empresa Polo241500030</v>
          </cell>
          <cell r="B205">
            <v>126.70885</v>
          </cell>
          <cell r="C205">
            <v>173.05360999999999</v>
          </cell>
          <cell r="D205">
            <v>79.281250000000057</v>
          </cell>
          <cell r="E205">
            <v>324.1268</v>
          </cell>
          <cell r="F205">
            <v>372.15361999999993</v>
          </cell>
          <cell r="G205">
            <v>2369.9296099999992</v>
          </cell>
        </row>
        <row r="206">
          <cell r="A206" t="str">
            <v>Empresa Polo241500040</v>
          </cell>
          <cell r="B206">
            <v>0.3</v>
          </cell>
          <cell r="C206">
            <v>289.30781999999999</v>
          </cell>
          <cell r="D206">
            <v>-172.96392000000003</v>
          </cell>
          <cell r="E206">
            <v>993.1737599999999</v>
          </cell>
          <cell r="F206">
            <v>4745.2366200000015</v>
          </cell>
          <cell r="G206">
            <v>0</v>
          </cell>
        </row>
        <row r="207">
          <cell r="A207" t="str">
            <v>Empresa Polo241500050</v>
          </cell>
          <cell r="B207">
            <v>39.486469999999997</v>
          </cell>
          <cell r="C207">
            <v>-14.696469999999998</v>
          </cell>
          <cell r="D207">
            <v>86.730250000000012</v>
          </cell>
          <cell r="E207">
            <v>29.272300000000001</v>
          </cell>
          <cell r="F207">
            <v>51.737179999999995</v>
          </cell>
          <cell r="G207">
            <v>11497.620399999993</v>
          </cell>
        </row>
        <row r="208">
          <cell r="A208" t="str">
            <v>Empresa Polo241500100</v>
          </cell>
          <cell r="B208">
            <v>26.141909999999996</v>
          </cell>
          <cell r="C208">
            <v>-8.7262199999999979</v>
          </cell>
          <cell r="D208">
            <v>0</v>
          </cell>
          <cell r="E208">
            <v>5.4383300000000006</v>
          </cell>
          <cell r="F208">
            <v>28.490440000000007</v>
          </cell>
          <cell r="G208">
            <v>14.286770000000004</v>
          </cell>
        </row>
        <row r="209">
          <cell r="A209" t="str">
            <v>Empresa Polo241500200</v>
          </cell>
          <cell r="B209">
            <v>0.99245000000000005</v>
          </cell>
          <cell r="C209">
            <v>4.1583500000000004</v>
          </cell>
          <cell r="D209">
            <v>4.5588700000000006</v>
          </cell>
          <cell r="E209">
            <v>0.49780999999999942</v>
          </cell>
          <cell r="F209">
            <v>0.71388999999999925</v>
          </cell>
          <cell r="G209">
            <v>1.56854</v>
          </cell>
        </row>
        <row r="210">
          <cell r="A210" t="str">
            <v>Empresa Polo241600000</v>
          </cell>
          <cell r="B210">
            <v>762.08983000000012</v>
          </cell>
          <cell r="C210">
            <v>760.42353999999978</v>
          </cell>
          <cell r="D210">
            <v>3888.6861600000011</v>
          </cell>
          <cell r="E210">
            <v>1868.4108099999994</v>
          </cell>
          <cell r="F210">
            <v>3077.1851400000023</v>
          </cell>
          <cell r="G210">
            <v>20.872970000000038</v>
          </cell>
        </row>
        <row r="211">
          <cell r="A211" t="str">
            <v>Empresa Polo241600020</v>
          </cell>
          <cell r="B211">
            <v>0</v>
          </cell>
          <cell r="C211">
            <v>0</v>
          </cell>
          <cell r="D211">
            <v>0.2757</v>
          </cell>
          <cell r="E211">
            <v>0</v>
          </cell>
          <cell r="F211">
            <v>0</v>
          </cell>
          <cell r="G211">
            <v>-22.737379999999998</v>
          </cell>
        </row>
        <row r="212">
          <cell r="A212" t="str">
            <v>Empresa Polo241700100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-7.2706100000000013</v>
          </cell>
        </row>
        <row r="213">
          <cell r="A213" t="str">
            <v>Empresa Polo241700600</v>
          </cell>
          <cell r="B213">
            <v>2829.5257299</v>
          </cell>
          <cell r="C213">
            <v>3393.0542401000007</v>
          </cell>
          <cell r="D213">
            <v>5499.1327999999976</v>
          </cell>
          <cell r="E213">
            <v>7028.9212600000028</v>
          </cell>
          <cell r="F213">
            <v>12043.85036</v>
          </cell>
          <cell r="G213">
            <v>2042.5871799999877</v>
          </cell>
        </row>
        <row r="214">
          <cell r="A214" t="str">
            <v>Empresa Polo241910240</v>
          </cell>
          <cell r="B214">
            <v>91.025540000000007</v>
          </cell>
          <cell r="C214">
            <v>30.145</v>
          </cell>
          <cell r="D214">
            <v>-88.144140000000007</v>
          </cell>
          <cell r="E214">
            <v>8.5117400000000032</v>
          </cell>
          <cell r="F214">
            <v>-7.1895299999999978</v>
          </cell>
          <cell r="G214">
            <v>12572.151999999987</v>
          </cell>
        </row>
        <row r="215">
          <cell r="A215" t="str">
            <v>Empresa Polo241910250</v>
          </cell>
          <cell r="B215">
            <v>1.2863599999999999</v>
          </cell>
          <cell r="C215">
            <v>2.23123</v>
          </cell>
          <cell r="D215">
            <v>-3.5175900000000002</v>
          </cell>
          <cell r="E215">
            <v>2.2119200000000001</v>
          </cell>
          <cell r="F215">
            <v>-1.7275300000000002</v>
          </cell>
          <cell r="G215">
            <v>-85.183629999999994</v>
          </cell>
        </row>
        <row r="216">
          <cell r="A216" t="str">
            <v>Empresa Polo241910900</v>
          </cell>
          <cell r="B216">
            <v>24.107789999999998</v>
          </cell>
          <cell r="C216">
            <v>13.860560000000003</v>
          </cell>
          <cell r="D216">
            <v>-8.4136900000000026</v>
          </cell>
          <cell r="E216">
            <v>27.363669999999999</v>
          </cell>
          <cell r="F216">
            <v>120.72304999999997</v>
          </cell>
          <cell r="G216">
            <v>536.13587000000007</v>
          </cell>
        </row>
        <row r="217">
          <cell r="A217" t="str">
            <v>Empresa Polo241960000</v>
          </cell>
          <cell r="B217">
            <v>2.02224</v>
          </cell>
          <cell r="C217">
            <v>6.8000000000001393E-4</v>
          </cell>
          <cell r="D217">
            <v>125.03355999999999</v>
          </cell>
          <cell r="E217">
            <v>-0.65755000000000052</v>
          </cell>
          <cell r="F217">
            <v>-98.488619999999997</v>
          </cell>
          <cell r="G217">
            <v>4687.8397299999997</v>
          </cell>
        </row>
        <row r="218">
          <cell r="A218" t="str">
            <v>Empresa Polo241960010</v>
          </cell>
          <cell r="B218">
            <v>0.79621000000000008</v>
          </cell>
          <cell r="C218">
            <v>1.2366500000000002</v>
          </cell>
          <cell r="D218">
            <v>0.59300999999999959</v>
          </cell>
          <cell r="E218">
            <v>1.0354400000000004</v>
          </cell>
          <cell r="F218">
            <v>7.1529300000000013</v>
          </cell>
          <cell r="G218">
            <v>486.33006</v>
          </cell>
        </row>
        <row r="219">
          <cell r="A219" t="str">
            <v>Empresa Polo241980000</v>
          </cell>
          <cell r="B219">
            <v>33294.6008</v>
          </cell>
          <cell r="C219">
            <v>14620.87879000001</v>
          </cell>
          <cell r="D219">
            <v>-2500.6017200000133</v>
          </cell>
          <cell r="E219">
            <v>2630.4949100000085</v>
          </cell>
          <cell r="F219">
            <v>8283.1059499999974</v>
          </cell>
          <cell r="G219">
            <v>0.50404999999999989</v>
          </cell>
        </row>
        <row r="220">
          <cell r="A220" t="str">
            <v>Empresa Polo241980010</v>
          </cell>
          <cell r="B220">
            <v>2239.8803699999999</v>
          </cell>
          <cell r="C220">
            <v>5806.8510200000001</v>
          </cell>
          <cell r="D220">
            <v>15516.535349999998</v>
          </cell>
          <cell r="E220">
            <v>9351.1225800000029</v>
          </cell>
          <cell r="F220">
            <v>10835.818749999999</v>
          </cell>
          <cell r="G220">
            <v>272.34242999999969</v>
          </cell>
        </row>
        <row r="221">
          <cell r="A221" t="str">
            <v>Empresa Polo241999999</v>
          </cell>
          <cell r="B221">
            <v>721.30025999999998</v>
          </cell>
          <cell r="C221">
            <v>883.80301000000009</v>
          </cell>
          <cell r="D221">
            <v>998.01279999999997</v>
          </cell>
          <cell r="E221">
            <v>-837.90177000000017</v>
          </cell>
          <cell r="F221">
            <v>-7.5186299999998027</v>
          </cell>
          <cell r="G221">
            <v>1742.5799599999991</v>
          </cell>
        </row>
        <row r="222">
          <cell r="A222" t="str">
            <v>Empresa Polo341100000</v>
          </cell>
          <cell r="B222">
            <v>628.75668999999994</v>
          </cell>
          <cell r="C222">
            <v>713.37572100000011</v>
          </cell>
          <cell r="D222">
            <v>430.41666899999973</v>
          </cell>
          <cell r="E222">
            <v>599.4389000000001</v>
          </cell>
          <cell r="F222">
            <v>589.50412999999935</v>
          </cell>
          <cell r="G222">
            <v>564.22199000000001</v>
          </cell>
        </row>
        <row r="223">
          <cell r="A223" t="str">
            <v>Empresa Polo341100011</v>
          </cell>
          <cell r="B223">
            <v>4775.4748720999996</v>
          </cell>
          <cell r="C223">
            <v>4566.8340505000015</v>
          </cell>
          <cell r="D223">
            <v>5576.4996274000005</v>
          </cell>
          <cell r="E223">
            <v>4975.3142699999989</v>
          </cell>
          <cell r="F223">
            <v>4363.6007800000007</v>
          </cell>
          <cell r="G223">
            <v>551.75201999999945</v>
          </cell>
        </row>
        <row r="224">
          <cell r="A224" t="str">
            <v>Empresa Polo341100013</v>
          </cell>
          <cell r="B224">
            <v>145.0974865</v>
          </cell>
          <cell r="C224">
            <v>141.76944789999999</v>
          </cell>
          <cell r="D224">
            <v>312.52727560000005</v>
          </cell>
          <cell r="E224">
            <v>612.36650999999972</v>
          </cell>
          <cell r="F224">
            <v>639.61509999999998</v>
          </cell>
          <cell r="G224">
            <v>474.17811999999958</v>
          </cell>
        </row>
        <row r="225">
          <cell r="A225" t="str">
            <v>Empresa Polo341100014</v>
          </cell>
          <cell r="B225">
            <v>0.14787</v>
          </cell>
          <cell r="C225">
            <v>0.10766999999999999</v>
          </cell>
          <cell r="D225">
            <v>1.0137399999999999</v>
          </cell>
          <cell r="E225">
            <v>1.0180499999999999</v>
          </cell>
          <cell r="F225">
            <v>0.86677000000000026</v>
          </cell>
          <cell r="G225">
            <v>723.65455999999995</v>
          </cell>
        </row>
        <row r="226">
          <cell r="A226" t="str">
            <v>Empresa Polo341100015</v>
          </cell>
          <cell r="B226">
            <v>306.33110139999997</v>
          </cell>
          <cell r="C226">
            <v>449.95428190000007</v>
          </cell>
          <cell r="D226">
            <v>663.61619669999993</v>
          </cell>
          <cell r="E226">
            <v>305.47034000000008</v>
          </cell>
          <cell r="F226">
            <v>503.57522999999992</v>
          </cell>
          <cell r="G226">
            <v>224.22672999999941</v>
          </cell>
        </row>
        <row r="227">
          <cell r="A227" t="str">
            <v>Empresa Polo341100021</v>
          </cell>
          <cell r="B227">
            <v>2566.9397325999998</v>
          </cell>
          <cell r="C227">
            <v>2561.3820752000001</v>
          </cell>
          <cell r="D227">
            <v>2282.2221821999992</v>
          </cell>
          <cell r="E227">
            <v>1895.6148800000001</v>
          </cell>
          <cell r="F227">
            <v>-112.08895999999731</v>
          </cell>
          <cell r="G227">
            <v>231.52962999999977</v>
          </cell>
        </row>
        <row r="228">
          <cell r="A228" t="str">
            <v>Empresa Polo341100022</v>
          </cell>
          <cell r="B228">
            <v>530.4128068</v>
          </cell>
          <cell r="C228">
            <v>414.22504349999986</v>
          </cell>
          <cell r="D228">
            <v>716.8024997</v>
          </cell>
          <cell r="E228">
            <v>740.82428000000027</v>
          </cell>
          <cell r="F228">
            <v>1142.9418700000001</v>
          </cell>
          <cell r="G228">
            <v>-618.62211000000025</v>
          </cell>
        </row>
        <row r="229">
          <cell r="A229" t="str">
            <v>Empresa Polo341100023</v>
          </cell>
          <cell r="B229">
            <v>714.53755200000001</v>
          </cell>
          <cell r="C229">
            <v>359.28001190000009</v>
          </cell>
          <cell r="D229">
            <v>937.43880609999997</v>
          </cell>
          <cell r="E229">
            <v>589.76285000000007</v>
          </cell>
          <cell r="F229">
            <v>924.72287000000006</v>
          </cell>
          <cell r="G229">
            <v>37.926399999999944</v>
          </cell>
        </row>
        <row r="230">
          <cell r="A230" t="str">
            <v>Empresa Polo341100024</v>
          </cell>
          <cell r="B230">
            <v>437.19237409999994</v>
          </cell>
          <cell r="C230">
            <v>445.7637761000002</v>
          </cell>
          <cell r="D230">
            <v>478.69773979999991</v>
          </cell>
          <cell r="E230">
            <v>501.0636099999997</v>
          </cell>
          <cell r="F230">
            <v>706.32598000000053</v>
          </cell>
          <cell r="G230">
            <v>213.94844999999987</v>
          </cell>
        </row>
        <row r="231">
          <cell r="A231" t="str">
            <v>Empresa Polo341100031</v>
          </cell>
          <cell r="B231">
            <v>658.36869830000001</v>
          </cell>
          <cell r="C231">
            <v>1345.0232449999999</v>
          </cell>
          <cell r="D231">
            <v>619.29000669999982</v>
          </cell>
          <cell r="E231">
            <v>656.92919000000029</v>
          </cell>
          <cell r="F231">
            <v>938.99553999999898</v>
          </cell>
          <cell r="G231">
            <v>407.94304000000011</v>
          </cell>
        </row>
        <row r="232">
          <cell r="A232" t="str">
            <v>Empresa Polo341100032</v>
          </cell>
          <cell r="B232">
            <v>497.04012169999999</v>
          </cell>
          <cell r="C232">
            <v>91.105275000000006</v>
          </cell>
          <cell r="D232">
            <v>251.06015329999991</v>
          </cell>
          <cell r="E232">
            <v>839.30106000000001</v>
          </cell>
          <cell r="F232">
            <v>559.96037000000024</v>
          </cell>
          <cell r="G232">
            <v>28.117360000000019</v>
          </cell>
        </row>
        <row r="233">
          <cell r="A233" t="str">
            <v>Empresa Polo341100050</v>
          </cell>
          <cell r="B233">
            <v>265.61462999999998</v>
          </cell>
          <cell r="C233">
            <v>-236.89477000000005</v>
          </cell>
          <cell r="D233">
            <v>1121.0116800000003</v>
          </cell>
          <cell r="E233">
            <v>-362.12393000000043</v>
          </cell>
          <cell r="F233">
            <v>747.2324600000004</v>
          </cell>
          <cell r="G233">
            <v>50.205609999999979</v>
          </cell>
        </row>
        <row r="234">
          <cell r="A234" t="str">
            <v>Empresa Polo341100200</v>
          </cell>
          <cell r="B234">
            <v>409.70801000000006</v>
          </cell>
          <cell r="C234">
            <v>301.97433000000001</v>
          </cell>
          <cell r="D234">
            <v>1595.7147699999998</v>
          </cell>
          <cell r="E234">
            <v>149.40044000000034</v>
          </cell>
          <cell r="F234">
            <v>533.52144999999973</v>
          </cell>
          <cell r="G234">
            <v>-11.566460000000006</v>
          </cell>
        </row>
        <row r="235">
          <cell r="A235" t="str">
            <v>Empresa Polo341100210</v>
          </cell>
          <cell r="B235">
            <v>31.2456</v>
          </cell>
          <cell r="C235">
            <v>85.767360000000011</v>
          </cell>
          <cell r="D235">
            <v>0.43256999999998413</v>
          </cell>
          <cell r="E235">
            <v>132.55966000000001</v>
          </cell>
          <cell r="F235">
            <v>52.789299999999997</v>
          </cell>
          <cell r="G235">
            <v>23.340429999999998</v>
          </cell>
        </row>
        <row r="236">
          <cell r="A236" t="str">
            <v>Empresa Polo341100220</v>
          </cell>
          <cell r="B236">
            <v>287.16546</v>
          </cell>
          <cell r="C236">
            <v>363.62648000000007</v>
          </cell>
          <cell r="D236">
            <v>332.72083999999995</v>
          </cell>
          <cell r="E236">
            <v>228.66692999999987</v>
          </cell>
          <cell r="F236">
            <v>216.68695000000002</v>
          </cell>
          <cell r="G236">
            <v>8.3158000000000101</v>
          </cell>
        </row>
        <row r="237">
          <cell r="A237" t="str">
            <v>Empresa Polo341100300</v>
          </cell>
          <cell r="B237">
            <v>837.16319339999995</v>
          </cell>
          <cell r="C237">
            <v>714.92625510000016</v>
          </cell>
          <cell r="D237">
            <v>755.70401150000021</v>
          </cell>
          <cell r="E237">
            <v>753.47857999999951</v>
          </cell>
          <cell r="F237">
            <v>219.67407000000003</v>
          </cell>
          <cell r="G237">
            <v>0.34953000000000012</v>
          </cell>
        </row>
        <row r="238">
          <cell r="A238" t="str">
            <v>Empresa Polo341100310</v>
          </cell>
          <cell r="B238">
            <v>145.95411000000001</v>
          </cell>
          <cell r="C238">
            <v>233.50163750000002</v>
          </cell>
          <cell r="D238">
            <v>-127.81650750000003</v>
          </cell>
          <cell r="E238">
            <v>109.36524999999997</v>
          </cell>
          <cell r="F238">
            <v>-189.20393999999999</v>
          </cell>
          <cell r="G238">
            <v>127.63382000000001</v>
          </cell>
        </row>
        <row r="239">
          <cell r="A239" t="str">
            <v>Empresa Polo341100320</v>
          </cell>
          <cell r="B239">
            <v>360.8005766</v>
          </cell>
          <cell r="C239">
            <v>-228.41460259999999</v>
          </cell>
          <cell r="D239">
            <v>-42.805594000000013</v>
          </cell>
          <cell r="E239">
            <v>35.237320000000011</v>
          </cell>
          <cell r="F239">
            <v>-10.92122999999998</v>
          </cell>
          <cell r="G239">
            <v>107.441679999999</v>
          </cell>
        </row>
        <row r="240">
          <cell r="A240" t="str">
            <v>Empresa Polo341100330</v>
          </cell>
          <cell r="B240">
            <v>114.64356000000001</v>
          </cell>
          <cell r="C240">
            <v>-28.020980000000009</v>
          </cell>
          <cell r="D240">
            <v>105.71540000000002</v>
          </cell>
          <cell r="E240">
            <v>20.380389999999977</v>
          </cell>
          <cell r="F240">
            <v>49.894369999999981</v>
          </cell>
          <cell r="G240">
            <v>600.87428999999975</v>
          </cell>
        </row>
        <row r="241">
          <cell r="A241" t="str">
            <v>Empresa Polo341100400</v>
          </cell>
          <cell r="B241">
            <v>68.577719999999999</v>
          </cell>
          <cell r="C241">
            <v>96.718930000000029</v>
          </cell>
          <cell r="D241">
            <v>175.16745</v>
          </cell>
          <cell r="E241">
            <v>-50.226100000000031</v>
          </cell>
          <cell r="F241">
            <v>-69.371220000000022</v>
          </cell>
          <cell r="G241">
            <v>84.586819999999875</v>
          </cell>
        </row>
        <row r="242">
          <cell r="A242" t="str">
            <v>Empresa Polo341100410</v>
          </cell>
          <cell r="B242">
            <v>23.650510000000001</v>
          </cell>
          <cell r="C242">
            <v>27.186380000000003</v>
          </cell>
          <cell r="D242">
            <v>-6.6075300000000041</v>
          </cell>
          <cell r="E242">
            <v>14.522689999999997</v>
          </cell>
          <cell r="F242">
            <v>13.883460000000014</v>
          </cell>
          <cell r="G242">
            <v>-184.93161000000009</v>
          </cell>
        </row>
        <row r="243">
          <cell r="A243" t="str">
            <v>Empresa Polo341100420</v>
          </cell>
          <cell r="B243">
            <v>4.2755000000000001</v>
          </cell>
          <cell r="C243">
            <v>-10.876049999999999</v>
          </cell>
          <cell r="D243">
            <v>2.2842400000000005</v>
          </cell>
          <cell r="E243">
            <v>0.42255999999999982</v>
          </cell>
          <cell r="F243">
            <v>-0.3371000000000004</v>
          </cell>
          <cell r="G243">
            <v>47.944179999999733</v>
          </cell>
        </row>
        <row r="244">
          <cell r="A244" t="str">
            <v>Empresa Polo341100500</v>
          </cell>
          <cell r="B244">
            <v>124.64927900000001</v>
          </cell>
          <cell r="C244">
            <v>100.49957569999998</v>
          </cell>
          <cell r="D244">
            <v>98.745645300000007</v>
          </cell>
          <cell r="E244">
            <v>296.70744000000002</v>
          </cell>
          <cell r="F244">
            <v>290.65346</v>
          </cell>
          <cell r="G244">
            <v>-18.69756000000001</v>
          </cell>
        </row>
        <row r="245">
          <cell r="A245" t="str">
            <v>Empresa Polo341100505</v>
          </cell>
          <cell r="B245">
            <v>8.5657700000000006</v>
          </cell>
          <cell r="C245">
            <v>39.345059999999997</v>
          </cell>
          <cell r="D245">
            <v>400.39809000000002</v>
          </cell>
          <cell r="E245">
            <v>900.32517000000007</v>
          </cell>
          <cell r="F245">
            <v>1037.3615100000002</v>
          </cell>
          <cell r="G245">
            <v>148.31479999999988</v>
          </cell>
        </row>
        <row r="246">
          <cell r="A246" t="str">
            <v>Empresa Polo341100510</v>
          </cell>
          <cell r="B246">
            <v>249.13774999999998</v>
          </cell>
          <cell r="C246">
            <v>1210.4220632000001</v>
          </cell>
          <cell r="D246">
            <v>313.59602679999989</v>
          </cell>
          <cell r="E246">
            <v>466.9405499999998</v>
          </cell>
          <cell r="F246">
            <v>178.61520000000064</v>
          </cell>
          <cell r="G246">
            <v>531.92477000000008</v>
          </cell>
        </row>
        <row r="247">
          <cell r="A247" t="str">
            <v>Empresa Polo341200100</v>
          </cell>
          <cell r="B247">
            <v>156.08262000000002</v>
          </cell>
          <cell r="C247">
            <v>354.67914999999999</v>
          </cell>
          <cell r="D247">
            <v>106.23117999999994</v>
          </cell>
          <cell r="E247">
            <v>98.443690000000174</v>
          </cell>
          <cell r="F247">
            <v>130.33507000000009</v>
          </cell>
          <cell r="G247">
            <v>24.150170000000031</v>
          </cell>
        </row>
        <row r="248">
          <cell r="A248" t="str">
            <v>Empresa Polo341200200</v>
          </cell>
          <cell r="B248">
            <v>483.54634000000004</v>
          </cell>
          <cell r="C248">
            <v>521.04756999999995</v>
          </cell>
          <cell r="D248">
            <v>450.26906999999994</v>
          </cell>
          <cell r="E248">
            <v>567.36440000000016</v>
          </cell>
          <cell r="F248">
            <v>323.25324999999998</v>
          </cell>
          <cell r="G248">
            <v>0.1241399999999997</v>
          </cell>
        </row>
        <row r="249">
          <cell r="A249" t="str">
            <v>Empresa Polo341200210</v>
          </cell>
          <cell r="B249">
            <v>117.95135999999999</v>
          </cell>
          <cell r="C249">
            <v>191.95308000000003</v>
          </cell>
          <cell r="D249">
            <v>412.16274999999996</v>
          </cell>
          <cell r="E249">
            <v>137.55583000000001</v>
          </cell>
          <cell r="F249">
            <v>53.207540000000108</v>
          </cell>
          <cell r="G249">
            <v>0.14379999999999882</v>
          </cell>
        </row>
        <row r="250">
          <cell r="A250" t="str">
            <v>Empresa Polo341200300</v>
          </cell>
          <cell r="B250">
            <v>33.237570000000005</v>
          </cell>
          <cell r="C250">
            <v>10.639249999999997</v>
          </cell>
          <cell r="D250">
            <v>-6.9899799999999956</v>
          </cell>
          <cell r="E250">
            <v>-26.220270000000006</v>
          </cell>
          <cell r="F250">
            <v>30.253340000000009</v>
          </cell>
          <cell r="G250">
            <v>5.5568599999999995</v>
          </cell>
        </row>
        <row r="251">
          <cell r="A251" t="str">
            <v>Empresa Polo341200400</v>
          </cell>
          <cell r="B251">
            <v>112.67153999999999</v>
          </cell>
          <cell r="C251">
            <v>194.59053999999998</v>
          </cell>
          <cell r="D251">
            <v>150.94892000000004</v>
          </cell>
          <cell r="E251">
            <v>9.3427899999999795</v>
          </cell>
          <cell r="F251">
            <v>251.90425999999997</v>
          </cell>
          <cell r="G251">
            <v>87.884029999999711</v>
          </cell>
        </row>
        <row r="252">
          <cell r="A252" t="str">
            <v>Empresa Polo341200500</v>
          </cell>
          <cell r="B252">
            <v>532.77328999999997</v>
          </cell>
          <cell r="C252">
            <v>502.80051000000014</v>
          </cell>
          <cell r="D252">
            <v>2821.8494699999997</v>
          </cell>
          <cell r="E252">
            <v>-1795.6074699999999</v>
          </cell>
          <cell r="F252">
            <v>474.00651000000016</v>
          </cell>
          <cell r="G252">
            <v>770.99625000000015</v>
          </cell>
        </row>
        <row r="253">
          <cell r="A253" t="str">
            <v>Empresa Polo341200710</v>
          </cell>
          <cell r="B253">
            <v>18.958440799999998</v>
          </cell>
          <cell r="C253">
            <v>149.31333369999999</v>
          </cell>
          <cell r="D253">
            <v>-102.2802045</v>
          </cell>
          <cell r="E253">
            <v>35.911540000000002</v>
          </cell>
          <cell r="F253">
            <v>20.835319999999967</v>
          </cell>
          <cell r="G253">
            <v>43.602579999999875</v>
          </cell>
        </row>
        <row r="254">
          <cell r="A254" t="str">
            <v>Empresa Polo341200720</v>
          </cell>
          <cell r="B254">
            <v>1.9432122999999999</v>
          </cell>
          <cell r="C254">
            <v>0.41423239999999995</v>
          </cell>
          <cell r="D254">
            <v>2.0260753</v>
          </cell>
          <cell r="E254">
            <v>16.279149999999998</v>
          </cell>
          <cell r="F254">
            <v>-16.54392</v>
          </cell>
          <cell r="G254">
            <v>76.692260000000033</v>
          </cell>
        </row>
        <row r="255">
          <cell r="A255" t="str">
            <v>Empresa Polo341200730</v>
          </cell>
          <cell r="B255">
            <v>2.6802106000000001</v>
          </cell>
          <cell r="C255">
            <v>6.7977679000000002</v>
          </cell>
          <cell r="D255">
            <v>13.726941500000001</v>
          </cell>
          <cell r="E255">
            <v>-1.0267300000000006</v>
          </cell>
          <cell r="F255">
            <v>3.0000000000001137E-3</v>
          </cell>
          <cell r="G255">
            <v>5139.9746900000027</v>
          </cell>
        </row>
        <row r="256">
          <cell r="A256" t="str">
            <v>Empresa Polo341200740</v>
          </cell>
          <cell r="B256">
            <v>39.402440800000001</v>
          </cell>
          <cell r="C256">
            <v>169.26625859999999</v>
          </cell>
          <cell r="D256">
            <v>-205.71975939999999</v>
          </cell>
          <cell r="E256">
            <v>-0.83590999999999971</v>
          </cell>
          <cell r="F256">
            <v>3.6415999999999995</v>
          </cell>
          <cell r="G256">
            <v>295.52290000000016</v>
          </cell>
        </row>
        <row r="257">
          <cell r="A257" t="str">
            <v>Empresa Polo341200790</v>
          </cell>
          <cell r="B257">
            <v>400.27935000000014</v>
          </cell>
          <cell r="C257">
            <v>356.86433299999987</v>
          </cell>
          <cell r="D257">
            <v>876.46713699999987</v>
          </cell>
          <cell r="E257">
            <v>-371.40268999999989</v>
          </cell>
          <cell r="F257">
            <v>99.622840000000224</v>
          </cell>
          <cell r="G257">
            <v>78.397300000000087</v>
          </cell>
        </row>
        <row r="258">
          <cell r="A258" t="str">
            <v>Empresa Polo341300100</v>
          </cell>
          <cell r="B258">
            <v>998.62811999999997</v>
          </cell>
          <cell r="C258">
            <v>1203.6137800000001</v>
          </cell>
          <cell r="D258">
            <v>364.37737000000016</v>
          </cell>
          <cell r="E258">
            <v>558.06502999999975</v>
          </cell>
          <cell r="F258">
            <v>915.45976999999993</v>
          </cell>
          <cell r="G258">
            <v>-68.172480000001087</v>
          </cell>
        </row>
        <row r="259">
          <cell r="A259" t="str">
            <v>Empresa Polo341300200</v>
          </cell>
          <cell r="B259">
            <v>89.984780000000001</v>
          </cell>
          <cell r="C259">
            <v>80.370699999999999</v>
          </cell>
          <cell r="D259">
            <v>150.41876999999999</v>
          </cell>
          <cell r="E259">
            <v>130.81172999999995</v>
          </cell>
          <cell r="F259">
            <v>20.911870000000079</v>
          </cell>
          <cell r="G259">
            <v>2301.5015800000019</v>
          </cell>
        </row>
        <row r="260">
          <cell r="A260" t="str">
            <v>Empresa Polo341300300</v>
          </cell>
          <cell r="B260">
            <v>247.97641999999996</v>
          </cell>
          <cell r="C260">
            <v>174.43192000000005</v>
          </cell>
          <cell r="D260">
            <v>792.15142000000014</v>
          </cell>
          <cell r="E260">
            <v>220.49655999999982</v>
          </cell>
          <cell r="F260">
            <v>-562.71008999999981</v>
          </cell>
          <cell r="G260">
            <v>316.22043000000008</v>
          </cell>
        </row>
        <row r="261">
          <cell r="A261" t="str">
            <v>Empresa Polo341300400</v>
          </cell>
          <cell r="B261">
            <v>3141.9214499999998</v>
          </cell>
          <cell r="C261">
            <v>5628.9556300000004</v>
          </cell>
          <cell r="D261">
            <v>5273.6845999999987</v>
          </cell>
          <cell r="E261">
            <v>3137.603710000003</v>
          </cell>
          <cell r="F261">
            <v>7221.0940099999971</v>
          </cell>
          <cell r="G261">
            <v>9.1939200000000056</v>
          </cell>
        </row>
        <row r="262">
          <cell r="A262" t="str">
            <v>Empresa Polo341300410</v>
          </cell>
          <cell r="B262">
            <v>0</v>
          </cell>
          <cell r="C262">
            <v>0</v>
          </cell>
          <cell r="D262">
            <v>324.64616999999998</v>
          </cell>
          <cell r="E262">
            <v>203.11829999999998</v>
          </cell>
          <cell r="F262">
            <v>306.27096999999992</v>
          </cell>
          <cell r="G262">
            <v>6544.0947500000002</v>
          </cell>
        </row>
        <row r="263">
          <cell r="A263" t="str">
            <v>Empresa Polo341301300</v>
          </cell>
          <cell r="B263">
            <v>170.79771</v>
          </cell>
          <cell r="C263">
            <v>208.34433000000001</v>
          </cell>
          <cell r="D263">
            <v>532.72627999999986</v>
          </cell>
          <cell r="E263">
            <v>144.87315000000001</v>
          </cell>
          <cell r="F263">
            <v>158.78877000000011</v>
          </cell>
          <cell r="G263">
            <v>921.26769000000024</v>
          </cell>
        </row>
        <row r="264">
          <cell r="A264" t="str">
            <v>Empresa Polo341301310</v>
          </cell>
          <cell r="B264">
            <v>1460.70929</v>
          </cell>
          <cell r="C264">
            <v>1338.9786299999998</v>
          </cell>
          <cell r="D264">
            <v>2848.3278500000001</v>
          </cell>
          <cell r="E264">
            <v>4767.7627400000001</v>
          </cell>
          <cell r="F264">
            <v>573.80969000000005</v>
          </cell>
          <cell r="G264">
            <v>99.004880000000185</v>
          </cell>
        </row>
        <row r="265">
          <cell r="A265" t="str">
            <v>Empresa Polo341301320</v>
          </cell>
          <cell r="B265">
            <v>2085.4856500000001</v>
          </cell>
          <cell r="C265">
            <v>2432.9559799999993</v>
          </cell>
          <cell r="D265">
            <v>1773.3882700000013</v>
          </cell>
          <cell r="E265">
            <v>4233.4974399999992</v>
          </cell>
          <cell r="F265">
            <v>2415.7223200000008</v>
          </cell>
          <cell r="G265">
            <v>173.53613000000013</v>
          </cell>
        </row>
        <row r="266">
          <cell r="A266" t="str">
            <v>Empresa Polo341301330</v>
          </cell>
          <cell r="B266">
            <v>337.57785000000001</v>
          </cell>
          <cell r="C266">
            <v>411.77799000000005</v>
          </cell>
          <cell r="D266">
            <v>355.29822000000001</v>
          </cell>
          <cell r="E266">
            <v>285.28693999999996</v>
          </cell>
          <cell r="F266">
            <v>107.22492999999986</v>
          </cell>
          <cell r="G266">
            <v>249.10235999999986</v>
          </cell>
        </row>
        <row r="267">
          <cell r="A267" t="str">
            <v>Empresa Polo341301370</v>
          </cell>
          <cell r="B267">
            <v>702.65791000000002</v>
          </cell>
          <cell r="C267">
            <v>-690.10782000000006</v>
          </cell>
          <cell r="D267">
            <v>14.285029999999999</v>
          </cell>
          <cell r="E267">
            <v>24.816129999999998</v>
          </cell>
          <cell r="F267">
            <v>20.026159999999997</v>
          </cell>
          <cell r="G267">
            <v>-104.85240000000022</v>
          </cell>
        </row>
        <row r="268">
          <cell r="A268" t="str">
            <v>Empresa Polo341301380</v>
          </cell>
          <cell r="B268">
            <v>5671.5904200000004</v>
          </cell>
          <cell r="C268">
            <v>6082.829740000001</v>
          </cell>
          <cell r="D268">
            <v>6255.9349299999994</v>
          </cell>
          <cell r="E268">
            <v>6502.5970699999998</v>
          </cell>
          <cell r="F268">
            <v>6652.9743699999999</v>
          </cell>
          <cell r="G268">
            <v>72.299429999999916</v>
          </cell>
        </row>
        <row r="269">
          <cell r="A269" t="str">
            <v>Empresa Polo341301390</v>
          </cell>
          <cell r="B269">
            <v>537.23926999999992</v>
          </cell>
          <cell r="C269">
            <v>1024.8496300000002</v>
          </cell>
          <cell r="D269">
            <v>-215.05911000000015</v>
          </cell>
          <cell r="E269">
            <v>-271.73176000000012</v>
          </cell>
          <cell r="F269">
            <v>-425.43724000000009</v>
          </cell>
          <cell r="G269">
            <v>4.2279500000000034</v>
          </cell>
        </row>
        <row r="270">
          <cell r="A270" t="str">
            <v>Empresa Polo341301400</v>
          </cell>
          <cell r="B270">
            <v>258.25882000000001</v>
          </cell>
          <cell r="C270">
            <v>188.10131999999999</v>
          </cell>
          <cell r="D270">
            <v>518.17515999999978</v>
          </cell>
          <cell r="E270">
            <v>230.16652000000022</v>
          </cell>
          <cell r="F270">
            <v>138.1884</v>
          </cell>
          <cell r="G270">
            <v>282.78529999999978</v>
          </cell>
        </row>
        <row r="271">
          <cell r="A271" t="str">
            <v>Empresa Polo341301520</v>
          </cell>
          <cell r="B271">
            <v>29.604910000000004</v>
          </cell>
          <cell r="C271">
            <v>240.09527000000003</v>
          </cell>
          <cell r="D271">
            <v>67.961079999999924</v>
          </cell>
          <cell r="E271">
            <v>420.25429000000008</v>
          </cell>
          <cell r="F271">
            <v>-311.08558000000005</v>
          </cell>
          <cell r="G271">
            <v>259.57011000000011</v>
          </cell>
        </row>
        <row r="272">
          <cell r="A272" t="str">
            <v>Empresa Polo341301800</v>
          </cell>
          <cell r="B272">
            <v>237.88091999999997</v>
          </cell>
          <cell r="C272">
            <v>257.42916000000014</v>
          </cell>
          <cell r="D272">
            <v>340.39243999999985</v>
          </cell>
          <cell r="E272">
            <v>89.295380000000137</v>
          </cell>
          <cell r="F272">
            <v>205.01005999999984</v>
          </cell>
          <cell r="G272">
            <v>527.26756999999998</v>
          </cell>
        </row>
        <row r="273">
          <cell r="A273" t="str">
            <v>Empresa Polo341301810</v>
          </cell>
          <cell r="B273">
            <v>748.15146000000004</v>
          </cell>
          <cell r="C273">
            <v>622.35946000000013</v>
          </cell>
          <cell r="D273">
            <v>119.23576000000003</v>
          </cell>
          <cell r="E273">
            <v>883.25399000000016</v>
          </cell>
          <cell r="F273">
            <v>1070.34357</v>
          </cell>
          <cell r="G273">
            <v>435.03188000000023</v>
          </cell>
        </row>
        <row r="274">
          <cell r="A274" t="str">
            <v>Empresa Polo341301820</v>
          </cell>
          <cell r="B274">
            <v>257.58577000000002</v>
          </cell>
          <cell r="C274">
            <v>125.04031999999995</v>
          </cell>
          <cell r="D274">
            <v>596.09812000000011</v>
          </cell>
          <cell r="E274">
            <v>-278.18082000000004</v>
          </cell>
          <cell r="F274">
            <v>121.43873999999994</v>
          </cell>
          <cell r="G274">
            <v>733.59560000000101</v>
          </cell>
        </row>
        <row r="275">
          <cell r="A275" t="str">
            <v>Empresa Polo341301830</v>
          </cell>
          <cell r="B275">
            <v>3.7018599999999999</v>
          </cell>
          <cell r="C275">
            <v>1.5366</v>
          </cell>
          <cell r="D275">
            <v>1.9682900000000005</v>
          </cell>
          <cell r="E275">
            <v>4.9190200000000006</v>
          </cell>
          <cell r="F275">
            <v>5.0367099999999976</v>
          </cell>
          <cell r="G275">
            <v>33.300580000000025</v>
          </cell>
        </row>
        <row r="276">
          <cell r="A276" t="str">
            <v>Empresa Polo341301900</v>
          </cell>
          <cell r="B276">
            <v>395.87783999999999</v>
          </cell>
          <cell r="C276">
            <v>305.27148</v>
          </cell>
          <cell r="D276">
            <v>664.39073999999982</v>
          </cell>
          <cell r="E276">
            <v>30.963680000000295</v>
          </cell>
          <cell r="F276">
            <v>250.4212</v>
          </cell>
          <cell r="G276">
            <v>42.510279999999966</v>
          </cell>
        </row>
        <row r="277">
          <cell r="A277" t="str">
            <v>Empresa Polo341301910</v>
          </cell>
          <cell r="B277">
            <v>428.77283</v>
          </cell>
          <cell r="C277">
            <v>227.15644999999995</v>
          </cell>
          <cell r="D277">
            <v>-550.18826999999976</v>
          </cell>
          <cell r="E277">
            <v>673.58614999999986</v>
          </cell>
          <cell r="F277">
            <v>303.50918999999999</v>
          </cell>
          <cell r="G277">
            <v>589.91760000000068</v>
          </cell>
        </row>
        <row r="278">
          <cell r="A278" t="str">
            <v>Empresa Polo341302000</v>
          </cell>
          <cell r="B278">
            <v>635.93858999999998</v>
          </cell>
          <cell r="C278">
            <v>762.46658000000002</v>
          </cell>
          <cell r="D278">
            <v>575.11553000000026</v>
          </cell>
          <cell r="E278">
            <v>-159.94823000000065</v>
          </cell>
          <cell r="F278">
            <v>-18.072179999999435</v>
          </cell>
          <cell r="G278">
            <v>4988.5077700000038</v>
          </cell>
        </row>
        <row r="279">
          <cell r="A279" t="str">
            <v>Empresa Polo341302010</v>
          </cell>
          <cell r="B279">
            <v>2.2098500000000003</v>
          </cell>
          <cell r="C279">
            <v>168.74296000000001</v>
          </cell>
          <cell r="D279">
            <v>672.94592999999998</v>
          </cell>
          <cell r="E279">
            <v>363.14505999999994</v>
          </cell>
          <cell r="F279">
            <v>429.02629000000024</v>
          </cell>
          <cell r="G279">
            <v>389.85262999999998</v>
          </cell>
        </row>
        <row r="280">
          <cell r="A280" t="str">
            <v>Empresa Polo341302020</v>
          </cell>
          <cell r="B280">
            <v>791.03131000000008</v>
          </cell>
          <cell r="C280">
            <v>564.72947999999974</v>
          </cell>
          <cell r="D280">
            <v>546.9663800000003</v>
          </cell>
          <cell r="E280">
            <v>672.34951999999976</v>
          </cell>
          <cell r="F280">
            <v>838.30651000000034</v>
          </cell>
          <cell r="G280">
            <v>344.25486999999998</v>
          </cell>
        </row>
        <row r="281">
          <cell r="A281" t="str">
            <v>Empresa Polo341302030</v>
          </cell>
          <cell r="B281">
            <v>12.952209999999999</v>
          </cell>
          <cell r="C281">
            <v>30.477239999999995</v>
          </cell>
          <cell r="D281">
            <v>55.92063000000001</v>
          </cell>
          <cell r="E281">
            <v>27.270700000000019</v>
          </cell>
          <cell r="F281">
            <v>50.736469999999997</v>
          </cell>
          <cell r="G281">
            <v>210.76616999999987</v>
          </cell>
        </row>
        <row r="282">
          <cell r="A282" t="str">
            <v>Empresa Polo341302040</v>
          </cell>
          <cell r="B282">
            <v>130.68770000000001</v>
          </cell>
          <cell r="C282">
            <v>129.96794999999997</v>
          </cell>
          <cell r="D282">
            <v>-115.70235999999997</v>
          </cell>
          <cell r="E282">
            <v>75.319919999999939</v>
          </cell>
          <cell r="F282">
            <v>126.07367000000005</v>
          </cell>
          <cell r="G282">
            <v>32.99224000000001</v>
          </cell>
        </row>
        <row r="283">
          <cell r="A283" t="str">
            <v>Empresa Polo341302050</v>
          </cell>
          <cell r="B283">
            <v>1023.2036800000001</v>
          </cell>
          <cell r="C283">
            <v>988.32763999999975</v>
          </cell>
          <cell r="D283">
            <v>637.5756200000003</v>
          </cell>
          <cell r="E283">
            <v>858.63864000000058</v>
          </cell>
          <cell r="F283">
            <v>848.43090999999822</v>
          </cell>
          <cell r="G283">
            <v>6.0571700000000064</v>
          </cell>
        </row>
        <row r="284">
          <cell r="A284" t="str">
            <v>Empresa Polo341302070</v>
          </cell>
          <cell r="B284">
            <v>4906.6264499999997</v>
          </cell>
          <cell r="C284">
            <v>5081.2627599999996</v>
          </cell>
          <cell r="D284">
            <v>5142.3523100000002</v>
          </cell>
          <cell r="E284">
            <v>4115.7217300000011</v>
          </cell>
          <cell r="F284">
            <v>5373.2025399999984</v>
          </cell>
          <cell r="G284">
            <v>53.899410000000003</v>
          </cell>
        </row>
        <row r="285">
          <cell r="A285" t="str">
            <v>Empresa Polo341302100</v>
          </cell>
          <cell r="B285">
            <v>58.634860000000003</v>
          </cell>
          <cell r="C285">
            <v>73.970129999999983</v>
          </cell>
          <cell r="D285">
            <v>64.436570000000017</v>
          </cell>
          <cell r="E285">
            <v>48.538619999999923</v>
          </cell>
          <cell r="F285">
            <v>57.989620000000059</v>
          </cell>
          <cell r="G285">
            <v>29.807760000000002</v>
          </cell>
        </row>
        <row r="286">
          <cell r="A286" t="str">
            <v>Empresa Polo341302110</v>
          </cell>
          <cell r="B286">
            <v>230.88991000000004</v>
          </cell>
          <cell r="C286">
            <v>384.41026999999991</v>
          </cell>
          <cell r="D286">
            <v>547.53978000000006</v>
          </cell>
          <cell r="E286">
            <v>404.14076999999997</v>
          </cell>
          <cell r="F286">
            <v>364.17381999999998</v>
          </cell>
          <cell r="G286">
            <v>726.64629999999988</v>
          </cell>
        </row>
        <row r="287">
          <cell r="A287" t="str">
            <v>Empresa Polo341302120</v>
          </cell>
          <cell r="B287">
            <v>270.40719999999993</v>
          </cell>
          <cell r="C287">
            <v>280.75072000000006</v>
          </cell>
          <cell r="D287">
            <v>283.07008000000008</v>
          </cell>
          <cell r="E287">
            <v>198.75462999999991</v>
          </cell>
          <cell r="F287">
            <v>197.7820200000001</v>
          </cell>
          <cell r="G287">
            <v>128.71638000000002</v>
          </cell>
        </row>
        <row r="288">
          <cell r="A288" t="str">
            <v>Empresa Polo341302130</v>
          </cell>
          <cell r="B288">
            <v>0</v>
          </cell>
          <cell r="C288">
            <v>0</v>
          </cell>
          <cell r="D288">
            <v>9.2146600000000003</v>
          </cell>
          <cell r="E288">
            <v>9.7162500000000005</v>
          </cell>
          <cell r="F288">
            <v>97.61381999999999</v>
          </cell>
          <cell r="G288">
            <v>2390.3485500000024</v>
          </cell>
        </row>
        <row r="289">
          <cell r="A289" t="str">
            <v>Empresa Polo341302140</v>
          </cell>
          <cell r="B289">
            <v>15.794689999999999</v>
          </cell>
          <cell r="C289">
            <v>44.393050000000002</v>
          </cell>
          <cell r="D289">
            <v>-25.889859999999999</v>
          </cell>
          <cell r="E289">
            <v>13.201420000000006</v>
          </cell>
          <cell r="F289">
            <v>15.956749999999992</v>
          </cell>
          <cell r="G289">
            <v>284.02690999999982</v>
          </cell>
        </row>
        <row r="290">
          <cell r="A290" t="str">
            <v>Empresa Polo341302150</v>
          </cell>
          <cell r="B290">
            <v>0</v>
          </cell>
          <cell r="C290">
            <v>0</v>
          </cell>
          <cell r="D290">
            <v>7.93797</v>
          </cell>
          <cell r="E290">
            <v>16.927520000000001</v>
          </cell>
          <cell r="F290">
            <v>50.905070000000002</v>
          </cell>
          <cell r="G290">
            <v>48.285740000000033</v>
          </cell>
        </row>
        <row r="291">
          <cell r="A291" t="str">
            <v>Empresa Polo341302500</v>
          </cell>
          <cell r="B291">
            <v>238.48320999999999</v>
          </cell>
          <cell r="C291">
            <v>-12.783929999999941</v>
          </cell>
          <cell r="D291">
            <v>-191.14260000000004</v>
          </cell>
          <cell r="E291">
            <v>9.2578100000000063</v>
          </cell>
          <cell r="F291">
            <v>20.947089999999989</v>
          </cell>
          <cell r="G291">
            <v>483.74764999999979</v>
          </cell>
        </row>
        <row r="292">
          <cell r="A292" t="str">
            <v>Empresa Polo341399999</v>
          </cell>
          <cell r="B292">
            <v>756.51278999999977</v>
          </cell>
          <cell r="C292">
            <v>459.2195300000003</v>
          </cell>
          <cell r="D292">
            <v>844.19839000000002</v>
          </cell>
          <cell r="E292">
            <v>-146.68600999999967</v>
          </cell>
          <cell r="F292">
            <v>456.90220999999951</v>
          </cell>
          <cell r="G292">
            <v>367.80537999999979</v>
          </cell>
        </row>
        <row r="293">
          <cell r="A293" t="str">
            <v>Empresa Polo341500000</v>
          </cell>
          <cell r="B293">
            <v>553.28323999999998</v>
          </cell>
          <cell r="C293">
            <v>-291.57923999999997</v>
          </cell>
          <cell r="D293">
            <v>225.46713</v>
          </cell>
          <cell r="E293">
            <v>-139.35719999999998</v>
          </cell>
          <cell r="F293">
            <v>6.4307699999999954</v>
          </cell>
          <cell r="G293">
            <v>9265.1612999999925</v>
          </cell>
        </row>
        <row r="294">
          <cell r="A294" t="str">
            <v>Empresa Polo341500020</v>
          </cell>
          <cell r="B294">
            <v>1229.5315906000001</v>
          </cell>
          <cell r="C294">
            <v>2257.2501894000002</v>
          </cell>
          <cell r="D294">
            <v>1130.0064999999995</v>
          </cell>
          <cell r="E294">
            <v>1122.9351000000015</v>
          </cell>
          <cell r="F294">
            <v>2686.6375399999997</v>
          </cell>
          <cell r="G294">
            <v>35.891109999999998</v>
          </cell>
        </row>
        <row r="295">
          <cell r="A295" t="str">
            <v>Empresa Polo341500030</v>
          </cell>
          <cell r="B295">
            <v>482.98974940000005</v>
          </cell>
          <cell r="C295">
            <v>192.91662059999987</v>
          </cell>
          <cell r="D295">
            <v>510.24185000000011</v>
          </cell>
          <cell r="E295">
            <v>305.65045999999984</v>
          </cell>
          <cell r="F295">
            <v>370.29646000000025</v>
          </cell>
          <cell r="G295">
            <v>5596.6354900000006</v>
          </cell>
        </row>
        <row r="296">
          <cell r="A296" t="str">
            <v>Empresa Polo341500050</v>
          </cell>
          <cell r="B296">
            <v>4.835</v>
          </cell>
          <cell r="C296">
            <v>133.10667000000001</v>
          </cell>
          <cell r="D296">
            <v>1034.69048</v>
          </cell>
          <cell r="E296">
            <v>59.114769999999908</v>
          </cell>
          <cell r="F296">
            <v>32.136990000000196</v>
          </cell>
          <cell r="G296">
            <v>-3102.3845500000007</v>
          </cell>
        </row>
        <row r="297">
          <cell r="A297" t="str">
            <v>Empresa Polo341500100</v>
          </cell>
          <cell r="B297">
            <v>709.77352000000008</v>
          </cell>
          <cell r="C297">
            <v>364.61005999999986</v>
          </cell>
          <cell r="D297">
            <v>336.3403800000001</v>
          </cell>
          <cell r="E297">
            <v>489.25885999999991</v>
          </cell>
          <cell r="F297">
            <v>426.62440000000038</v>
          </cell>
          <cell r="G297">
            <v>464.60663000000022</v>
          </cell>
        </row>
        <row r="298">
          <cell r="A298" t="str">
            <v>Empresa Polo341500200</v>
          </cell>
          <cell r="B298">
            <v>160.63231999999999</v>
          </cell>
          <cell r="C298">
            <v>138.92262999999997</v>
          </cell>
          <cell r="D298">
            <v>233.66215</v>
          </cell>
          <cell r="E298">
            <v>122.51365999999996</v>
          </cell>
          <cell r="F298">
            <v>521.27965999999992</v>
          </cell>
          <cell r="G298">
            <v>54.476210000000265</v>
          </cell>
        </row>
        <row r="299">
          <cell r="A299" t="str">
            <v>Empresa Polo341600000</v>
          </cell>
          <cell r="B299">
            <v>7020.1488100000006</v>
          </cell>
          <cell r="C299">
            <v>7146.8164199999992</v>
          </cell>
          <cell r="D299">
            <v>7361.58691</v>
          </cell>
          <cell r="E299">
            <v>7338.7109700000001</v>
          </cell>
          <cell r="F299">
            <v>20274.789670000006</v>
          </cell>
          <cell r="G299">
            <v>131.14301000000017</v>
          </cell>
        </row>
        <row r="300">
          <cell r="A300" t="str">
            <v>Empresa Polo341600020</v>
          </cell>
          <cell r="B300">
            <v>3.3347399999999996</v>
          </cell>
          <cell r="C300">
            <v>-3.3347399999999996</v>
          </cell>
          <cell r="D300">
            <v>0</v>
          </cell>
          <cell r="E300">
            <v>0</v>
          </cell>
          <cell r="F300">
            <v>16.08549</v>
          </cell>
          <cell r="G300">
            <v>304.18799999999987</v>
          </cell>
        </row>
        <row r="301">
          <cell r="A301" t="str">
            <v>Empresa Polo341700200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-51.3234700000001</v>
          </cell>
        </row>
        <row r="302">
          <cell r="A302" t="str">
            <v>Empresa Polo341700300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str">
            <v>Empresa Polo341700400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str">
            <v>Empresa Polo341700500</v>
          </cell>
          <cell r="B304">
            <v>113.8995001</v>
          </cell>
          <cell r="C304">
            <v>169.77552989999998</v>
          </cell>
          <cell r="D304">
            <v>4769.36348</v>
          </cell>
          <cell r="E304">
            <v>3996.2950099999998</v>
          </cell>
          <cell r="F304">
            <v>9456.0508699999991</v>
          </cell>
          <cell r="G304">
            <v>25.549750000000017</v>
          </cell>
        </row>
        <row r="305">
          <cell r="A305" t="str">
            <v>Empresa Polo341700600</v>
          </cell>
          <cell r="B305">
            <v>1337.4859000000001</v>
          </cell>
          <cell r="C305">
            <v>2204.2993200000001</v>
          </cell>
          <cell r="D305">
            <v>-152.98122000000012</v>
          </cell>
          <cell r="E305">
            <v>-1335.2516100000003</v>
          </cell>
          <cell r="F305">
            <v>-5132.4102999999996</v>
          </cell>
          <cell r="G305">
            <v>181804.43095999968</v>
          </cell>
        </row>
        <row r="306">
          <cell r="A306" t="str">
            <v>Empresa Polo341910240</v>
          </cell>
          <cell r="B306">
            <v>967.01388999999995</v>
          </cell>
          <cell r="C306">
            <v>308.8310899999999</v>
          </cell>
          <cell r="D306">
            <v>-53.909130000000005</v>
          </cell>
          <cell r="E306">
            <v>193.06239000000005</v>
          </cell>
          <cell r="F306">
            <v>569.91595000000007</v>
          </cell>
          <cell r="G306">
            <v>26102.530539999992</v>
          </cell>
        </row>
        <row r="307">
          <cell r="A307" t="str">
            <v>Empresa Polo341910250</v>
          </cell>
          <cell r="B307">
            <v>2085.6035099999999</v>
          </cell>
          <cell r="C307">
            <v>239.68155999999999</v>
          </cell>
          <cell r="D307">
            <v>-109.04970999999978</v>
          </cell>
          <cell r="E307">
            <v>123.94037000000026</v>
          </cell>
          <cell r="F307">
            <v>162.52698999999984</v>
          </cell>
          <cell r="G307">
            <v>5756.3961100000015</v>
          </cell>
        </row>
        <row r="308">
          <cell r="A308" t="str">
            <v>Empresa Polo341910900</v>
          </cell>
          <cell r="B308">
            <v>229.22073</v>
          </cell>
          <cell r="C308">
            <v>149.70377000000002</v>
          </cell>
          <cell r="D308">
            <v>11.859479999999962</v>
          </cell>
          <cell r="E308">
            <v>63.299929999999961</v>
          </cell>
          <cell r="F308">
            <v>30.913790000000006</v>
          </cell>
          <cell r="G308">
            <v>1.3188499999999976</v>
          </cell>
        </row>
        <row r="309">
          <cell r="A309" t="str">
            <v>Empresa Polo341960000</v>
          </cell>
          <cell r="B309">
            <v>118.39333000000001</v>
          </cell>
          <cell r="C309">
            <v>87.055159999999987</v>
          </cell>
          <cell r="D309">
            <v>36.403470000000056</v>
          </cell>
          <cell r="E309">
            <v>28.57884999999996</v>
          </cell>
          <cell r="F309">
            <v>397.48554000000007</v>
          </cell>
          <cell r="G309">
            <v>-273.85284000000047</v>
          </cell>
        </row>
        <row r="310">
          <cell r="A310" t="str">
            <v>Empresa Polo341960010</v>
          </cell>
          <cell r="B310">
            <v>63.863100000000003</v>
          </cell>
          <cell r="C310">
            <v>290.27724000000001</v>
          </cell>
          <cell r="D310">
            <v>-15.758489999999995</v>
          </cell>
          <cell r="E310">
            <v>25.233139999999935</v>
          </cell>
          <cell r="F310">
            <v>86.956990000000076</v>
          </cell>
          <cell r="G310">
            <v>0</v>
          </cell>
        </row>
        <row r="311">
          <cell r="A311" t="str">
            <v>Empresa Polo341980000</v>
          </cell>
          <cell r="B311">
            <v>0</v>
          </cell>
          <cell r="C311">
            <v>0</v>
          </cell>
          <cell r="D311">
            <v>0</v>
          </cell>
          <cell r="E311">
            <v>677.83293000000003</v>
          </cell>
          <cell r="F311">
            <v>-677.83293000000003</v>
          </cell>
          <cell r="G311">
            <v>285.53093999999999</v>
          </cell>
        </row>
        <row r="312">
          <cell r="A312" t="str">
            <v>Empresa Polo341990010</v>
          </cell>
          <cell r="B312">
            <v>74.823579999999993</v>
          </cell>
          <cell r="C312">
            <v>-74.570039999999992</v>
          </cell>
          <cell r="D312">
            <v>2.42903</v>
          </cell>
          <cell r="E312">
            <v>0</v>
          </cell>
          <cell r="F312">
            <v>-0.61759999999999993</v>
          </cell>
          <cell r="G312">
            <v>2765.5017699999994</v>
          </cell>
        </row>
        <row r="313">
          <cell r="A313" t="str">
            <v>Empresa Polo341999999</v>
          </cell>
          <cell r="B313">
            <v>482.73727999999994</v>
          </cell>
          <cell r="C313">
            <v>94.952959999999962</v>
          </cell>
          <cell r="D313">
            <v>-432.32036999999991</v>
          </cell>
          <cell r="E313">
            <v>36.597710000000006</v>
          </cell>
          <cell r="F313">
            <v>2.913299999999964</v>
          </cell>
          <cell r="G313">
            <v>3252.6719899999971</v>
          </cell>
        </row>
        <row r="314">
          <cell r="A314" t="str">
            <v>Empresa Polo432210000</v>
          </cell>
          <cell r="B314">
            <v>162449.03108000002</v>
          </cell>
          <cell r="C314">
            <v>172622.88998000001</v>
          </cell>
          <cell r="D314">
            <v>166627.21867000009</v>
          </cell>
          <cell r="E314">
            <v>168673.47321999987</v>
          </cell>
          <cell r="F314">
            <v>161317.01127000025</v>
          </cell>
          <cell r="G314">
            <v>3557.2738099999988</v>
          </cell>
        </row>
        <row r="315">
          <cell r="A315" t="str">
            <v>Empresa Polo432310000</v>
          </cell>
          <cell r="B315">
            <v>23228.916169999997</v>
          </cell>
          <cell r="C315">
            <v>24526.396590000004</v>
          </cell>
          <cell r="D315">
            <v>24919.99106</v>
          </cell>
          <cell r="E315">
            <v>24496.656919999994</v>
          </cell>
          <cell r="F315">
            <v>25376.161110000015</v>
          </cell>
          <cell r="G315">
            <v>3037.9890799999994</v>
          </cell>
        </row>
        <row r="316">
          <cell r="A316" t="str">
            <v>Empresa Polo432710000</v>
          </cell>
          <cell r="B316">
            <v>5078.8968999999997</v>
          </cell>
          <cell r="C316">
            <v>5322.8168800000003</v>
          </cell>
          <cell r="D316">
            <v>5453.1900399999995</v>
          </cell>
          <cell r="E316">
            <v>5315.3956199999993</v>
          </cell>
          <cell r="F316">
            <v>5551.351160000002</v>
          </cell>
          <cell r="G316">
            <v>29346.776590000023</v>
          </cell>
        </row>
        <row r="317">
          <cell r="A317" t="str">
            <v>Empresa Polo433100000</v>
          </cell>
          <cell r="B317">
            <v>25.757680000000001</v>
          </cell>
          <cell r="C317">
            <v>25.82893</v>
          </cell>
          <cell r="D317">
            <v>535.35528999999997</v>
          </cell>
          <cell r="E317">
            <v>209.69399999999996</v>
          </cell>
          <cell r="F317">
            <v>-14.791479999999979</v>
          </cell>
          <cell r="G317">
            <v>2799.5103699999981</v>
          </cell>
        </row>
        <row r="318">
          <cell r="A318" t="str">
            <v>Empresa Polo433100100</v>
          </cell>
          <cell r="B318">
            <v>653.34605999999997</v>
          </cell>
          <cell r="C318">
            <v>2249.4396500000003</v>
          </cell>
          <cell r="D318">
            <v>165.04386000000022</v>
          </cell>
          <cell r="E318">
            <v>2589.5941699999998</v>
          </cell>
          <cell r="F318">
            <v>895.27244999999948</v>
          </cell>
          <cell r="G318">
            <v>0.34003</v>
          </cell>
        </row>
        <row r="319">
          <cell r="A319" t="str">
            <v>Empresa Polo433100200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0.4</v>
          </cell>
          <cell r="G319">
            <v>675.29630999999995</v>
          </cell>
        </row>
        <row r="320">
          <cell r="A320" t="str">
            <v>Empresa Polo433100300</v>
          </cell>
          <cell r="B320">
            <v>14</v>
          </cell>
          <cell r="C320">
            <v>92.804860000000005</v>
          </cell>
          <cell r="D320">
            <v>113.69341999999999</v>
          </cell>
          <cell r="E320">
            <v>102.03815999999998</v>
          </cell>
          <cell r="F320">
            <v>24.220620000000054</v>
          </cell>
          <cell r="G320">
            <v>1096.9317899999996</v>
          </cell>
        </row>
        <row r="321">
          <cell r="A321" t="str">
            <v>Empresa Polo433100400</v>
          </cell>
          <cell r="B321">
            <v>1320.9304</v>
          </cell>
          <cell r="C321">
            <v>55.021570000000111</v>
          </cell>
          <cell r="D321">
            <v>782.30499999999995</v>
          </cell>
          <cell r="E321">
            <v>-1273.3921000000005</v>
          </cell>
          <cell r="F321">
            <v>119.81139999999994</v>
          </cell>
          <cell r="G321">
            <v>1729.9602800000007</v>
          </cell>
        </row>
        <row r="322">
          <cell r="A322" t="str">
            <v>Empresa Polo433200000</v>
          </cell>
          <cell r="B322">
            <v>2332.8011200000001</v>
          </cell>
          <cell r="C322">
            <v>2123.5683600000002</v>
          </cell>
          <cell r="D322">
            <v>3259.180879999999</v>
          </cell>
          <cell r="E322">
            <v>2622.2125500000002</v>
          </cell>
          <cell r="F322">
            <v>2002.2129700000023</v>
          </cell>
          <cell r="G322">
            <v>0</v>
          </cell>
        </row>
        <row r="323">
          <cell r="A323" t="str">
            <v>Empresa Polo433200100</v>
          </cell>
          <cell r="B323">
            <v>2698.7018199999998</v>
          </cell>
          <cell r="C323">
            <v>2889.1490600000002</v>
          </cell>
          <cell r="D323">
            <v>5681.4889799999983</v>
          </cell>
          <cell r="E323">
            <v>3206.218240000002</v>
          </cell>
          <cell r="F323">
            <v>5085.4385100000018</v>
          </cell>
          <cell r="G323">
            <v>0</v>
          </cell>
        </row>
        <row r="324">
          <cell r="A324" t="str">
            <v>Empresa Polo433200250</v>
          </cell>
          <cell r="B324">
            <v>8296.9770900000003</v>
          </cell>
          <cell r="C324">
            <v>5407.88796</v>
          </cell>
          <cell r="D324">
            <v>-590.09684000000016</v>
          </cell>
          <cell r="E324">
            <v>2850.1270099999983</v>
          </cell>
          <cell r="F324">
            <v>1459.0557700000027</v>
          </cell>
          <cell r="G324">
            <v>3767.7107899999974</v>
          </cell>
        </row>
        <row r="325">
          <cell r="A325" t="str">
            <v>Empresa Polo433200280</v>
          </cell>
          <cell r="B325">
            <v>0</v>
          </cell>
          <cell r="C325">
            <v>0</v>
          </cell>
          <cell r="D325">
            <v>101742.28805</v>
          </cell>
          <cell r="E325">
            <v>24438.604799999986</v>
          </cell>
          <cell r="F325">
            <v>42998.210880000013</v>
          </cell>
          <cell r="G325">
            <v>-77.315140000000611</v>
          </cell>
        </row>
        <row r="326">
          <cell r="A326" t="str">
            <v>Empresa Polo433200300</v>
          </cell>
          <cell r="B326">
            <v>1938.02521</v>
          </cell>
          <cell r="C326">
            <v>1600.1511800000001</v>
          </cell>
          <cell r="D326">
            <v>2272.1603299999992</v>
          </cell>
          <cell r="E326">
            <v>2304.4999900000012</v>
          </cell>
          <cell r="F326">
            <v>2580.9449000000013</v>
          </cell>
          <cell r="G326">
            <v>4253.5702899999997</v>
          </cell>
        </row>
        <row r="327">
          <cell r="A327" t="str">
            <v>Empresa Polo433200500</v>
          </cell>
          <cell r="B327">
            <v>37.194660000000006</v>
          </cell>
          <cell r="C327">
            <v>-37.194660000000006</v>
          </cell>
          <cell r="D327">
            <v>0.62172000000000005</v>
          </cell>
          <cell r="E327">
            <v>-0.62172000000000005</v>
          </cell>
          <cell r="F327">
            <v>0</v>
          </cell>
          <cell r="G327">
            <v>0</v>
          </cell>
        </row>
        <row r="328">
          <cell r="A328" t="str">
            <v>Empresa Polo433200900</v>
          </cell>
          <cell r="B328">
            <v>181.88267000000002</v>
          </cell>
          <cell r="C328">
            <v>419.57499000000001</v>
          </cell>
          <cell r="D328">
            <v>247.17430000000002</v>
          </cell>
          <cell r="E328">
            <v>733.93898999999999</v>
          </cell>
          <cell r="F328">
            <v>-96.641740000000027</v>
          </cell>
          <cell r="G328">
            <v>17375.78744</v>
          </cell>
        </row>
        <row r="329">
          <cell r="A329" t="str">
            <v>Empresa Polo433300000</v>
          </cell>
          <cell r="B329">
            <v>984.70976000000007</v>
          </cell>
          <cell r="C329">
            <v>1425.2850000000001</v>
          </cell>
          <cell r="D329">
            <v>535.83651000000009</v>
          </cell>
          <cell r="E329">
            <v>313.36246999999958</v>
          </cell>
          <cell r="F329">
            <v>725.34712000000036</v>
          </cell>
          <cell r="G329">
            <v>10232.452499999999</v>
          </cell>
        </row>
        <row r="330">
          <cell r="A330" t="str">
            <v>Empresa Polo433400000</v>
          </cell>
          <cell r="B330">
            <v>220.06086000000002</v>
          </cell>
          <cell r="C330">
            <v>196.35826999999998</v>
          </cell>
          <cell r="D330">
            <v>643.1571399999998</v>
          </cell>
          <cell r="E330">
            <v>996.74755000000027</v>
          </cell>
          <cell r="F330">
            <v>734.62908000000016</v>
          </cell>
          <cell r="G330">
            <v>1138.0031499999996</v>
          </cell>
        </row>
        <row r="331">
          <cell r="A331" t="str">
            <v>Empresa Polo433500100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str">
            <v>Empresa Polo433500150</v>
          </cell>
          <cell r="B332">
            <v>1.7096099999999999</v>
          </cell>
          <cell r="C332">
            <v>8.4922199999999997</v>
          </cell>
          <cell r="D332">
            <v>0</v>
          </cell>
          <cell r="E332">
            <v>0</v>
          </cell>
          <cell r="F332">
            <v>0</v>
          </cell>
          <cell r="G332">
            <v>3219.4146899999978</v>
          </cell>
        </row>
        <row r="333">
          <cell r="A333" t="str">
            <v>Empresa Polo433501000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814.59686000000056</v>
          </cell>
        </row>
        <row r="334">
          <cell r="A334" t="str">
            <v>Empresa Polo433501050</v>
          </cell>
          <cell r="B334">
            <v>0</v>
          </cell>
          <cell r="C334">
            <v>2.5229999999999999E-2</v>
          </cell>
          <cell r="D334">
            <v>0</v>
          </cell>
          <cell r="E334">
            <v>18.495519999999999</v>
          </cell>
          <cell r="F334">
            <v>0</v>
          </cell>
          <cell r="G334">
            <v>176.53899999999999</v>
          </cell>
        </row>
        <row r="335">
          <cell r="A335" t="str">
            <v>Empresa Polo433600000</v>
          </cell>
          <cell r="B335">
            <v>5339.7770300000002</v>
          </cell>
          <cell r="C335">
            <v>5499.4316599999993</v>
          </cell>
          <cell r="D335">
            <v>4839.4618999999984</v>
          </cell>
          <cell r="E335">
            <v>4498.5559200000025</v>
          </cell>
          <cell r="F335">
            <v>7448.4766200000013</v>
          </cell>
          <cell r="G335">
            <v>574.93479000000002</v>
          </cell>
        </row>
        <row r="336">
          <cell r="A336" t="str">
            <v>Empresa Polo433600010</v>
          </cell>
          <cell r="B336">
            <v>257.45901000000003</v>
          </cell>
          <cell r="C336">
            <v>2587.07782</v>
          </cell>
          <cell r="D336">
            <v>-115.64300000000003</v>
          </cell>
          <cell r="E336">
            <v>77.53563000000031</v>
          </cell>
          <cell r="F336">
            <v>-6.4556899999997768</v>
          </cell>
          <cell r="G336">
            <v>478.89317000000028</v>
          </cell>
        </row>
        <row r="337">
          <cell r="A337" t="str">
            <v>Empresa Polo433700000</v>
          </cell>
          <cell r="B337">
            <v>2024.3622600000001</v>
          </cell>
          <cell r="C337">
            <v>2342.8760700000003</v>
          </cell>
          <cell r="D337">
            <v>1180.1881100000001</v>
          </cell>
          <cell r="E337">
            <v>1340.6363400000009</v>
          </cell>
          <cell r="F337">
            <v>2684.9701300000006</v>
          </cell>
          <cell r="G337">
            <v>4389.3133600000001</v>
          </cell>
        </row>
        <row r="338">
          <cell r="A338" t="str">
            <v>Empresa Polo433800000</v>
          </cell>
          <cell r="B338">
            <v>0.16800999999999999</v>
          </cell>
          <cell r="C338">
            <v>0</v>
          </cell>
          <cell r="D338">
            <v>6.8533099999999996</v>
          </cell>
          <cell r="E338">
            <v>15.600729999999999</v>
          </cell>
          <cell r="F338">
            <v>-22.622049999999998</v>
          </cell>
          <cell r="G338">
            <v>119.2124500000001</v>
          </cell>
        </row>
        <row r="339">
          <cell r="A339" t="str">
            <v>Empresa Polo433800010</v>
          </cell>
          <cell r="B339">
            <v>3214.8549400000002</v>
          </cell>
          <cell r="C339">
            <v>2104.1735699999999</v>
          </cell>
          <cell r="D339">
            <v>1948.9305100000001</v>
          </cell>
          <cell r="E339">
            <v>4255.8812500000004</v>
          </cell>
          <cell r="F339">
            <v>12693.528259999999</v>
          </cell>
          <cell r="G339">
            <v>1500.6971999999987</v>
          </cell>
        </row>
        <row r="340">
          <cell r="A340" t="str">
            <v>Empresa Polo433900000</v>
          </cell>
          <cell r="B340">
            <v>2907.6961000000001</v>
          </cell>
          <cell r="C340">
            <v>3437.3921500000006</v>
          </cell>
          <cell r="D340">
            <v>6240.364029999997</v>
          </cell>
          <cell r="E340">
            <v>3924.4131300000008</v>
          </cell>
          <cell r="F340">
            <v>2816.9294200000004</v>
          </cell>
          <cell r="G340">
            <v>300.13856999999996</v>
          </cell>
        </row>
        <row r="341">
          <cell r="A341" t="str">
            <v>Empresa Polo434000000</v>
          </cell>
          <cell r="B341">
            <v>779.10654</v>
          </cell>
          <cell r="C341">
            <v>1505.5221100000001</v>
          </cell>
          <cell r="D341">
            <v>315.60239999999976</v>
          </cell>
          <cell r="E341">
            <v>1502.14068</v>
          </cell>
          <cell r="F341">
            <v>2735.1811700000007</v>
          </cell>
          <cell r="G341">
            <v>1354.3257699999999</v>
          </cell>
        </row>
        <row r="342">
          <cell r="A342" t="str">
            <v>Empresa Polo435100000</v>
          </cell>
          <cell r="B342">
            <v>0</v>
          </cell>
          <cell r="C342">
            <v>0</v>
          </cell>
          <cell r="D342">
            <v>-3.6009099999999998</v>
          </cell>
          <cell r="E342">
            <v>0</v>
          </cell>
          <cell r="F342">
            <v>0</v>
          </cell>
          <cell r="G342">
            <v>350.24070999999913</v>
          </cell>
        </row>
        <row r="343">
          <cell r="A343" t="str">
            <v>Empresa Polo435100100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12226.861180000007</v>
          </cell>
        </row>
        <row r="344">
          <cell r="A344" t="str">
            <v>Empresa Polo435100150</v>
          </cell>
          <cell r="B344">
            <v>3365.2248100000002</v>
          </cell>
          <cell r="C344">
            <v>9357.1765399999986</v>
          </cell>
          <cell r="D344">
            <v>1450.8737100000017</v>
          </cell>
          <cell r="E344">
            <v>2319.7055600000022</v>
          </cell>
          <cell r="F344">
            <v>23805.139450000002</v>
          </cell>
          <cell r="G344">
            <v>0.65489999999999782</v>
          </cell>
        </row>
        <row r="345">
          <cell r="A345" t="str">
            <v>Empresa Polo435100190</v>
          </cell>
          <cell r="B345">
            <v>1138.62365</v>
          </cell>
          <cell r="C345">
            <v>1313.81522</v>
          </cell>
          <cell r="D345">
            <v>-449.60479999999984</v>
          </cell>
          <cell r="E345">
            <v>197.74208000000021</v>
          </cell>
          <cell r="F345">
            <v>-31.320040000000517</v>
          </cell>
          <cell r="G345">
            <v>29300.002000000037</v>
          </cell>
        </row>
        <row r="346">
          <cell r="A346" t="str">
            <v>Empresa Polo435200000</v>
          </cell>
          <cell r="B346">
            <v>125.74539000000001</v>
          </cell>
          <cell r="C346">
            <v>72.384260000000012</v>
          </cell>
          <cell r="D346">
            <v>137.05291999999997</v>
          </cell>
          <cell r="E346">
            <v>56.216619999999978</v>
          </cell>
          <cell r="F346">
            <v>41.134450000000015</v>
          </cell>
          <cell r="G346">
            <v>2475.6508300000132</v>
          </cell>
        </row>
        <row r="347">
          <cell r="A347" t="str">
            <v>Empresa Polo435900000</v>
          </cell>
          <cell r="B347">
            <v>-13.02589</v>
          </cell>
          <cell r="C347">
            <v>18.727130000000002</v>
          </cell>
          <cell r="D347">
            <v>349.24583000000001</v>
          </cell>
          <cell r="E347">
            <v>-1.9081400000000031</v>
          </cell>
          <cell r="F347">
            <v>9.5656599999999798</v>
          </cell>
          <cell r="G347">
            <v>-11624.458330000001</v>
          </cell>
        </row>
        <row r="348">
          <cell r="A348" t="str">
            <v>Empresa Polo441100430</v>
          </cell>
          <cell r="B348">
            <v>0</v>
          </cell>
          <cell r="C348">
            <v>0</v>
          </cell>
          <cell r="D348">
            <v>-6034.9839900000006</v>
          </cell>
          <cell r="E348">
            <v>301.05486000000019</v>
          </cell>
          <cell r="F348">
            <v>162.23346000000038</v>
          </cell>
          <cell r="G348">
            <v>-251.17585999999997</v>
          </cell>
        </row>
        <row r="349">
          <cell r="A349" t="str">
            <v>Empresa Polo441301200</v>
          </cell>
          <cell r="B349">
            <v>4428.0029299999997</v>
          </cell>
          <cell r="C349">
            <v>3850.6987200000012</v>
          </cell>
          <cell r="D349">
            <v>3816.8125999999993</v>
          </cell>
          <cell r="E349">
            <v>2444.8681199999992</v>
          </cell>
          <cell r="F349">
            <v>3156.4275200000011</v>
          </cell>
          <cell r="G349">
            <v>866.67387000000008</v>
          </cell>
        </row>
        <row r="350">
          <cell r="A350" t="str">
            <v>Empresa Polo441910170</v>
          </cell>
          <cell r="B350">
            <v>473.76436999999999</v>
          </cell>
          <cell r="C350">
            <v>-52.46125</v>
          </cell>
          <cell r="D350">
            <v>-117.82486999999998</v>
          </cell>
          <cell r="E350">
            <v>367.93553999999995</v>
          </cell>
          <cell r="F350">
            <v>-91.70948999999996</v>
          </cell>
          <cell r="G350">
            <v>-223.65054999999995</v>
          </cell>
        </row>
        <row r="351">
          <cell r="A351" t="str">
            <v>Empresa Polo441910210</v>
          </cell>
          <cell r="B351">
            <v>2066.4306099999999</v>
          </cell>
          <cell r="C351">
            <v>1793.7789200000002</v>
          </cell>
          <cell r="D351">
            <v>1484.4505200000003</v>
          </cell>
          <cell r="E351">
            <v>1738.1236999999983</v>
          </cell>
          <cell r="F351">
            <v>1811.2982300000003</v>
          </cell>
          <cell r="G351">
            <v>13.8</v>
          </cell>
        </row>
        <row r="352">
          <cell r="A352" t="str">
            <v>Empresa Polo441910220</v>
          </cell>
          <cell r="B352">
            <v>277.20761000000005</v>
          </cell>
          <cell r="C352">
            <v>174.39786999999995</v>
          </cell>
          <cell r="D352">
            <v>14.788520000000005</v>
          </cell>
          <cell r="E352">
            <v>207.28030000000012</v>
          </cell>
          <cell r="F352">
            <v>-3.7636700000001611</v>
          </cell>
          <cell r="G352">
            <v>0</v>
          </cell>
        </row>
        <row r="353">
          <cell r="A353" t="str">
            <v>Empresa Polo441910230</v>
          </cell>
          <cell r="B353">
            <v>1084.11616</v>
          </cell>
          <cell r="C353">
            <v>526.51639999999998</v>
          </cell>
          <cell r="D353">
            <v>43.332060000000183</v>
          </cell>
          <cell r="E353">
            <v>992.82225999999991</v>
          </cell>
          <cell r="F353">
            <v>517.74257999999963</v>
          </cell>
          <cell r="G353">
            <v>4124.7242399999996</v>
          </cell>
        </row>
        <row r="354">
          <cell r="A354" t="str">
            <v>Empresa Polo441910900</v>
          </cell>
          <cell r="B354">
            <v>1351.58428</v>
          </cell>
          <cell r="C354">
            <v>1695.1772700000001</v>
          </cell>
          <cell r="D354">
            <v>1432.9777100000001</v>
          </cell>
          <cell r="E354">
            <v>493.58362999999918</v>
          </cell>
          <cell r="F354">
            <v>245.91558999999961</v>
          </cell>
          <cell r="G354">
            <v>888.00837999999931</v>
          </cell>
        </row>
        <row r="355">
          <cell r="A355" t="str">
            <v>Empresa Polo441920000</v>
          </cell>
          <cell r="B355">
            <v>15644.848040000001</v>
          </cell>
          <cell r="C355">
            <v>16347.168980000002</v>
          </cell>
          <cell r="D355">
            <v>13492.075849999997</v>
          </cell>
          <cell r="E355">
            <v>13096.311250000013</v>
          </cell>
          <cell r="F355">
            <v>5775.1510099999796</v>
          </cell>
          <cell r="G355">
            <v>1885.1695999999974</v>
          </cell>
        </row>
        <row r="356">
          <cell r="A356" t="str">
            <v>Empresa Polo441920600</v>
          </cell>
          <cell r="B356">
            <v>0</v>
          </cell>
          <cell r="C356">
            <v>0</v>
          </cell>
          <cell r="D356">
            <v>6340.4670000000006</v>
          </cell>
          <cell r="E356">
            <v>32.86927999999898</v>
          </cell>
          <cell r="F356">
            <v>-4540.3803399999997</v>
          </cell>
          <cell r="G356">
            <v>0</v>
          </cell>
        </row>
        <row r="357">
          <cell r="A357" t="str">
            <v>Empresa Polo441920850</v>
          </cell>
          <cell r="B357">
            <v>0</v>
          </cell>
          <cell r="C357">
            <v>0</v>
          </cell>
          <cell r="D357">
            <v>101736.46400000001</v>
          </cell>
          <cell r="E357">
            <v>24438.604799999986</v>
          </cell>
          <cell r="F357">
            <v>41499.998000000007</v>
          </cell>
          <cell r="G357">
            <v>412.88911999999982</v>
          </cell>
        </row>
        <row r="358">
          <cell r="A358" t="str">
            <v>Empresa Polo441920900</v>
          </cell>
          <cell r="B358">
            <v>4569.7306700000017</v>
          </cell>
          <cell r="C358">
            <v>7423.2614999999942</v>
          </cell>
          <cell r="D358">
            <v>4944.6903600000023</v>
          </cell>
          <cell r="E358">
            <v>5848.1681299999982</v>
          </cell>
          <cell r="F358">
            <v>17714.867590000002</v>
          </cell>
          <cell r="G358">
            <v>0</v>
          </cell>
        </row>
        <row r="359">
          <cell r="A359" t="str">
            <v>Empresa Polo441921100</v>
          </cell>
          <cell r="B359">
            <v>3858.7326200000007</v>
          </cell>
          <cell r="C359">
            <v>-9692.84915</v>
          </cell>
          <cell r="D359">
            <v>-8041.4148800000021</v>
          </cell>
          <cell r="E359">
            <v>13899.637490000001</v>
          </cell>
          <cell r="F359">
            <v>9036.919649999998</v>
          </cell>
          <cell r="G359">
            <v>95.153210000000058</v>
          </cell>
        </row>
        <row r="360">
          <cell r="A360" t="str">
            <v>Empresa Polo441922700</v>
          </cell>
          <cell r="B360">
            <v>41.674530000000004</v>
          </cell>
          <cell r="C360">
            <v>-37.46699000000001</v>
          </cell>
          <cell r="D360">
            <v>92.88142000000002</v>
          </cell>
          <cell r="E360">
            <v>16.666939999999997</v>
          </cell>
          <cell r="F360">
            <v>326.45662999999996</v>
          </cell>
          <cell r="G360">
            <v>0</v>
          </cell>
        </row>
        <row r="361">
          <cell r="A361" t="str">
            <v>Empresa Polo441923000</v>
          </cell>
          <cell r="B361">
            <v>282.75362999999999</v>
          </cell>
          <cell r="C361">
            <v>613.49156000000016</v>
          </cell>
          <cell r="D361">
            <v>-348.51000999999997</v>
          </cell>
          <cell r="E361">
            <v>71.182059999999979</v>
          </cell>
          <cell r="F361">
            <v>1057.0016799999999</v>
          </cell>
          <cell r="G361">
            <v>0</v>
          </cell>
        </row>
        <row r="362">
          <cell r="A362" t="str">
            <v>Empresa Polo441950000</v>
          </cell>
          <cell r="B362">
            <v>226.44362000000001</v>
          </cell>
          <cell r="C362">
            <v>-52.998960000000011</v>
          </cell>
          <cell r="D362">
            <v>-40.974829999999997</v>
          </cell>
          <cell r="E362">
            <v>193.01351</v>
          </cell>
          <cell r="F362">
            <v>174.36937999999998</v>
          </cell>
          <cell r="G362">
            <v>0</v>
          </cell>
        </row>
        <row r="363">
          <cell r="A363" t="str">
            <v>Empresa Polo441950010</v>
          </cell>
          <cell r="B363">
            <v>-227.45027000000002</v>
          </cell>
          <cell r="C363">
            <v>378.69101000000001</v>
          </cell>
          <cell r="D363">
            <v>-1.3769999999999811</v>
          </cell>
          <cell r="E363">
            <v>27.647109999999998</v>
          </cell>
          <cell r="F363">
            <v>3.2085099999999898</v>
          </cell>
          <cell r="G363">
            <v>0</v>
          </cell>
        </row>
        <row r="364">
          <cell r="A364" t="str">
            <v>Empresa Polo441980010</v>
          </cell>
          <cell r="B364">
            <v>4045.4173800000003</v>
          </cell>
          <cell r="C364">
            <v>940.83005999999978</v>
          </cell>
          <cell r="D364">
            <v>21.534439999999449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str">
            <v>Empresa Polo441980100</v>
          </cell>
          <cell r="B365">
            <v>1329.6539299999999</v>
          </cell>
          <cell r="C365">
            <v>1779.4429499999997</v>
          </cell>
          <cell r="D365">
            <v>2708.4446100000009</v>
          </cell>
          <cell r="E365">
            <v>2583.5241799999994</v>
          </cell>
          <cell r="F365">
            <v>8798.6315299999987</v>
          </cell>
          <cell r="G365">
            <v>-535.47490000000005</v>
          </cell>
        </row>
        <row r="366">
          <cell r="A366" t="str">
            <v>Empresa Polo441980110</v>
          </cell>
          <cell r="B366">
            <v>1800.9122200000002</v>
          </cell>
          <cell r="C366">
            <v>4136.0610299999998</v>
          </cell>
          <cell r="D366">
            <v>2427.1200500000004</v>
          </cell>
          <cell r="E366">
            <v>884.35858000000007</v>
          </cell>
          <cell r="F366">
            <v>-392.87980000000061</v>
          </cell>
          <cell r="G366">
            <v>0</v>
          </cell>
        </row>
        <row r="367">
          <cell r="A367" t="str">
            <v>Empresa Polo441980120</v>
          </cell>
          <cell r="B367">
            <v>673.25449999999989</v>
          </cell>
          <cell r="C367">
            <v>1503.1467200000002</v>
          </cell>
          <cell r="D367">
            <v>1850.80215</v>
          </cell>
          <cell r="E367">
            <v>11927.155749999998</v>
          </cell>
          <cell r="F367">
            <v>-940.55919999999787</v>
          </cell>
          <cell r="G367">
            <v>0</v>
          </cell>
        </row>
        <row r="368">
          <cell r="A368" t="str">
            <v>Empresa Polo441980190</v>
          </cell>
          <cell r="B368">
            <v>0</v>
          </cell>
          <cell r="C368">
            <v>100.04474</v>
          </cell>
          <cell r="D368">
            <v>1788.1219599999999</v>
          </cell>
          <cell r="E368">
            <v>940.6453799999997</v>
          </cell>
          <cell r="F368">
            <v>-1096.6870799999997</v>
          </cell>
          <cell r="G368">
            <v>523.60626000000025</v>
          </cell>
        </row>
        <row r="369">
          <cell r="A369" t="str">
            <v>Empresa Polo441990000</v>
          </cell>
          <cell r="B369">
            <v>518.6925</v>
          </cell>
          <cell r="C369">
            <v>23.784279999999967</v>
          </cell>
          <cell r="D369">
            <v>627.18659000000002</v>
          </cell>
          <cell r="E369">
            <v>287.47597999999994</v>
          </cell>
          <cell r="F369">
            <v>54.25881000000004</v>
          </cell>
          <cell r="G369">
            <v>0</v>
          </cell>
        </row>
        <row r="370">
          <cell r="A370" t="str">
            <v>Empresa Polo441990020</v>
          </cell>
          <cell r="B370">
            <v>0</v>
          </cell>
          <cell r="C370">
            <v>12.77562</v>
          </cell>
          <cell r="D370">
            <v>-12.77562</v>
          </cell>
          <cell r="E370">
            <v>0</v>
          </cell>
          <cell r="F370">
            <v>0</v>
          </cell>
          <cell r="G370">
            <v>4615.1081200000044</v>
          </cell>
        </row>
        <row r="371">
          <cell r="A371" t="str">
            <v>Empresa Polo441990030</v>
          </cell>
          <cell r="B371">
            <v>61.336069999999999</v>
          </cell>
          <cell r="C371">
            <v>144.88708999999994</v>
          </cell>
          <cell r="D371">
            <v>168.56212999999997</v>
          </cell>
          <cell r="E371">
            <v>112.75521000000009</v>
          </cell>
          <cell r="F371">
            <v>172.97602999999998</v>
          </cell>
          <cell r="G371">
            <v>-2277.377290000004</v>
          </cell>
        </row>
        <row r="372">
          <cell r="A372" t="str">
            <v>Empresa Polo441990100</v>
          </cell>
          <cell r="B372">
            <v>0</v>
          </cell>
          <cell r="C372">
            <v>0</v>
          </cell>
          <cell r="D372">
            <v>3.3780000000000004E-2</v>
          </cell>
          <cell r="E372">
            <v>0</v>
          </cell>
          <cell r="F372">
            <v>-3.3780000000000004E-2</v>
          </cell>
          <cell r="G372">
            <v>51.284070000000014</v>
          </cell>
        </row>
        <row r="373">
          <cell r="A373" t="str">
            <v>Empresa Polo441990110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521.55859000000032</v>
          </cell>
        </row>
        <row r="374">
          <cell r="A374" t="str">
            <v>Empresa Polo441990120</v>
          </cell>
          <cell r="B374">
            <v>350.59974999999997</v>
          </cell>
          <cell r="C374">
            <v>-350.59974999999997</v>
          </cell>
          <cell r="D374">
            <v>67.614800000000002</v>
          </cell>
          <cell r="E374">
            <v>0</v>
          </cell>
          <cell r="F374">
            <v>40.56926</v>
          </cell>
          <cell r="G374">
            <v>41.543929999999818</v>
          </cell>
        </row>
        <row r="375">
          <cell r="A375" t="str">
            <v>Empresa Polo441991001</v>
          </cell>
          <cell r="B375">
            <v>0</v>
          </cell>
          <cell r="C375">
            <v>731.18429000000003</v>
          </cell>
          <cell r="D375">
            <v>-731.18429000000003</v>
          </cell>
          <cell r="E375">
            <v>50.25423</v>
          </cell>
          <cell r="F375">
            <v>0</v>
          </cell>
          <cell r="G375">
            <v>65.189709999999991</v>
          </cell>
        </row>
        <row r="376">
          <cell r="A376" t="str">
            <v>Empresa Polo441992000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 t="str">
            <v>Empresa Polo441993000</v>
          </cell>
          <cell r="B377">
            <v>0</v>
          </cell>
          <cell r="C377">
            <v>0</v>
          </cell>
          <cell r="D377">
            <v>50.25423</v>
          </cell>
          <cell r="E377">
            <v>-50.25423</v>
          </cell>
          <cell r="F377">
            <v>0</v>
          </cell>
          <cell r="G377">
            <v>31.189210000000003</v>
          </cell>
        </row>
        <row r="378">
          <cell r="A378" t="str">
            <v>Empresa Polo441994000</v>
          </cell>
          <cell r="B378">
            <v>2.12845</v>
          </cell>
          <cell r="C378">
            <v>2.12845</v>
          </cell>
          <cell r="D378">
            <v>2.1284500000000008</v>
          </cell>
          <cell r="E378">
            <v>2.1284499999999991</v>
          </cell>
          <cell r="F378">
            <v>-8.5137999999999998</v>
          </cell>
          <cell r="G378">
            <v>0</v>
          </cell>
        </row>
        <row r="379">
          <cell r="A379" t="str">
            <v>Empresa Polo441999999</v>
          </cell>
          <cell r="B379">
            <v>301.24551999999994</v>
          </cell>
          <cell r="C379">
            <v>151.22984000000002</v>
          </cell>
          <cell r="D379">
            <v>470.02461</v>
          </cell>
          <cell r="E379">
            <v>114.69545000000028</v>
          </cell>
          <cell r="F379">
            <v>-207.78973000000019</v>
          </cell>
          <cell r="G379">
            <v>177.73498000000001</v>
          </cell>
        </row>
        <row r="380">
          <cell r="A380" t="str">
            <v>Empresa Polo442100100</v>
          </cell>
          <cell r="B380">
            <v>0</v>
          </cell>
          <cell r="C380">
            <v>33636.31192</v>
          </cell>
          <cell r="D380">
            <v>-33636.31192</v>
          </cell>
          <cell r="E380">
            <v>4.4999999999999998E-2</v>
          </cell>
          <cell r="F380">
            <v>0</v>
          </cell>
          <cell r="G380">
            <v>21370.278380000007</v>
          </cell>
        </row>
        <row r="381">
          <cell r="A381" t="str">
            <v>Empresa Polo442100110</v>
          </cell>
          <cell r="B381">
            <v>0</v>
          </cell>
          <cell r="C381">
            <v>-19682.96917</v>
          </cell>
          <cell r="D381">
            <v>19682.96917</v>
          </cell>
          <cell r="E381">
            <v>0</v>
          </cell>
          <cell r="F381">
            <v>0</v>
          </cell>
          <cell r="G381">
            <v>8130.5822899999985</v>
          </cell>
        </row>
        <row r="382">
          <cell r="A382" t="str">
            <v>Empresa Polo442100190</v>
          </cell>
          <cell r="B382">
            <v>0</v>
          </cell>
          <cell r="C382">
            <v>0</v>
          </cell>
          <cell r="D382">
            <v>732.30325000000005</v>
          </cell>
          <cell r="E382">
            <v>634.37564999999984</v>
          </cell>
          <cell r="F382">
            <v>21.111020000000053</v>
          </cell>
        </row>
        <row r="383">
          <cell r="A383" t="str">
            <v>Empresa Polo442100200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Empresa Polo442100229</v>
          </cell>
          <cell r="B384">
            <v>747.16669999999999</v>
          </cell>
          <cell r="C384">
            <v>0</v>
          </cell>
          <cell r="D384">
            <v>0</v>
          </cell>
          <cell r="E384">
            <v>-747.16669999999999</v>
          </cell>
          <cell r="F384">
            <v>0</v>
          </cell>
        </row>
        <row r="385">
          <cell r="A385" t="str">
            <v>Empresa Polo442100290</v>
          </cell>
          <cell r="B385">
            <v>3243.88789</v>
          </cell>
          <cell r="C385">
            <v>661.87787000000026</v>
          </cell>
          <cell r="D385">
            <v>20147.208319999998</v>
          </cell>
          <cell r="E385">
            <v>24006.316200000001</v>
          </cell>
          <cell r="F385">
            <v>49869.470480000004</v>
          </cell>
        </row>
        <row r="386">
          <cell r="A386" t="str">
            <v>Empresa Polo442100300</v>
          </cell>
          <cell r="B386">
            <v>-2047.8132399999997</v>
          </cell>
          <cell r="C386">
            <v>-973.32448000000045</v>
          </cell>
          <cell r="D386">
            <v>-4688.1816999999992</v>
          </cell>
          <cell r="E386">
            <v>-20653.028840000003</v>
          </cell>
          <cell r="F386">
            <v>-30048.23286</v>
          </cell>
        </row>
        <row r="387">
          <cell r="A387" t="str">
            <v>Empresa Polo442100310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</row>
        <row r="388">
          <cell r="A388" t="str">
            <v>Empresa Polo442100390</v>
          </cell>
          <cell r="B388">
            <v>30.950599999999998</v>
          </cell>
          <cell r="C388">
            <v>90.919629999999998</v>
          </cell>
          <cell r="D388">
            <v>13.118259999999992</v>
          </cell>
          <cell r="E388">
            <v>8.4065799999999911</v>
          </cell>
          <cell r="F388">
            <v>59.486010000000022</v>
          </cell>
        </row>
        <row r="389">
          <cell r="A389" t="str">
            <v>Empresa Polo442100400</v>
          </cell>
          <cell r="B389">
            <v>51.725120000000004</v>
          </cell>
          <cell r="C389">
            <v>52.865539999999996</v>
          </cell>
          <cell r="D389">
            <v>1182.7114199999999</v>
          </cell>
          <cell r="E389">
            <v>9.2176500000000487</v>
          </cell>
          <cell r="F389">
            <v>73.117669999999862</v>
          </cell>
        </row>
        <row r="390">
          <cell r="A390" t="str">
            <v>Empresa Polo442100410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</row>
        <row r="391">
          <cell r="A391" t="str">
            <v>Empresa Polo442100420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</row>
        <row r="392">
          <cell r="A392" t="str">
            <v>Empresa Polo442100429</v>
          </cell>
          <cell r="B392">
            <v>467.38141000000002</v>
          </cell>
          <cell r="C392">
            <v>230.47886</v>
          </cell>
          <cell r="D392">
            <v>-173.92024000000004</v>
          </cell>
          <cell r="E392">
            <v>2691.9569600000004</v>
          </cell>
          <cell r="F392">
            <v>1098.0296399999997</v>
          </cell>
        </row>
        <row r="393">
          <cell r="A393" t="str">
            <v>Empresa Polo442100430</v>
          </cell>
          <cell r="B393">
            <v>0.12237999999999999</v>
          </cell>
          <cell r="C393">
            <v>578.91553999999996</v>
          </cell>
          <cell r="D393">
            <v>0</v>
          </cell>
          <cell r="E393">
            <v>0</v>
          </cell>
          <cell r="F393">
            <v>-343.97296999999998</v>
          </cell>
        </row>
        <row r="394">
          <cell r="A394" t="str">
            <v>Empresa Polo442100440</v>
          </cell>
          <cell r="B394">
            <v>0</v>
          </cell>
          <cell r="C394">
            <v>0</v>
          </cell>
          <cell r="D394">
            <v>0.53610999999999998</v>
          </cell>
          <cell r="E394">
            <v>0</v>
          </cell>
          <cell r="F394">
            <v>-0.53610999999999998</v>
          </cell>
        </row>
        <row r="395">
          <cell r="A395" t="str">
            <v>Empresa Polo442100450</v>
          </cell>
          <cell r="B395">
            <v>0</v>
          </cell>
          <cell r="C395">
            <v>0.51408000000000009</v>
          </cell>
          <cell r="D395">
            <v>2.88774</v>
          </cell>
          <cell r="E395">
            <v>3.2281499999999999</v>
          </cell>
          <cell r="F395">
            <v>8.45444</v>
          </cell>
        </row>
        <row r="396">
          <cell r="A396" t="str">
            <v>Empresa Polo442200100</v>
          </cell>
          <cell r="B396">
            <v>0</v>
          </cell>
          <cell r="C396">
            <v>0.90603999999999996</v>
          </cell>
          <cell r="D396">
            <v>48.718320000000006</v>
          </cell>
          <cell r="E396">
            <v>0</v>
          </cell>
          <cell r="F396">
            <v>0</v>
          </cell>
        </row>
        <row r="397">
          <cell r="A397" t="str">
            <v>Empresa Polo442200200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</row>
        <row r="398">
          <cell r="A398" t="str">
            <v>Empresa Polo442200900</v>
          </cell>
          <cell r="B398">
            <v>74.87218</v>
          </cell>
          <cell r="C398">
            <v>21.437420000000003</v>
          </cell>
          <cell r="D398">
            <v>59.741280000000003</v>
          </cell>
          <cell r="E398">
            <v>11.291919999999976</v>
          </cell>
          <cell r="F398">
            <v>-18.449849999999998</v>
          </cell>
        </row>
        <row r="399">
          <cell r="A399" t="str">
            <v>Empresa Polo451000000</v>
          </cell>
          <cell r="B399">
            <v>9213.6331449999998</v>
          </cell>
          <cell r="C399">
            <v>15413.932795000001</v>
          </cell>
          <cell r="D399">
            <v>-10068.757369500001</v>
          </cell>
          <cell r="E399">
            <v>9372.2536994999991</v>
          </cell>
          <cell r="F399">
            <v>4342.0535899999995</v>
          </cell>
        </row>
        <row r="400">
          <cell r="A400" t="str">
            <v>Empresa Polo451000100</v>
          </cell>
          <cell r="B400">
            <v>3977.9026813</v>
          </cell>
          <cell r="C400">
            <v>5097.8833680999996</v>
          </cell>
          <cell r="D400">
            <v>-4587.189507</v>
          </cell>
          <cell r="E400">
            <v>4105.3801176000006</v>
          </cell>
          <cell r="F400">
            <v>2264.383850000002</v>
          </cell>
        </row>
        <row r="401">
          <cell r="A401" t="str">
            <v>Empresa Polo4XXX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 Felipe Rodrigues dos Reis" refreshedDate="44911.658765046297" backgroundQuery="1" createdVersion="8" refreshedVersion="8" minRefreshableVersion="3" recordCount="0" supportSubquery="1" supportAdvancedDrill="1" xr:uid="{6D2FBF48-7D5C-4BDB-BFCD-67559B046EC7}">
  <cacheSource type="external" connectionId="1"/>
  <cacheFields count="3">
    <cacheField name="[Measures].[Contagem de Ramal]" caption="Contagem de Ramal" numFmtId="0" hierarchy="33" level="32767"/>
    <cacheField name="[Tabela1].[Ramal].[Ramal]" caption="Ramal" numFmtId="0" hierarchy="9" level="1">
      <sharedItems count="6">
        <s v="B. Roxo"/>
        <s v="Deodoro"/>
        <s v="Gramacho"/>
        <s v="Japeri"/>
        <s v="Santa Cruz"/>
        <s v="Saracuruna"/>
      </sharedItems>
    </cacheField>
    <cacheField name="[Tabela1].[Nivel].[Nivel]" caption="Nivel" numFmtId="0" hierarchy="25" level="1">
      <sharedItems count="2">
        <s v="+500"/>
        <s v="-500"/>
      </sharedItems>
    </cacheField>
  </cacheFields>
  <cacheHierarchies count="34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Dia de semana]" caption="Dia de semana" attribute="1" time="1" defaultMemberUniqueName="[Tabela1].[Dia de semana].[All]" allUniqueName="[Tabela1].[Dia de semana].[All]" dimensionUniqueName="[Tabela1]" displayFolder="" count="0" memberValueDatatype="7" unbalanced="0"/>
    <cacheHierarchy uniqueName="[Tabela1].[Hora]" caption="Hora" attribute="1" time="1" defaultMemberUniqueName="[Tabela1].[Hora].[All]" allUniqueName="[Tabela1].[Hora].[All]" dimensionUniqueName="[Tabela1]" displayFolder="" count="0" memberValueDatatype="7" unbalanced="0"/>
    <cacheHierarchy uniqueName="[Tabela1].[Severidade]" caption="Severidade" attribute="1" defaultMemberUniqueName="[Tabela1].[Severidade].[All]" allUniqueName="[Tabela1].[Severidade].[All]" dimensionUniqueName="[Tabela1]" displayFolder="" count="0" memberValueDatatype="20" unbalanced="0"/>
    <cacheHierarchy uniqueName="[Tabela1].[Velocidade]" caption="Velocidade" attribute="1" defaultMemberUniqueName="[Tabela1].[Velocidade].[All]" allUniqueName="[Tabela1].[Velocidade].[All]" dimensionUniqueName="[Tabela1]" displayFolder="" count="0" memberValueDatatype="130" unbalanced="0"/>
    <cacheHierarchy uniqueName="[Tabela1].[Temperatura]" caption="Temperatura" attribute="1" defaultMemberUniqueName="[Tabela1].[Temperatura].[All]" allUniqueName="[Tabela1].[Temperatura].[All]" dimensionUniqueName="[Tabela1]" displayFolder="" count="0" memberValueDatatype="20" unbalanced="0"/>
    <cacheHierarchy uniqueName="[Tabela1].[TUE]" caption="TUE" attribute="1" defaultMemberUniqueName="[Tabela1].[TUE].[All]" allUniqueName="[Tabela1].[TUE].[All]" dimensionUniqueName="[Tabela1]" displayFolder="" count="0" memberValueDatatype="130" unbalanced="0"/>
    <cacheHierarchy uniqueName="[Tabela1].[Latitude]" caption="Latitude" attribute="1" defaultMemberUniqueName="[Tabela1].[Latitude].[All]" allUniqueName="[Tabela1].[Latitude].[All]" dimensionUniqueName="[Tabela1]" displayFolder="" count="0" memberValueDatatype="130" unbalanced="0"/>
    <cacheHierarchy uniqueName="[Tabela1].[Longitude]" caption="Longitude" attribute="1" defaultMemberUniqueName="[Tabela1].[Longitude].[All]" allUniqueName="[Tabela1].[Longitude].[All]" dimensionUniqueName="[Tabela1]" displayFolder="" count="0" memberValueDatatype="130" unbalanced="0"/>
    <cacheHierarchy uniqueName="[Tabela1].[Ramal]" caption="Ramal" attribute="1" defaultMemberUniqueName="[Tabela1].[Ramal].[All]" allUniqueName="[Tabela1].[Ramal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Local]" caption="Local" attribute="1" defaultMemberUniqueName="[Tabela1].[Local].[All]" allUniqueName="[Tabela1].[Local].[All]" dimensionUniqueName="[Tabela1]" displayFolder="" count="0" memberValueDatatype="130" unbalanced="0"/>
    <cacheHierarchy uniqueName="[Tabela1].[Linha]" caption="Linha" attribute="1" defaultMemberUniqueName="[Tabela1].[Linha].[All]" allUniqueName="[Tabela1].[Linha].[All]" dimensionUniqueName="[Tabela1]" displayFolder="" count="0" memberValueDatatype="130" unbalanced="0"/>
    <cacheHierarchy uniqueName="[Tabela1].[Estruturas]" caption="Estruturas" attribute="1" defaultMemberUniqueName="[Tabela1].[Estruturas].[All]" allUniqueName="[Tabela1].[Estruturas].[All]" dimensionUniqueName="[Tabela1]" displayFolder="" count="0" memberValueDatatype="130" unbalanced="0"/>
    <cacheHierarchy uniqueName="[Tabela1].[Repetibilidade]" caption="Repetibilidade" attribute="1" defaultMemberUniqueName="[Tabela1].[Repetibilidade].[All]" allUniqueName="[Tabela1].[Repetibilidade].[All]" dimensionUniqueName="[Tabela1]" displayFolder="" count="0" memberValueDatatype="130" unbalanced="0"/>
    <cacheHierarchy uniqueName="[Tabela1].[Km]" caption="Km" attribute="1" defaultMemberUniqueName="[Tabela1].[Km].[All]" allUniqueName="[Tabela1].[Km].[All]" dimensionUniqueName="[Tabela1]" displayFolder="" count="0" memberValueDatatype="130" unbalanced="0"/>
    <cacheHierarchy uniqueName="[Tabela1].[Ativo]" caption="Ativo" attribute="1" defaultMemberUniqueName="[Tabela1].[Ativo].[All]" allUniqueName="[Tabela1].[Ativo].[All]" dimensionUniqueName="[Tabela1]" displayFolder="" count="0" memberValueDatatype="130" unbalanced="0"/>
    <cacheHierarchy uniqueName="[Tabela1].[URL Plataforma Web PCDS]" caption="URL Plataforma Web PCDS" attribute="1" defaultMemberUniqueName="[Tabela1].[URL Plataforma Web PCDS].[All]" allUniqueName="[Tabela1].[URL Plataforma Web PCDS].[All]" dimensionUniqueName="[Tabela1]" displayFolder="" count="0" memberValueDatatype="130" unbalanced="0"/>
    <cacheHierarchy uniqueName="[Tabela1].[Encaminhado ao PCM ?]" caption="Encaminhado ao PCM ?" attribute="1" defaultMemberUniqueName="[Tabela1].[Encaminhado ao PCM ?].[All]" allUniqueName="[Tabela1].[Encaminhado ao PCM ?].[All]" dimensionUniqueName="[Tabela1]" displayFolder="" count="0" memberValueDatatype="130" unbalanced="0"/>
    <cacheHierarchy uniqueName="[Tabela1].[OS]" caption="OS" attribute="1" defaultMemberUniqueName="[Tabela1].[OS].[All]" allUniqueName="[Tabela1].[OS].[All]" dimensionUniqueName="[Tabela1]" displayFolder="" count="0" memberValueDatatype="130" unbalanced="0"/>
    <cacheHierarchy uniqueName="[Tabela1].[Melhoria feita?]" caption="Melhoria feita?" attribute="1" defaultMemberUniqueName="[Tabela1].[Melhoria feita?].[All]" allUniqueName="[Tabela1].[Melhoria feita?].[All]" dimensionUniqueName="[Tabela1]" displayFolder="" count="0" memberValueDatatype="130" unbalanced="0"/>
    <cacheHierarchy uniqueName="[Tabela1].[Data da melhoria]" caption="Data da melhoria" attribute="1" time="1" defaultMemberUniqueName="[Tabela1].[Data da melhoria].[All]" allUniqueName="[Tabela1].[Data da melhoria].[All]" dimensionUniqueName="[Tabela1]" displayFolder="" count="0" memberValueDatatype="7" unbalanced="0"/>
    <cacheHierarchy uniqueName="[Tabela1].[mês melhoria]" caption="mês melhoria" attribute="1" defaultMemberUniqueName="[Tabela1].[mês melhoria].[All]" allUniqueName="[Tabela1].[mês melhoria].[All]" dimensionUniqueName="[Tabela1]" displayFolder="" count="0" memberValueDatatype="130" unbalanced="0"/>
    <cacheHierarchy uniqueName="[Tabela1].[Semana]" caption="Semana" attribute="1" defaultMemberUniqueName="[Tabela1].[Semana].[All]" allUniqueName="[Tabela1].[Semana].[All]" dimensionUniqueName="[Tabela1]" displayFolder="" count="0" memberValueDatatype="130" unbalanced="0"/>
    <cacheHierarchy uniqueName="[Tabela1].[Falha]" caption="Falha" attribute="1" defaultMemberUniqueName="[Tabela1].[Falha].[All]" allUniqueName="[Tabela1].[Falha].[All]" dimensionUniqueName="[Tabela1]" displayFolder="" count="0" memberValueDatatype="130" unbalanced="0"/>
    <cacheHierarchy uniqueName="[Tabela1].[Criticidade]" caption="Criticidade" attribute="1" defaultMemberUniqueName="[Tabela1].[Criticidade].[All]" allUniqueName="[Tabela1].[Criticidade].[All]" dimensionUniqueName="[Tabela1]" displayFolder="" count="0" memberValueDatatype="130" unbalanced="0"/>
    <cacheHierarchy uniqueName="[Tabela1].[Nivel]" caption="Nivel" attribute="1" defaultMemberUniqueName="[Tabela1].[Nivel].[All]" allUniqueName="[Tabela1].[Nivel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Alarme reconhecido]" caption="Alarme reconhecido" attribute="1" defaultMemberUniqueName="[Tabela1].[Alarme reconhecido].[All]" allUniqueName="[Tabela1].[Alarme reconhecido].[All]" dimensionUniqueName="[Tabela1]" displayFolder="" count="0" memberValueDatatype="130" unbalanced="0"/>
    <cacheHierarchy uniqueName="[Tabela1].[Criticidade Real]" caption="Criticidade Real" attribute="1" defaultMemberUniqueName="[Tabela1].[Criticidade Real].[All]" allUniqueName="[Tabela1].[Criticidade Real].[All]" dimensionUniqueName="[Tabela1]" displayFolder="" count="0" memberValueDatatype="130" unbalanced="0"/>
    <cacheHierarchy uniqueName="[Tabela1].[mês]" caption="mês" attribute="1" defaultMemberUniqueName="[Tabela1].[mês].[All]" allUniqueName="[Tabela1].[mês].[All]" dimensionUniqueName="[Tabela1]" displayFolder="" count="0" memberValueDatatype="20" unbalanced="0"/>
    <cacheHierarchy uniqueName="[Tabela1].[Horainteiro]" caption="Horainteiro" attribute="1" defaultMemberUniqueName="[Tabela1].[Horainteiro].[All]" allUniqueName="[Tabela1].[Horainteiro].[All]" dimensionUniqueName="[Tabela1]" displayFolder="" count="0" memberValueDatatype="20" unbalanced="0"/>
    <cacheHierarchy uniqueName="[Tabela1].[Turno]" caption="Turno" attribute="1" defaultMemberUniqueName="[Tabela1].[Turno].[All]" allUniqueName="[Tabela1].[Turno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Ramal]" caption="Contagem de Ramal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 Felipe Rodrigues dos Reis" refreshedDate="44911.658770717593" createdVersion="8" refreshedVersion="8" minRefreshableVersion="3" recordCount="176" xr:uid="{2B1B5F3A-F96B-4831-A2A9-377D07CD3D06}">
  <cacheSource type="worksheet">
    <worksheetSource name="Tabela1"/>
  </cacheSource>
  <cacheFields count="32">
    <cacheField name="Data" numFmtId="14">
      <sharedItems containsSemiMixedTypes="0" containsNonDate="0" containsDate="1" containsString="0" minDate="2022-06-05T00:00:00" maxDate="2022-12-15T00:00:00" count="86">
        <d v="2022-06-05T00:00:00"/>
        <d v="2022-06-11T00:00:00"/>
        <d v="2022-06-12T00:00:00"/>
        <d v="2022-06-13T00:00:00"/>
        <d v="2022-06-15T00:00:00"/>
        <d v="2022-06-16T00:00:00"/>
        <d v="2022-06-17T00:00:00"/>
        <d v="2022-06-18T00:00:00"/>
        <d v="2022-06-20T00:00:00"/>
        <d v="2022-06-21T00:00:00"/>
        <d v="2022-06-23T00:00:00"/>
        <d v="2022-06-27T00:00:00"/>
        <d v="2022-06-28T00:00:00"/>
        <d v="2022-06-30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8T00:00:00"/>
        <d v="2022-07-19T00:00:00"/>
        <d v="2022-07-20T00:00:00"/>
        <d v="2022-07-23T00:00:00"/>
        <d v="2022-07-26T00:00:00"/>
        <d v="2022-07-27T00:00:00"/>
        <d v="2022-08-01T00:00:00"/>
        <d v="2022-08-02T00:00:00"/>
        <d v="2022-08-03T00:00:00"/>
        <d v="2022-08-05T00:00:00"/>
        <d v="2022-08-06T00:00:00"/>
        <d v="2022-08-08T00:00:00"/>
        <d v="2022-08-15T00:00:00"/>
        <d v="2022-08-20T00:00:00"/>
        <d v="2022-08-22T00:00:00"/>
        <d v="2022-08-23T00:00:00"/>
        <d v="2022-08-25T00:00:00"/>
        <d v="2022-08-29T00:00:00"/>
        <d v="2022-08-31T00:00:00"/>
        <d v="2022-09-01T00:00:00"/>
        <d v="2022-09-03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7T00:00:00"/>
        <d v="2022-09-23T00:00:00"/>
        <d v="2022-09-29T00:00:00"/>
        <d v="2022-10-03T00:00:00"/>
        <d v="2022-10-04T00:00:00"/>
        <d v="2022-10-05T00:00:00"/>
        <d v="2022-10-08T00:00:00"/>
        <d v="2022-10-13T00:00:00"/>
        <d v="2022-10-17T00:00:00"/>
        <d v="2022-10-19T00:00:00"/>
        <d v="2022-10-24T00:00:00"/>
        <d v="2022-10-25T00:00:00"/>
        <d v="2022-10-27T00:00:00"/>
        <d v="2022-10-28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22T00:00:00"/>
        <d v="2022-11-26T00:00:00"/>
        <d v="2022-11-30T00:00:00"/>
        <d v="2022-12-02T00:00:00"/>
        <d v="2022-12-03T00:00:00"/>
        <d v="2022-12-05T00:00:00"/>
        <d v="2022-12-12T00:00:00"/>
        <d v="2022-12-13T00:00:00"/>
        <d v="2022-12-14T00:00:00"/>
      </sharedItems>
      <fieldGroup par="31" base="0">
        <rangePr groupBy="days" startDate="2022-06-05T00:00:00" endDate="2022-12-15T00:00:00"/>
        <groupItems count="368">
          <s v="&lt;05/06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5/12/2022"/>
        </groupItems>
      </fieldGroup>
    </cacheField>
    <cacheField name="Dia de semana " numFmtId="169">
      <sharedItems containsSemiMixedTypes="0" containsNonDate="0" containsDate="1" containsString="0" minDate="1899-12-31T00:00:00" maxDate="1900-01-07T00:00:00" count="7">
        <d v="1899-12-31T00:00:00"/>
        <d v="1900-01-06T00:00:00"/>
        <d v="1900-01-01T00:00:00"/>
        <d v="1900-01-03T00:00:00"/>
        <d v="1900-01-04T00:00:00"/>
        <d v="1900-01-05T00:00:00"/>
        <d v="1900-01-02T00:00:00"/>
      </sharedItems>
    </cacheField>
    <cacheField name="Hora" numFmtId="165">
      <sharedItems containsSemiMixedTypes="0" containsNonDate="0" containsDate="1" containsString="0" minDate="1899-12-30T05:41:00" maxDate="1899-12-30T23:41:00" count="158">
        <d v="1899-12-30T11:55:00"/>
        <d v="1899-12-30T18:42:00"/>
        <d v="1899-12-30T22:00:00"/>
        <d v="1899-12-30T13:16:00"/>
        <d v="1899-12-30T16:24:00"/>
        <d v="1899-12-30T14:51:00"/>
        <d v="1899-12-30T19:22:00"/>
        <d v="1899-12-30T13:33:00"/>
        <d v="1899-12-30T15:51:00"/>
        <d v="1899-12-30T10:57:00"/>
        <d v="1899-12-30T11:32:00"/>
        <d v="1899-12-30T15:34:00"/>
        <d v="1899-12-30T11:56:00"/>
        <d v="1899-12-30T07:34:00"/>
        <d v="1899-12-30T07:20:00"/>
        <d v="1899-12-30T18:35:00"/>
        <d v="1899-12-30T19:45:00"/>
        <d v="1899-12-30T13:01:00"/>
        <d v="1899-12-30T19:57:00"/>
        <d v="1899-12-30T07:53:00"/>
        <d v="1899-12-30T19:25:00"/>
        <d v="1899-12-30T21:26:00"/>
        <d v="1899-12-30T18:48:00"/>
        <d v="1899-12-30T05:59:00"/>
        <d v="1899-12-30T06:18:00"/>
        <d v="1899-12-30T06:56:00"/>
        <d v="1899-12-30T05:41:00"/>
        <d v="1899-12-30T20:50:00"/>
        <d v="1899-12-30T07:15:00"/>
        <d v="1899-12-30T15:35:00"/>
        <d v="1899-12-30T11:01:00"/>
        <d v="1899-12-30T16:09:00"/>
        <d v="1899-12-30T14:37:00"/>
        <d v="1899-12-30T23:41:00"/>
        <d v="1899-12-30T11:10:00"/>
        <d v="1899-12-30T19:26:00"/>
        <d v="1899-12-30T07:07:00"/>
        <d v="1899-12-30T20:20:00"/>
        <d v="1899-12-30T10:21:00"/>
        <d v="1899-12-30T14:57:00"/>
        <d v="1899-12-30T14:09:00"/>
        <d v="1899-12-30T19:38:00"/>
        <d v="1899-12-30T13:40:00"/>
        <d v="1899-12-30T18:16:00"/>
        <d v="1899-12-30T21:16:00"/>
        <d v="1899-12-30T06:20:00"/>
        <d v="1899-12-30T12:28:00"/>
        <d v="1899-12-30T19:01:00"/>
        <d v="1899-12-30T15:43:00"/>
        <d v="1899-12-30T20:02:00"/>
        <d v="1899-12-30T15:31:00"/>
        <d v="1899-12-30T11:24:00"/>
        <d v="1899-12-30T18:41:00"/>
        <d v="1899-12-30T06:25:00"/>
        <d v="1899-12-30T18:31:00"/>
        <d v="1899-12-30T16:30:00"/>
        <d v="1899-12-30T16:49:00"/>
        <d v="1899-12-30T07:39:00"/>
        <d v="1899-12-30T20:13:00"/>
        <d v="1899-12-30T21:13:00"/>
        <d v="1899-12-30T08:35:00"/>
        <d v="1899-12-30T17:19:00"/>
        <d v="1899-12-30T10:51:00"/>
        <d v="1899-12-30T12:57:00"/>
        <d v="1899-12-30T07:56:00"/>
        <d v="1899-12-30T12:21:00"/>
        <d v="1899-12-30T12:19:00"/>
        <d v="1899-12-30T15:01:00"/>
        <d v="1899-12-30T16:45:00"/>
        <d v="1899-12-30T18:13:00"/>
        <d v="1899-12-30T19:35:00"/>
        <d v="1899-12-30T14:18:00"/>
        <d v="1899-12-30T16:41:00"/>
        <d v="1899-12-30T14:42:00"/>
        <d v="1899-12-30T15:13:00"/>
        <d v="1899-12-30T17:00:00"/>
        <d v="1899-12-30T17:21:00"/>
        <d v="1899-12-30T17:26:00"/>
        <d v="1899-12-30T07:09:00"/>
        <d v="1899-12-30T14:10:00"/>
        <d v="1899-12-30T08:07:00"/>
        <d v="1899-12-30T10:15:00"/>
        <d v="1899-12-30T18:01:00"/>
        <d v="1899-12-30T14:02:00"/>
        <d v="1899-12-30T07:48:00"/>
        <d v="1899-12-30T08:30:00"/>
        <d v="1899-12-30T08:40:00"/>
        <d v="1899-12-30T08:29:00"/>
        <d v="1899-12-30T10:49:00"/>
        <d v="1899-12-30T08:03:00"/>
        <d v="1899-12-30T09:21:00"/>
        <d v="1899-12-30T09:30:00"/>
        <d v="1899-12-30T07:45:00"/>
        <d v="1899-12-30T07:47:00"/>
        <d v="1899-12-30T08:51:00"/>
        <d v="1899-12-30T10:47:00"/>
        <d v="1899-12-30T15:07:00"/>
        <d v="1899-12-30T06:51:00"/>
        <d v="1899-12-30T11:37:00"/>
        <d v="1899-12-30T11:28:00"/>
        <d v="1899-12-30T07:36:00"/>
        <d v="1899-12-30T06:06:00"/>
        <d v="1899-12-30T16:33:00"/>
        <d v="1899-12-30T16:48:00"/>
        <d v="1899-12-30T06:40:00"/>
        <d v="1899-12-30T07:44:00"/>
        <d v="1899-12-30T07:28:00"/>
        <d v="1899-12-30T16:13:00"/>
        <d v="1899-12-30T10:03:00"/>
        <d v="1899-12-30T09:03:00"/>
        <d v="1899-12-30T14:06:00"/>
        <d v="1899-12-30T07:06:00"/>
        <d v="1899-12-30T10:31:00"/>
        <d v="1899-12-30T07:03:00"/>
        <d v="1899-12-30T12:27:00"/>
        <d v="1899-12-30T16:12:00"/>
        <d v="1899-12-30T13:55:00"/>
        <d v="1899-12-30T10:41:00"/>
        <d v="1899-12-30T17:01:00"/>
        <d v="1899-12-30T13:04:00"/>
        <d v="1899-12-30T09:24:00"/>
        <d v="1899-12-30T07:58:00"/>
        <d v="1899-12-30T12:03:00"/>
        <d v="1899-12-30T11:46:00"/>
        <d v="1899-12-30T08:25:00"/>
        <d v="1899-12-30T12:59:00"/>
        <d v="1899-12-30T17:58:00"/>
        <d v="1899-12-30T18:20:00"/>
        <d v="1899-12-30T20:51:49"/>
        <d v="1899-12-30T14:11:00"/>
        <d v="1899-12-30T17:51:00"/>
        <d v="1899-12-30T12:07:00"/>
        <d v="1899-12-30T15:19:00"/>
        <d v="1899-12-30T12:38:00"/>
        <d v="1899-12-30T13:00:00"/>
        <d v="1899-12-30T09:02:00"/>
        <d v="1899-12-30T06:22:00"/>
        <d v="1899-12-30T14:41:00"/>
        <d v="1899-12-30T08:06:00"/>
        <d v="1899-12-30T08:11:00"/>
        <d v="1899-12-30T18:53:00"/>
        <d v="1899-12-30T09:47:00"/>
        <d v="1899-12-30T14:21:00"/>
        <d v="1899-12-30T09:45:00"/>
        <d v="1899-12-30T06:02:00"/>
        <d v="1899-12-30T07:01:00"/>
        <d v="1899-12-30T07:04:00"/>
        <d v="1899-12-30T09:48:00"/>
        <d v="1899-12-30T12:00:00"/>
        <d v="1899-12-30T13:35:00"/>
        <d v="1899-12-30T19:31:00"/>
        <d v="1899-12-30T19:48:00"/>
        <d v="1899-12-30T20:46:00"/>
        <d v="1899-12-30T20:56:00"/>
        <d v="1899-12-30T15:52:00"/>
        <d v="1899-12-30T06:35:00"/>
        <d v="1899-12-30T11:49:18"/>
        <d v="1899-12-30T09:50:00"/>
      </sharedItems>
      <fieldGroup base="2">
        <rangePr groupBy="hours" startDate="1899-12-30T05:41:00" endDate="1899-12-30T23:41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Severidade" numFmtId="0">
      <sharedItems containsSemiMixedTypes="0" containsString="0" containsNumber="1" containsInteger="1" minValue="50" maxValue="1750"/>
    </cacheField>
    <cacheField name="Velocidade" numFmtId="164">
      <sharedItems containsMixedTypes="1" containsNumber="1" containsInteger="1" minValue="15" maxValue="87"/>
    </cacheField>
    <cacheField name="Temperatura" numFmtId="170">
      <sharedItems containsString="0" containsBlank="1" containsNumber="1" containsInteger="1" minValue="12" maxValue="36"/>
    </cacheField>
    <cacheField name="TUE" numFmtId="0">
      <sharedItems/>
    </cacheField>
    <cacheField name="Latitude" numFmtId="0">
      <sharedItems containsMixedTypes="1" containsNumber="1" containsInteger="1" minValue="-22888039" maxValue="-22888039"/>
    </cacheField>
    <cacheField name="Longitude" numFmtId="49">
      <sharedItems/>
    </cacheField>
    <cacheField name="Ramal" numFmtId="49">
      <sharedItems containsBlank="1" count="7">
        <s v="Japeri"/>
        <s v="Santa Cruz"/>
        <s v="Deodoro"/>
        <s v="Saracuruna"/>
        <s v="Gramacho"/>
        <s v="B. Roxo"/>
        <m u="1"/>
      </sharedItems>
    </cacheField>
    <cacheField name="Local" numFmtId="0">
      <sharedItems containsBlank="1"/>
    </cacheField>
    <cacheField name="Linha" numFmtId="0">
      <sharedItems containsMixedTypes="1" containsNumber="1" containsInteger="1" minValue="1" maxValue="7" count="13">
        <n v="2"/>
        <n v="1"/>
        <n v="3"/>
        <n v="7"/>
        <s v="Singela "/>
        <s v="3"/>
        <n v="5"/>
        <n v="4"/>
        <s v="A"/>
        <s v="Não identificado"/>
        <s v="1"/>
        <s v="2"/>
        <s v="4"/>
      </sharedItems>
    </cacheField>
    <cacheField name="Estruturas" numFmtId="0">
      <sharedItems/>
    </cacheField>
    <cacheField name="Repetibilidade" numFmtId="0">
      <sharedItems containsBlank="1" containsMixedTypes="1" containsNumber="1" containsInteger="1" minValue="1" maxValue="6"/>
    </cacheField>
    <cacheField name="Km" numFmtId="0">
      <sharedItems containsMixedTypes="1" containsNumber="1" containsInteger="1" minValue="2" maxValue="60" count="41">
        <n v="57"/>
        <n v="43"/>
        <n v="13"/>
        <n v="30"/>
        <n v="34"/>
        <n v="38"/>
        <n v="31"/>
        <n v="6"/>
        <n v="29"/>
        <n v="4"/>
        <n v="59"/>
        <n v="45"/>
        <s v="Não identificado"/>
        <n v="11"/>
        <n v="23"/>
        <n v="10"/>
        <n v="18"/>
        <n v="36"/>
        <n v="53"/>
        <n v="40"/>
        <n v="32"/>
        <n v="42"/>
        <n v="48"/>
        <n v="50"/>
        <n v="60"/>
        <n v="41"/>
        <n v="9"/>
        <n v="2"/>
        <n v="14"/>
        <n v="7"/>
        <n v="33"/>
        <n v="19"/>
        <n v="26"/>
        <n v="55"/>
        <n v="24"/>
        <n v="27"/>
        <n v="46"/>
        <n v="20"/>
        <n v="5"/>
        <n v="21"/>
        <n v="12"/>
      </sharedItems>
    </cacheField>
    <cacheField name="Ativo" numFmtId="0">
      <sharedItems containsBlank="1" count="38">
        <s v="Não identificado"/>
        <s v="RA.DD.PIE.CAT3-13/02-14/02"/>
        <s v="RA.SC.GSA.CATC-30/02-31/02"/>
        <s v="RA.SC.BGU.CATC-31/02-32/02"/>
        <s v="RA.SC.BGU.CAT1-32/01-33/01"/>
        <s v="RA.SR.TGM.CAT1-05/01-06/01"/>
        <s v="RA.DD.MGA.CAT3-04/02-05/02"/>
        <s v="RA.SC.AVS.CAT1-38/01-39/01"/>
        <s v="RA.JP.EPA.CAT1-59/01-60/01"/>
        <s v="RA.JP.ATN.CAT1-45/01-46/01"/>
        <s v="RA.DD.EDO.CAT3-11/02-12/02"/>
        <s v="RA.JP.DDO.CAT2-23/02-24/02"/>
        <s v="RA.SC.IBA.CAT2-45/02-46/02"/>
        <s v="RA.SR.CEO.CAT1-29/01-30/01"/>
        <s v="RA.SR.VGL.CAT2-18/01-19/04"/>
        <s v="RA.DD.EDO.CAT5-11/02-12/02"/>
        <s v="RA.SC.TNS.CAT1-53/01-54/01"/>
        <s v="RA.JP.CSS.CAT1-40/01-41/01"/>
        <s v="RA.SC.BME.CATA-43/01-44/01"/>
        <s v="RA.SC.PCA.CAT2-48/02-49/02"/>
        <s v="RA.SC.TNS.CAT1-50/01-51/01"/>
        <s v="RA.JP.NIU.CAT2-36/02-37/04"/>
        <s v="RA.DD.MER.CAT2-09/01-10/01"/>
        <s v="RA.DD.OCZ.CAT4-18/02-19/04"/>
        <s v="RA.JP.JRI.CAT1-60/01-61/03"/>
        <s v="RA.DD.PDB.CAT4-02/02-03/02"/>
        <s v="RA.DD.QTO.CAT4-14/02-15/02"/>
        <s v="RA.DD.SPO.CAT4-07/02-08/04"/>
        <s v="RA.JP.MQA.CATB-31/02-32/02"/>
        <s v="RA.JP.NIU.CAT1-36/01-37/01"/>
        <s v="RA.JP.PJO.CAT1-33/01-34/01"/>
        <s v="RA.DD.BRO.CAT4-19/04-20/02"/>
        <s v="RA.SC.SCA.CAT2-34/02-35/04"/>
        <s v="RA.SC.SCA.CAT1-33/01-34/01"/>
        <s v="RA.SR.GMO.CAT1-24/01-25/01"/>
        <s v="RA.BX.MGA.CAT5-05/02-06/02"/>
        <m/>
        <s v=" Não identificado" u="1"/>
      </sharedItems>
    </cacheField>
    <cacheField name="URL Plataforma Web PCDS" numFmtId="0">
      <sharedItems/>
    </cacheField>
    <cacheField name="Encaminhado ao PCM ?" numFmtId="0">
      <sharedItems/>
    </cacheField>
    <cacheField name="OS" numFmtId="0">
      <sharedItems containsMixedTypes="1" containsNumber="1" containsInteger="1" minValue="25068" maxValue="25069" count="41">
        <s v="N/A"/>
        <s v="Emergencial"/>
        <s v="OS-GSE-21620"/>
        <s v="OS-GSE-21623"/>
        <s v="OS-GSE-21622"/>
        <s v="OS-GSE-21173"/>
        <s v="OS-GSE-23018"/>
        <s v="OS-GSE-21626"/>
        <s v="OS-GSE-21627"/>
        <s v="OS-GSE-21455"/>
        <s v="OS-GSE-21629"/>
        <s v="OS-GSE-21670"/>
        <s v="OS-GSE-21630"/>
        <s v="OS-GSE-21631"/>
        <s v="OS-GSE-21669"/>
        <s v="OS-GSE-23011"/>
        <s v="OS-GSE-21847"/>
        <s v="OS-GSE-21850"/>
        <s v="OS-GSE-21846"/>
        <s v="OS-GSE-21849"/>
        <s v="OS-GSE-21897"/>
        <s v="OS-GSE-21888"/>
        <s v="OS-GSE-23005"/>
        <s v="OS-GSE-22994"/>
        <s v="OS-GSE-22993"/>
        <s v="OS-GSE-22987"/>
        <s v="OS-GSE-22988"/>
        <s v="OS-GSE-23015"/>
        <s v="OS-GSE-22991"/>
        <s v="OS-GSE-22992"/>
        <s v="OS-GSE-23017"/>
        <s v="OS-GSE-22997"/>
        <s v="OS-GSE-25415"/>
        <s v="OS-GSE-25069"/>
        <s v="OS-GSE-24004"/>
        <s v="OS-GSE-25802"/>
        <n v="25068"/>
        <s v="OS-GSE-12962"/>
        <s v="OS-GSE-25414"/>
        <s v="Não"/>
        <n v="25069" u="1"/>
      </sharedItems>
    </cacheField>
    <cacheField name="Melhoria feita?" numFmtId="0">
      <sharedItems containsBlank="1" count="4">
        <s v="Não"/>
        <s v="Sim"/>
        <m u="1"/>
        <s v="Parcial" u="1"/>
      </sharedItems>
    </cacheField>
    <cacheField name="Data da melhoria" numFmtId="14">
      <sharedItems containsNonDate="0" containsDate="1" containsString="0" containsBlank="1" minDate="2022-06-21T00:00:00" maxDate="2022-10-18T00:00:00"/>
    </cacheField>
    <cacheField name="mês melhoria" numFmtId="0">
      <sharedItems/>
    </cacheField>
    <cacheField name="Semana" numFmtId="0">
      <sharedItems containsMixedTypes="1" containsNumber="1" containsInteger="1" minValue="0" maxValue="43"/>
    </cacheField>
    <cacheField name="Falha" numFmtId="0">
      <sharedItems containsBlank="1" count="11">
        <m/>
        <s v="Emenda"/>
        <s v="Calo no fio de contato."/>
        <s v="Nivelamento dos fios de contato"/>
        <s v="Travessão desnivelado"/>
        <s v="l" u="1"/>
        <s v="N/A" u="1"/>
        <s v="Nada encontrado." u="1"/>
        <s v="Nivelamento dos fios de contato + retirada de calo no fio de contato A e B." u="1"/>
        <s v="Calo no fio de contato" u="1"/>
        <s v="Travessão disnivelado" u="1"/>
      </sharedItems>
    </cacheField>
    <cacheField name="Criticidade" numFmtId="0">
      <sharedItems/>
    </cacheField>
    <cacheField name="Nivel" numFmtId="0">
      <sharedItems count="2">
        <s v="-500"/>
        <s v="+500"/>
      </sharedItems>
    </cacheField>
    <cacheField name="Alarme reconhecido" numFmtId="0">
      <sharedItems/>
    </cacheField>
    <cacheField name="Criticidade Real" numFmtId="0">
      <sharedItems containsBlank="1"/>
    </cacheField>
    <cacheField name="mês" numFmtId="0">
      <sharedItems containsSemiMixedTypes="0" containsString="0" containsNumber="1" containsInteger="1" minValue="6" maxValue="12"/>
    </cacheField>
    <cacheField name="Horainteiro" numFmtId="0">
      <sharedItems containsSemiMixedTypes="0" containsString="0" containsNumber="1" containsInteger="1" minValue="5" maxValue="23"/>
    </cacheField>
    <cacheField name="Turno" numFmtId="0">
      <sharedItems/>
    </cacheField>
    <cacheField name="Meses" numFmtId="0" databaseField="0">
      <fieldGroup base="0">
        <rangePr groupBy="months" startDate="2022-06-05T00:00:00" endDate="2022-12-15T00:00:00"/>
        <groupItems count="14">
          <s v="&lt;05/06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12/2022"/>
        </groupItems>
      </fieldGroup>
    </cacheField>
  </cacheFields>
  <extLst>
    <ext xmlns:x14="http://schemas.microsoft.com/office/spreadsheetml/2009/9/main" uri="{725AE2AE-9491-48be-B2B4-4EB974FC3084}">
      <x14:pivotCacheDefinition pivotCacheId="8866061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x v="0"/>
    <x v="0"/>
    <n v="60"/>
    <n v="49"/>
    <n v="23"/>
    <s v="5011-5012"/>
    <s v="-22.6668878"/>
    <s v="-43.6266495"/>
    <x v="0"/>
    <s v="Japeri (INF)"/>
    <x v="0"/>
    <s v="57/18A AO 57/20A"/>
    <s v="1"/>
    <x v="0"/>
    <x v="0"/>
    <s v="Link"/>
    <s v="Não"/>
    <x v="0"/>
    <x v="0"/>
    <m/>
    <e v="#VALUE!"/>
    <n v="0"/>
    <x v="0"/>
    <s v="Baixa"/>
    <x v="0"/>
    <s v="Não"/>
    <m/>
    <n v="6"/>
    <n v="11"/>
    <s v="Tarde"/>
  </r>
  <r>
    <x v="1"/>
    <x v="1"/>
    <x v="1"/>
    <n v="105"/>
    <n v="68"/>
    <n v="18"/>
    <s v="5011-5012"/>
    <s v="-22.9053226"/>
    <s v="-43.5760423"/>
    <x v="1"/>
    <s v="B. Monte (INF)"/>
    <x v="1"/>
    <s v="43/05 AO 43/07"/>
    <m/>
    <x v="1"/>
    <x v="0"/>
    <s v="Link"/>
    <s v="Sim"/>
    <x v="1"/>
    <x v="1"/>
    <d v="2022-06-21T00:00:00"/>
    <e v="#VALUE!"/>
    <n v="26"/>
    <x v="1"/>
    <s v="Média"/>
    <x v="0"/>
    <s v="Sim"/>
    <s v="Média"/>
    <n v="6"/>
    <n v="18"/>
    <s v="Noite"/>
  </r>
  <r>
    <x v="2"/>
    <x v="0"/>
    <x v="2"/>
    <n v="52"/>
    <n v="70"/>
    <n v="16"/>
    <s v="5011-5012"/>
    <s v="-22.8885816"/>
    <s v="-43.3125395"/>
    <x v="2"/>
    <s v="Piedade (SUP)"/>
    <x v="2"/>
    <s v="13/15 AO 13/17"/>
    <n v="1"/>
    <x v="2"/>
    <x v="1"/>
    <s v="Link"/>
    <s v="Sim"/>
    <x v="2"/>
    <x v="0"/>
    <m/>
    <e v="#VALUE!"/>
    <n v="0"/>
    <x v="0"/>
    <s v="Baixa"/>
    <x v="0"/>
    <s v="Não"/>
    <m/>
    <n v="6"/>
    <n v="22"/>
    <s v="Noite"/>
  </r>
  <r>
    <x v="3"/>
    <x v="2"/>
    <x v="3"/>
    <n v="64"/>
    <n v="28"/>
    <n v="23"/>
    <s v="5011-5012"/>
    <s v="-22.875307"/>
    <s v="-43.4614771"/>
    <x v="1"/>
    <s v="Bangu (INF)_x000a_(Entre os trav. 1 &amp; 2)"/>
    <x v="0"/>
    <s v="30/18 AO 30/22"/>
    <n v="1"/>
    <x v="3"/>
    <x v="2"/>
    <s v="Link"/>
    <s v="Sim"/>
    <x v="3"/>
    <x v="0"/>
    <m/>
    <e v="#VALUE!"/>
    <n v="0"/>
    <x v="0"/>
    <s v="Baixa"/>
    <x v="0"/>
    <s v="Não"/>
    <m/>
    <n v="6"/>
    <n v="13"/>
    <s v="Tarde"/>
  </r>
  <r>
    <x v="3"/>
    <x v="2"/>
    <x v="4"/>
    <n v="110"/>
    <n v="29"/>
    <n v="23"/>
    <s v="5011-5012"/>
    <s v="-22.8759862"/>
    <s v="-43.496644"/>
    <x v="1"/>
    <s v="Senador Camará _x000a_(SUP)"/>
    <x v="0"/>
    <s v="34/08 AO 34/12"/>
    <n v="1"/>
    <x v="4"/>
    <x v="0"/>
    <s v="Link"/>
    <s v="Pendente "/>
    <x v="0"/>
    <x v="0"/>
    <m/>
    <e v="#VALUE!"/>
    <n v="0"/>
    <x v="0"/>
    <s v="Média"/>
    <x v="0"/>
    <s v="Não"/>
    <m/>
    <n v="6"/>
    <n v="16"/>
    <s v="Tarde"/>
  </r>
  <r>
    <x v="3"/>
    <x v="2"/>
    <x v="5"/>
    <n v="58"/>
    <n v="30"/>
    <n v="23"/>
    <s v="5011-5012"/>
    <s v="-22.8891728"/>
    <s v="-43.5332414"/>
    <x v="1"/>
    <s v="A. Vasconcelos (INF)"/>
    <x v="0"/>
    <s v="38/18 AO 38/20"/>
    <m/>
    <x v="5"/>
    <x v="0"/>
    <s v="Link"/>
    <s v="Sim"/>
    <x v="1"/>
    <x v="1"/>
    <d v="2022-06-30T00:00:00"/>
    <e v="#VALUE!"/>
    <n v="27"/>
    <x v="2"/>
    <s v="Baixa"/>
    <x v="0"/>
    <s v="Sim"/>
    <s v="Baixa"/>
    <n v="6"/>
    <n v="14"/>
    <s v="Tarde"/>
  </r>
  <r>
    <x v="3"/>
    <x v="2"/>
    <x v="6"/>
    <n v="86"/>
    <n v="66"/>
    <n v="15"/>
    <s v="5011-5012"/>
    <s v="-22.8754161"/>
    <s v="-43.4685708"/>
    <x v="1"/>
    <s v="Bangu (INF)"/>
    <x v="0"/>
    <s v="31/12 AO 31/16"/>
    <n v="1"/>
    <x v="6"/>
    <x v="3"/>
    <s v="Link"/>
    <s v="Sim"/>
    <x v="4"/>
    <x v="0"/>
    <m/>
    <e v="#VALUE!"/>
    <n v="0"/>
    <x v="0"/>
    <s v="Baixa"/>
    <x v="0"/>
    <s v="Não"/>
    <m/>
    <n v="6"/>
    <n v="19"/>
    <s v="Noite"/>
  </r>
  <r>
    <x v="3"/>
    <x v="2"/>
    <x v="7"/>
    <n v="154"/>
    <n v="81"/>
    <n v="23"/>
    <s v="5011-5012"/>
    <s v="-22.8757303"/>
    <s v="-43.4829473"/>
    <x v="1"/>
    <s v="Senador Camará (INF)"/>
    <x v="1"/>
    <s v="34/17 AO 34/23"/>
    <m/>
    <x v="4"/>
    <x v="4"/>
    <s v="Link"/>
    <s v="Sim"/>
    <x v="5"/>
    <x v="1"/>
    <d v="2022-07-07T00:00:00"/>
    <e v="#VALUE!"/>
    <n v="28"/>
    <x v="1"/>
    <s v="Média"/>
    <x v="0"/>
    <s v="Sim"/>
    <s v="Média"/>
    <n v="6"/>
    <n v="13"/>
    <s v="Tarde"/>
  </r>
  <r>
    <x v="4"/>
    <x v="3"/>
    <x v="8"/>
    <n v="56"/>
    <n v="50"/>
    <n v="22"/>
    <s v="5011-5012"/>
    <s v="-22.8975226"/>
    <s v="-43.2426029"/>
    <x v="3"/>
    <s v="Triagem (INF) "/>
    <x v="3"/>
    <s v="06/18 AO 06/18T"/>
    <n v="1"/>
    <x v="7"/>
    <x v="5"/>
    <s v="Link"/>
    <s v="Sim"/>
    <x v="6"/>
    <x v="0"/>
    <m/>
    <e v="#VALUE!"/>
    <n v="0"/>
    <x v="0"/>
    <s v="Baixa"/>
    <x v="0"/>
    <s v="Não"/>
    <m/>
    <n v="6"/>
    <n v="15"/>
    <s v="Tarde"/>
  </r>
  <r>
    <x v="5"/>
    <x v="4"/>
    <x v="9"/>
    <n v="78"/>
    <n v="58"/>
    <n v="13"/>
    <s v="5011-5012"/>
    <s v="-22.6961256"/>
    <s v="-43.27155"/>
    <x v="3"/>
    <s v="Jardim Primavera (INF)"/>
    <x v="4"/>
    <s v="29/35 AO 29/45"/>
    <m/>
    <x v="8"/>
    <x v="0"/>
    <s v="Link"/>
    <s v="Sim"/>
    <x v="6"/>
    <x v="1"/>
    <d v="2022-07-11T00:00:00"/>
    <e v="#VALUE!"/>
    <n v="29"/>
    <x v="1"/>
    <s v="Baixa"/>
    <x v="0"/>
    <s v="Sim"/>
    <s v="Alta"/>
    <n v="6"/>
    <n v="10"/>
    <s v="Tarde"/>
  </r>
  <r>
    <x v="6"/>
    <x v="5"/>
    <x v="10"/>
    <n v="107"/>
    <n v="57"/>
    <n v="26"/>
    <s v="5011-5012"/>
    <s v="-22.7899833"/>
    <s v="-43.3093139"/>
    <x v="2"/>
    <s v="Maracanã (INF)"/>
    <x v="2"/>
    <s v="04/08 AO 04/12"/>
    <m/>
    <x v="9"/>
    <x v="6"/>
    <s v="Link"/>
    <s v="Sim"/>
    <x v="6"/>
    <x v="1"/>
    <d v="2022-07-02T00:00:00"/>
    <e v="#VALUE!"/>
    <n v="27"/>
    <x v="2"/>
    <s v="Média"/>
    <x v="0"/>
    <s v="Sim"/>
    <s v="Baixa"/>
    <n v="6"/>
    <n v="11"/>
    <s v="Tarde"/>
  </r>
  <r>
    <x v="7"/>
    <x v="1"/>
    <x v="11"/>
    <n v="92"/>
    <n v="66"/>
    <n v="26"/>
    <s v="5011-5012"/>
    <s v="-22.9053257"/>
    <s v="-43.5760043"/>
    <x v="1"/>
    <s v="B. Monte (INF)"/>
    <x v="1"/>
    <s v="43/05 AO 43/07"/>
    <m/>
    <x v="1"/>
    <x v="0"/>
    <s v="Link"/>
    <s v="Sim"/>
    <x v="1"/>
    <x v="1"/>
    <d v="2022-06-21T00:00:00"/>
    <e v="#VALUE!"/>
    <s v="-"/>
    <x v="1"/>
    <s v="Baixa"/>
    <x v="0"/>
    <s v="Sim"/>
    <s v="Baixa"/>
    <n v="6"/>
    <n v="15"/>
    <s v="Tarde"/>
  </r>
  <r>
    <x v="8"/>
    <x v="2"/>
    <x v="12"/>
    <n v="80"/>
    <n v="55"/>
    <n v="25"/>
    <s v="5011-5012"/>
    <s v="-22.8905111"/>
    <s v="-43.5346007"/>
    <x v="1"/>
    <s v="A. Vasconcelos (INF)"/>
    <x v="1"/>
    <s v="38/29 AO 38/33"/>
    <n v="1"/>
    <x v="5"/>
    <x v="7"/>
    <s v="Link"/>
    <s v="Sim"/>
    <x v="7"/>
    <x v="0"/>
    <m/>
    <e v="#VALUE!"/>
    <n v="0"/>
    <x v="0"/>
    <s v="Baixa"/>
    <x v="0"/>
    <s v="Não"/>
    <m/>
    <n v="6"/>
    <n v="11"/>
    <s v="Tarde"/>
  </r>
  <r>
    <x v="9"/>
    <x v="6"/>
    <x v="13"/>
    <n v="54"/>
    <n v="79"/>
    <n v="17"/>
    <s v="5011-5012"/>
    <s v="-22.6536929"/>
    <s v="-43.6360964"/>
    <x v="0"/>
    <s v="Japeri (INF) "/>
    <x v="1"/>
    <s v="59/09 AO 59/11"/>
    <n v="3"/>
    <x v="10"/>
    <x v="8"/>
    <s v="Link"/>
    <s v="Sim"/>
    <x v="8"/>
    <x v="0"/>
    <m/>
    <e v="#VALUE!"/>
    <n v="0"/>
    <x v="0"/>
    <s v="Baixa"/>
    <x v="0"/>
    <s v="Não"/>
    <m/>
    <n v="6"/>
    <n v="7"/>
    <s v="Tarde"/>
  </r>
  <r>
    <x v="9"/>
    <x v="6"/>
    <x v="14"/>
    <n v="58"/>
    <n v="79"/>
    <n v="17"/>
    <s v="5011-5012"/>
    <s v="-22.7190687"/>
    <s v="-43.5331706"/>
    <x v="0"/>
    <s v="Austin (SUP)"/>
    <x v="1"/>
    <s v="45/21 AO 45/23"/>
    <m/>
    <x v="11"/>
    <x v="9"/>
    <s v="Link"/>
    <s v="Sim"/>
    <x v="9"/>
    <x v="1"/>
    <d v="2022-06-29T00:00:00"/>
    <s v="Calo no fio de contato"/>
    <s v="-"/>
    <x v="2"/>
    <s v="Baixa"/>
    <x v="0"/>
    <s v="Sim"/>
    <s v="Baixa"/>
    <n v="6"/>
    <n v="7"/>
    <s v="Tarde"/>
  </r>
  <r>
    <x v="9"/>
    <x v="6"/>
    <x v="15"/>
    <n v="143"/>
    <n v="79"/>
    <n v="17"/>
    <s v="5011-5012"/>
    <s v="-22.8647529"/>
    <s v="-43.4065802"/>
    <x v="1"/>
    <s v="V. Militar (SUP)"/>
    <x v="1"/>
    <s v="Não identificado"/>
    <m/>
    <x v="12"/>
    <x v="0"/>
    <s v="Link"/>
    <s v="Sim"/>
    <x v="1"/>
    <x v="1"/>
    <d v="2022-06-28T00:00:00"/>
    <e v="#VALUE!"/>
    <n v="27"/>
    <x v="1"/>
    <s v="Média"/>
    <x v="0"/>
    <s v="Sim"/>
    <s v="Média"/>
    <n v="6"/>
    <n v="18"/>
    <s v="Noite"/>
  </r>
  <r>
    <x v="10"/>
    <x v="4"/>
    <x v="16"/>
    <n v="54"/>
    <n v="50"/>
    <n v="17"/>
    <s v="5011-5012"/>
    <s v="-22.8955323"/>
    <s v="-43.2962724"/>
    <x v="2"/>
    <s v="Engenho de dentro Travessao 3"/>
    <x v="5"/>
    <s v="11/20A AO 11/22A"/>
    <m/>
    <x v="13"/>
    <x v="10"/>
    <s v="Link"/>
    <s v="Sim"/>
    <x v="6"/>
    <x v="1"/>
    <d v="2022-08-16T00:00:00"/>
    <e v="#VALUE!"/>
    <n v="34"/>
    <x v="3"/>
    <s v="Baixa"/>
    <x v="0"/>
    <s v="Sim"/>
    <s v="Baixa"/>
    <n v="6"/>
    <n v="19"/>
    <s v="Noite"/>
  </r>
  <r>
    <x v="11"/>
    <x v="2"/>
    <x v="17"/>
    <n v="56"/>
    <n v="61"/>
    <n v="15"/>
    <s v="5011-5012"/>
    <s v="-22.8470038"/>
    <s v="-43.3960346"/>
    <x v="0"/>
    <s v="Deodoro (INF)"/>
    <x v="0"/>
    <s v="23/13 AO 23/19"/>
    <n v="1"/>
    <x v="14"/>
    <x v="11"/>
    <s v="Link"/>
    <s v="Sim"/>
    <x v="10"/>
    <x v="0"/>
    <m/>
    <e v="#VALUE!"/>
    <n v="0"/>
    <x v="2"/>
    <s v="Baixa"/>
    <x v="0"/>
    <s v="Não"/>
    <m/>
    <n v="6"/>
    <n v="13"/>
    <s v="Tarde"/>
  </r>
  <r>
    <x v="12"/>
    <x v="6"/>
    <x v="18"/>
    <n v="94"/>
    <n v="62"/>
    <n v="13"/>
    <s v="5011-5012"/>
    <s v="-22.9094075"/>
    <s v="-43.597188"/>
    <x v="1"/>
    <s v="Inhoaiba (SUP)"/>
    <x v="0"/>
    <s v="45/17 AO 45/19"/>
    <n v="2"/>
    <x v="11"/>
    <x v="12"/>
    <s v="Link"/>
    <s v="Sim"/>
    <x v="6"/>
    <x v="0"/>
    <m/>
    <e v="#VALUE!"/>
    <n v="0"/>
    <x v="2"/>
    <s v="Baixa"/>
    <x v="0"/>
    <s v="Não"/>
    <m/>
    <n v="6"/>
    <n v="19"/>
    <s v="Noite"/>
  </r>
  <r>
    <x v="13"/>
    <x v="4"/>
    <x v="19"/>
    <n v="54"/>
    <n v="54"/>
    <n v="17"/>
    <s v="5011-5012"/>
    <s v="-22.6503138"/>
    <s v="-43.6386746"/>
    <x v="0"/>
    <s v="Japeri (INF)"/>
    <x v="1"/>
    <s v="59/25 AO 59/27"/>
    <n v="6"/>
    <x v="10"/>
    <x v="8"/>
    <s v="Link"/>
    <s v="Sim"/>
    <x v="11"/>
    <x v="0"/>
    <m/>
    <e v="#VALUE!"/>
    <n v="0"/>
    <x v="0"/>
    <s v="Baixa"/>
    <x v="0"/>
    <s v="Não"/>
    <m/>
    <n v="6"/>
    <n v="7"/>
    <s v="Tarde"/>
  </r>
  <r>
    <x v="13"/>
    <x v="4"/>
    <x v="20"/>
    <n v="92"/>
    <n v="61"/>
    <n v="17"/>
    <s v="5011-5012"/>
    <s v="-22.8904951"/>
    <s v="-43.5345527"/>
    <x v="1"/>
    <s v="A. Vasconcelos (SUP)"/>
    <x v="1"/>
    <s v="38/29 AO 38/31"/>
    <n v="1"/>
    <x v="5"/>
    <x v="0"/>
    <s v="Link"/>
    <s v="Pendente "/>
    <x v="6"/>
    <x v="0"/>
    <m/>
    <e v="#VALUE!"/>
    <n v="0"/>
    <x v="2"/>
    <s v="Baixa"/>
    <x v="0"/>
    <s v="Não"/>
    <m/>
    <n v="6"/>
    <n v="19"/>
    <s v="Noite"/>
  </r>
  <r>
    <x v="13"/>
    <x v="4"/>
    <x v="21"/>
    <n v="61"/>
    <n v="71"/>
    <n v="17"/>
    <s v="5011-5012"/>
    <s v="-22.8967136"/>
    <s v="-43.2876184"/>
    <x v="2"/>
    <s v="E. Dentro (INF)"/>
    <x v="0"/>
    <s v="10/22A AO 10/24A"/>
    <n v="1"/>
    <x v="15"/>
    <x v="0"/>
    <s v="Link"/>
    <s v="Pendente "/>
    <x v="0"/>
    <x v="0"/>
    <m/>
    <e v="#VALUE!"/>
    <n v="0"/>
    <x v="0"/>
    <s v="Baixa"/>
    <x v="0"/>
    <s v="Não"/>
    <m/>
    <n v="6"/>
    <n v="21"/>
    <s v="Noite"/>
  </r>
  <r>
    <x v="14"/>
    <x v="1"/>
    <x v="22"/>
    <n v="89"/>
    <n v="62"/>
    <n v="17"/>
    <s v="5011-5012"/>
    <s v="-22.6961126"/>
    <s v="-43.2715041"/>
    <x v="3"/>
    <s v="Jardim Primavera (INF)"/>
    <x v="4"/>
    <s v="29/35 AO 29/45"/>
    <m/>
    <x v="8"/>
    <x v="0"/>
    <s v="Link"/>
    <s v="Sim"/>
    <x v="6"/>
    <x v="1"/>
    <d v="2022-07-11T00:00:00"/>
    <e v="#VALUE!"/>
    <n v="29"/>
    <x v="2"/>
    <s v="Baixa"/>
    <x v="0"/>
    <s v="Sim"/>
    <s v="Alta"/>
    <n v="7"/>
    <n v="18"/>
    <s v="Noite"/>
  </r>
  <r>
    <x v="15"/>
    <x v="0"/>
    <x v="23"/>
    <n v="169"/>
    <n v="50"/>
    <n v="16"/>
    <s v="5011-5012"/>
    <s v="-22.6961126"/>
    <s v="-43.2715041"/>
    <x v="3"/>
    <s v="Jardim Primavera (INF)"/>
    <x v="4"/>
    <s v="29/35 AO 29/45"/>
    <m/>
    <x v="8"/>
    <x v="13"/>
    <s v="Link"/>
    <s v="Sim"/>
    <x v="6"/>
    <x v="1"/>
    <d v="2022-07-11T00:00:00"/>
    <e v="#VALUE!"/>
    <n v="29"/>
    <x v="1"/>
    <s v="Média"/>
    <x v="0"/>
    <s v="Sim"/>
    <s v="Alta"/>
    <n v="7"/>
    <n v="5"/>
    <s v="Noite"/>
  </r>
  <r>
    <x v="15"/>
    <x v="0"/>
    <x v="24"/>
    <n v="76"/>
    <n v="66"/>
    <n v="16"/>
    <s v="5011-5012"/>
    <s v="-22.7912175"/>
    <s v="-43.3079725"/>
    <x v="4"/>
    <s v="D. Caxias (INF)"/>
    <x v="0"/>
    <s v="18/30 AO 18/34"/>
    <m/>
    <x v="16"/>
    <x v="14"/>
    <s v="Link"/>
    <s v="Sim"/>
    <x v="12"/>
    <x v="1"/>
    <d v="2022-08-27T00:00:00"/>
    <e v="#VALUE!"/>
    <n v="35"/>
    <x v="2"/>
    <s v="Baixa"/>
    <x v="0"/>
    <s v="Sim"/>
    <s v="Baixa"/>
    <n v="7"/>
    <n v="6"/>
    <s v="Tarde"/>
  </r>
  <r>
    <x v="16"/>
    <x v="2"/>
    <x v="23"/>
    <n v="70"/>
    <n v="67"/>
    <n v="15"/>
    <s v="5011-5012"/>
    <s v="-22.8955756"/>
    <s v="-43.2964277"/>
    <x v="2"/>
    <s v="E. Dentro (SUP)"/>
    <x v="2"/>
    <s v="11/22A AO 11/24A"/>
    <m/>
    <x v="13"/>
    <x v="10"/>
    <s v="Link"/>
    <s v="Sim"/>
    <x v="13"/>
    <x v="1"/>
    <d v="2022-10-11T00:00:00"/>
    <e v="#VALUE!"/>
    <n v="42"/>
    <x v="3"/>
    <s v="Baixa"/>
    <x v="0"/>
    <s v="Sim"/>
    <s v="Baixa"/>
    <n v="7"/>
    <n v="5"/>
    <s v="Noite"/>
  </r>
  <r>
    <x v="17"/>
    <x v="6"/>
    <x v="25"/>
    <n v="50"/>
    <n v="67"/>
    <n v="15"/>
    <s v="5011-5012"/>
    <s v="-22.6503036 "/>
    <s v="-43.6386711"/>
    <x v="0"/>
    <s v="Japeri (INF)"/>
    <x v="1"/>
    <s v="59/25 a 59/31"/>
    <n v="6"/>
    <x v="10"/>
    <x v="8"/>
    <s v="Link"/>
    <s v="Sim"/>
    <x v="11"/>
    <x v="0"/>
    <m/>
    <e v="#VALUE!"/>
    <n v="0"/>
    <x v="0"/>
    <s v="Baixa"/>
    <x v="0"/>
    <s v="Não"/>
    <m/>
    <n v="7"/>
    <n v="6"/>
    <s v="Tarde"/>
  </r>
  <r>
    <x v="17"/>
    <x v="6"/>
    <x v="26"/>
    <n v="65"/>
    <n v="76"/>
    <n v="15"/>
    <s v="5011-5012"/>
    <s v="-22.8955402"/>
    <s v="-43.2967702"/>
    <x v="2"/>
    <s v="E. Dentro (SUP)"/>
    <x v="6"/>
    <s v="11/20A AO 11/24A"/>
    <n v="1"/>
    <x v="13"/>
    <x v="15"/>
    <s v="Link"/>
    <s v="Sim"/>
    <x v="14"/>
    <x v="0"/>
    <m/>
    <e v="#VALUE!"/>
    <n v="0"/>
    <x v="0"/>
    <s v="Baixa"/>
    <x v="0"/>
    <s v="Não"/>
    <m/>
    <n v="7"/>
    <n v="5"/>
    <s v="Noite"/>
  </r>
  <r>
    <x v="18"/>
    <x v="3"/>
    <x v="27"/>
    <n v="91"/>
    <n v="73"/>
    <n v="15"/>
    <s v="5011-5012"/>
    <s v="-22.7563588"/>
    <s v="-43.4601465"/>
    <x v="0"/>
    <s v="N. Iguaçu (SUP)"/>
    <x v="0"/>
    <s v="36/20A AO 36/22A"/>
    <n v="1"/>
    <x v="17"/>
    <x v="0"/>
    <s v="Link"/>
    <s v="Sim"/>
    <x v="15"/>
    <x v="0"/>
    <m/>
    <e v="#VALUE!"/>
    <n v="0"/>
    <x v="0"/>
    <s v="Baixa"/>
    <x v="0"/>
    <s v="Não"/>
    <m/>
    <n v="7"/>
    <n v="20"/>
    <s v="Noite"/>
  </r>
  <r>
    <x v="18"/>
    <x v="3"/>
    <x v="28"/>
    <n v="116"/>
    <n v="77"/>
    <n v="15"/>
    <s v="5011-5012"/>
    <s v="-22.895763"/>
    <s v="-43.295021"/>
    <x v="2"/>
    <s v="E. Dentro (SUP)"/>
    <x v="1"/>
    <s v="11/13 AO 11/17"/>
    <n v="1"/>
    <x v="13"/>
    <x v="0"/>
    <s v="Link"/>
    <s v="Pendente "/>
    <x v="0"/>
    <x v="0"/>
    <m/>
    <e v="#VALUE!"/>
    <n v="0"/>
    <x v="0"/>
    <s v="Média"/>
    <x v="0"/>
    <s v="Não"/>
    <m/>
    <n v="7"/>
    <n v="7"/>
    <s v="Tarde"/>
  </r>
  <r>
    <x v="19"/>
    <x v="4"/>
    <x v="29"/>
    <n v="55"/>
    <n v="52"/>
    <n v="30"/>
    <s v="5011-5012"/>
    <s v="-22.9152637"/>
    <s v="-43.6746528"/>
    <x v="1"/>
    <s v="Santa Cruz (INF)"/>
    <x v="0"/>
    <s v="53/16 AO 53/20"/>
    <m/>
    <x v="18"/>
    <x v="16"/>
    <s v="Link"/>
    <s v="Sim"/>
    <x v="6"/>
    <x v="1"/>
    <d v="2022-07-27T00:00:00"/>
    <e v="#VALUE!"/>
    <n v="31"/>
    <x v="1"/>
    <s v="Baixa"/>
    <x v="0"/>
    <s v="Sim"/>
    <s v="Alta"/>
    <n v="7"/>
    <n v="15"/>
    <s v="Tarde"/>
  </r>
  <r>
    <x v="19"/>
    <x v="4"/>
    <x v="30"/>
    <n v="77"/>
    <n v="59"/>
    <n v="15"/>
    <s v="5011-5012"/>
    <s v="-22.7378484"/>
    <s v="-43.4979339"/>
    <x v="0"/>
    <s v="Comendador Soares (SUP)"/>
    <x v="1"/>
    <s v="40/47 AO 40/01"/>
    <n v="1"/>
    <x v="19"/>
    <x v="17"/>
    <s v="Link"/>
    <s v="Sim"/>
    <x v="16"/>
    <x v="0"/>
    <m/>
    <e v="#VALUE!"/>
    <n v="0"/>
    <x v="0"/>
    <s v="Baixa"/>
    <x v="0"/>
    <s v="Não"/>
    <m/>
    <n v="7"/>
    <n v="11"/>
    <s v="Tarde"/>
  </r>
  <r>
    <x v="19"/>
    <x v="4"/>
    <x v="31"/>
    <n v="80"/>
    <n v="59"/>
    <n v="30"/>
    <s v="5011-5012"/>
    <s v="-22.9094041"/>
    <s v="-43.597275"/>
    <x v="1"/>
    <s v="Inhoaiba (SUP)"/>
    <x v="0"/>
    <s v="45/17 AO 45/19"/>
    <n v="2"/>
    <x v="11"/>
    <x v="12"/>
    <s v="Link"/>
    <s v="Sim"/>
    <x v="6"/>
    <x v="0"/>
    <m/>
    <e v="#VALUE!"/>
    <n v="0"/>
    <x v="2"/>
    <s v="Baixa"/>
    <x v="0"/>
    <s v="Não"/>
    <m/>
    <n v="7"/>
    <n v="16"/>
    <s v="Tarde"/>
  </r>
  <r>
    <x v="20"/>
    <x v="5"/>
    <x v="32"/>
    <n v="81"/>
    <n v="29"/>
    <n v="29"/>
    <s v="5011-5012"/>
    <s v="-22.8753106"/>
    <s v=" -43.4614393"/>
    <x v="1"/>
    <s v="Bangu (INF)"/>
    <x v="0"/>
    <s v="30/18 AO 30/24"/>
    <n v="1"/>
    <x v="3"/>
    <x v="2"/>
    <s v="Link"/>
    <s v="Sim"/>
    <x v="17"/>
    <x v="0"/>
    <m/>
    <e v="#VALUE!"/>
    <n v="0"/>
    <x v="0"/>
    <s v="Baixa"/>
    <x v="0"/>
    <s v="Não"/>
    <m/>
    <n v="7"/>
    <n v="14"/>
    <s v="Tarde"/>
  </r>
  <r>
    <x v="20"/>
    <x v="5"/>
    <x v="33"/>
    <n v="89"/>
    <n v="49"/>
    <n v="15"/>
    <s v="5011-5012"/>
    <s v="-22.9152233"/>
    <s v="-43.6747651"/>
    <x v="1"/>
    <s v="Japeri (INF)"/>
    <x v="0"/>
    <s v="53/16 AO 53/20"/>
    <m/>
    <x v="18"/>
    <x v="0"/>
    <s v="Link"/>
    <s v="Sim"/>
    <x v="6"/>
    <x v="1"/>
    <d v="2022-07-27T00:00:00"/>
    <e v="#VALUE!"/>
    <n v="31"/>
    <x v="1"/>
    <s v="Baixa"/>
    <x v="0"/>
    <s v="Sim"/>
    <s v="Alta"/>
    <n v="7"/>
    <n v="23"/>
    <s v="Noite"/>
  </r>
  <r>
    <x v="20"/>
    <x v="5"/>
    <x v="34"/>
    <n v="91"/>
    <n v="50"/>
    <n v="15"/>
    <s v="5011-5012"/>
    <s v="-22.9152889"/>
    <s v="-43.6747987"/>
    <x v="1"/>
    <s v="Santa Cruz (INF)"/>
    <x v="1"/>
    <s v="53/16 AO 53/20"/>
    <m/>
    <x v="18"/>
    <x v="16"/>
    <s v="Link"/>
    <s v="Sim"/>
    <x v="18"/>
    <x v="1"/>
    <d v="2022-07-26T00:00:00"/>
    <e v="#VALUE!"/>
    <n v="31"/>
    <x v="1"/>
    <s v="Baixa"/>
    <x v="0"/>
    <s v="Sim"/>
    <s v="Alta"/>
    <n v="7"/>
    <n v="11"/>
    <s v="Tarde"/>
  </r>
  <r>
    <x v="20"/>
    <x v="5"/>
    <x v="35"/>
    <n v="57"/>
    <n v="72"/>
    <n v="15"/>
    <s v="5011-5012"/>
    <s v="-22.905337"/>
    <s v="-43.576081"/>
    <x v="1"/>
    <s v="B. Monte (INF)"/>
    <x v="1"/>
    <s v="43/05 AO 43/07"/>
    <m/>
    <x v="1"/>
    <x v="18"/>
    <s v="Link"/>
    <s v="Sim"/>
    <x v="19"/>
    <x v="1"/>
    <d v="2022-07-25T00:00:00"/>
    <e v="#VALUE!"/>
    <n v="31"/>
    <x v="1"/>
    <s v="Baixa"/>
    <x v="0"/>
    <s v="Sim"/>
    <s v="Baixa"/>
    <n v="7"/>
    <n v="19"/>
    <s v="Noite"/>
  </r>
  <r>
    <x v="21"/>
    <x v="1"/>
    <x v="36"/>
    <n v="112"/>
    <n v="63"/>
    <n v="17"/>
    <s v="5011-5012"/>
    <s v="-22.8757348"/>
    <s v=" -43.4818783"/>
    <x v="1"/>
    <s v="Bangu (INF)"/>
    <x v="0"/>
    <s v="32/29 AO 32/35"/>
    <n v="1"/>
    <x v="20"/>
    <x v="4"/>
    <s v="Link"/>
    <s v="Sim"/>
    <x v="6"/>
    <x v="0"/>
    <m/>
    <e v="#VALUE!"/>
    <n v="0"/>
    <x v="2"/>
    <s v="Média"/>
    <x v="0"/>
    <s v="Não"/>
    <m/>
    <n v="7"/>
    <n v="7"/>
    <s v="Tarde"/>
  </r>
  <r>
    <x v="22"/>
    <x v="2"/>
    <x v="37"/>
    <n v="466"/>
    <n v="73"/>
    <n v="17"/>
    <s v="5011-5012"/>
    <s v="-22.9152022"/>
    <s v="-43.6748373"/>
    <x v="1"/>
    <s v="Santa Cruz (INF)"/>
    <x v="1"/>
    <s v="53/15 AO 53/19"/>
    <m/>
    <x v="18"/>
    <x v="16"/>
    <s v="Link"/>
    <s v="Sim"/>
    <x v="20"/>
    <x v="1"/>
    <d v="2022-07-12T00:00:00"/>
    <e v="#VALUE!"/>
    <n v="29"/>
    <x v="1"/>
    <s v="Média"/>
    <x v="0"/>
    <s v="Sim"/>
    <s v="Alta"/>
    <n v="7"/>
    <n v="20"/>
    <s v="Noite"/>
  </r>
  <r>
    <x v="23"/>
    <x v="6"/>
    <x v="38"/>
    <n v="235"/>
    <n v="78"/>
    <n v="17"/>
    <s v="5011-5012"/>
    <s v="-22.8955972"/>
    <s v="-43.2967887"/>
    <x v="2"/>
    <s v="E. Dentro (SUP)"/>
    <x v="2"/>
    <s v="11/20 AO 11/24"/>
    <m/>
    <x v="13"/>
    <x v="10"/>
    <s v="Link"/>
    <s v="Sim"/>
    <x v="21"/>
    <x v="1"/>
    <d v="2022-07-27T00:00:00"/>
    <e v="#VALUE!"/>
    <n v="31"/>
    <x v="2"/>
    <s v="Média"/>
    <x v="0"/>
    <s v="Sim"/>
    <s v="Média"/>
    <n v="7"/>
    <n v="10"/>
    <s v="Tarde"/>
  </r>
  <r>
    <x v="23"/>
    <x v="6"/>
    <x v="39"/>
    <n v="91"/>
    <n v="80"/>
    <n v="31"/>
    <s v="5011-5012"/>
    <s v="-22.903418"/>
    <s v=" -43.5662963"/>
    <x v="1"/>
    <s v="Campo Grande (SUP)"/>
    <x v="0"/>
    <s v="42/14 AO 42/16"/>
    <n v="1"/>
    <x v="21"/>
    <x v="0"/>
    <s v="Link"/>
    <s v="Pendente "/>
    <x v="0"/>
    <x v="0"/>
    <m/>
    <e v="#VALUE!"/>
    <n v="0"/>
    <x v="0"/>
    <s v="Baixa"/>
    <x v="0"/>
    <s v="Não"/>
    <m/>
    <n v="7"/>
    <n v="14"/>
    <s v="Tarde"/>
  </r>
  <r>
    <x v="23"/>
    <x v="6"/>
    <x v="40"/>
    <n v="127"/>
    <n v="80"/>
    <n v="31"/>
    <s v="5011-5012"/>
    <s v="-22.8955972"/>
    <s v="-43.2967887"/>
    <x v="2"/>
    <s v="E. Dentro (SUP)"/>
    <x v="6"/>
    <s v="11/18 a 11/22"/>
    <n v="1"/>
    <x v="13"/>
    <x v="0"/>
    <s v="Link"/>
    <s v="Pendente "/>
    <x v="0"/>
    <x v="0"/>
    <m/>
    <e v="#VALUE!"/>
    <n v="0"/>
    <x v="0"/>
    <s v="Média"/>
    <x v="0"/>
    <s v="Não"/>
    <m/>
    <n v="7"/>
    <n v="14"/>
    <s v="Tarde"/>
  </r>
  <r>
    <x v="24"/>
    <x v="3"/>
    <x v="41"/>
    <n v="105"/>
    <n v="68"/>
    <n v="19"/>
    <s v="5011-5012"/>
    <s v="-22.9153863"/>
    <s v="-43.6279469"/>
    <x v="1"/>
    <s v="Paciência (INF)"/>
    <x v="0"/>
    <s v="48/22 AO 48/24"/>
    <n v="1"/>
    <x v="22"/>
    <x v="19"/>
    <s v="Link"/>
    <s v="Sim"/>
    <x v="22"/>
    <x v="0"/>
    <m/>
    <e v="#VALUE!"/>
    <n v="0"/>
    <x v="0"/>
    <s v="Média"/>
    <x v="0"/>
    <s v="Não"/>
    <m/>
    <n v="7"/>
    <n v="19"/>
    <s v="Noite"/>
  </r>
  <r>
    <x v="25"/>
    <x v="4"/>
    <x v="19"/>
    <n v="144"/>
    <n v="45"/>
    <n v="19"/>
    <s v="5011-5012"/>
    <s v="-22.8891677"/>
    <s v=" -43.5331835"/>
    <x v="1"/>
    <s v="A. Vasconcelos (INF)"/>
    <x v="0"/>
    <s v="38/18 AO 38/20"/>
    <s v="4"/>
    <x v="5"/>
    <x v="0"/>
    <s v="Link"/>
    <s v="Pendente "/>
    <x v="0"/>
    <x v="0"/>
    <m/>
    <e v="#VALUE!"/>
    <n v="0"/>
    <x v="0"/>
    <s v="Média"/>
    <x v="0"/>
    <s v="Não"/>
    <m/>
    <n v="7"/>
    <n v="7"/>
    <s v="Tarde"/>
  </r>
  <r>
    <x v="26"/>
    <x v="2"/>
    <x v="13"/>
    <n v="66"/>
    <n v="76"/>
    <n v="22"/>
    <s v="5011-5012"/>
    <s v="-22.6536472"/>
    <s v="-43.6361089"/>
    <x v="0"/>
    <s v="Japeri (INF)"/>
    <x v="1"/>
    <s v="59/09 AO 59/11"/>
    <n v="3"/>
    <x v="10"/>
    <x v="0"/>
    <s v="Link"/>
    <s v="Sim"/>
    <x v="23"/>
    <x v="0"/>
    <m/>
    <e v="#VALUE!"/>
    <n v="0"/>
    <x v="0"/>
    <s v="Baixa"/>
    <x v="0"/>
    <s v="Não"/>
    <m/>
    <n v="7"/>
    <n v="7"/>
    <s v="Tarde"/>
  </r>
  <r>
    <x v="27"/>
    <x v="6"/>
    <x v="42"/>
    <n v="60"/>
    <n v="52"/>
    <n v="29"/>
    <s v="5011-5012"/>
    <s v="-22.9187514"/>
    <s v="-43.6503204"/>
    <x v="1"/>
    <s v="T. Neves (Plataforma)"/>
    <x v="1"/>
    <s v="50/31 AO 51/05"/>
    <n v="1"/>
    <x v="23"/>
    <x v="20"/>
    <s v="Link"/>
    <s v="Sim"/>
    <x v="6"/>
    <x v="1"/>
    <m/>
    <e v="#VALUE!"/>
    <n v="0"/>
    <x v="0"/>
    <s v="Baixa"/>
    <x v="0"/>
    <s v="Não"/>
    <m/>
    <n v="7"/>
    <n v="13"/>
    <s v="Tarde"/>
  </r>
  <r>
    <x v="27"/>
    <x v="6"/>
    <x v="43"/>
    <n v="55"/>
    <n v="69"/>
    <n v="21"/>
    <s v="5011-5012"/>
    <s v=" -22.7564222"/>
    <s v="-43.4600786"/>
    <x v="0"/>
    <s v="N. Iguaçu (SUP)"/>
    <x v="0"/>
    <s v="36/16 AO 36/24"/>
    <n v="1"/>
    <x v="17"/>
    <x v="21"/>
    <s v="Link"/>
    <s v="Sim"/>
    <x v="15"/>
    <x v="0"/>
    <m/>
    <e v="#VALUE!"/>
    <n v="0"/>
    <x v="0"/>
    <s v="Baixa"/>
    <x v="0"/>
    <s v="Não"/>
    <m/>
    <n v="7"/>
    <n v="18"/>
    <s v="Noite"/>
  </r>
  <r>
    <x v="27"/>
    <x v="6"/>
    <x v="44"/>
    <n v="89"/>
    <n v="74"/>
    <n v="21"/>
    <s v="5011-5012"/>
    <s v="-22.653764"/>
    <s v="-43.6360145"/>
    <x v="0"/>
    <s v="Japeri (INF)"/>
    <x v="0"/>
    <s v="60/09 AO 60/11"/>
    <n v="1"/>
    <x v="24"/>
    <x v="8"/>
    <s v="Link"/>
    <s v="Sim"/>
    <x v="0"/>
    <x v="0"/>
    <m/>
    <e v="#VALUE!"/>
    <n v="0"/>
    <x v="0"/>
    <s v="Baixa"/>
    <x v="0"/>
    <s v="Não"/>
    <m/>
    <n v="7"/>
    <n v="21"/>
    <s v="Noite"/>
  </r>
  <r>
    <x v="28"/>
    <x v="3"/>
    <x v="45"/>
    <n v="66"/>
    <n v="58"/>
    <n v="19"/>
    <s v="5011-5012"/>
    <s v="-22.648934"/>
    <s v=" -43.6408722"/>
    <x v="0"/>
    <s v="Japeri (INF)"/>
    <x v="1"/>
    <s v="60/35 AO 60/37"/>
    <n v="1"/>
    <x v="24"/>
    <x v="8"/>
    <s v="Link"/>
    <s v="Sim"/>
    <x v="6"/>
    <x v="0"/>
    <m/>
    <e v="#VALUE!"/>
    <n v="0"/>
    <x v="0"/>
    <s v="Baixa"/>
    <x v="0"/>
    <s v="Não"/>
    <m/>
    <n v="7"/>
    <n v="6"/>
    <s v="Tarde"/>
  </r>
  <r>
    <x v="29"/>
    <x v="1"/>
    <x v="46"/>
    <n v="106"/>
    <n v="73"/>
    <n v="30"/>
    <s v="5011-5012"/>
    <s v="-22.7376513"/>
    <s v="-43.4980614"/>
    <x v="0"/>
    <s v="Comendador Soares (SUP)"/>
    <x v="1"/>
    <s v="40/49 AO 41/01"/>
    <n v="1"/>
    <x v="19"/>
    <x v="17"/>
    <s v="Link"/>
    <s v="Sim"/>
    <x v="24"/>
    <x v="0"/>
    <m/>
    <e v="#VALUE!"/>
    <n v="0"/>
    <x v="0"/>
    <s v="Média"/>
    <x v="0"/>
    <s v="Não"/>
    <m/>
    <n v="7"/>
    <n v="12"/>
    <s v="Tarde"/>
  </r>
  <r>
    <x v="29"/>
    <x v="1"/>
    <x v="47"/>
    <n v="164"/>
    <n v="80"/>
    <n v="17"/>
    <s v="5011-5012"/>
    <s v="-22.7358337"/>
    <s v="-43.4995414"/>
    <x v="0"/>
    <s v="Comendador Soares (SUP)"/>
    <x v="0"/>
    <s v="41/18 AO 41/22"/>
    <s v="1"/>
    <x v="25"/>
    <x v="0"/>
    <s v="Link"/>
    <s v="Não"/>
    <x v="0"/>
    <x v="0"/>
    <m/>
    <e v="#VALUE!"/>
    <n v="0"/>
    <x v="0"/>
    <s v="Média"/>
    <x v="0"/>
    <s v="Não"/>
    <m/>
    <n v="7"/>
    <n v="19"/>
    <s v="Noite"/>
  </r>
  <r>
    <x v="30"/>
    <x v="6"/>
    <x v="48"/>
    <n v="94"/>
    <n v="51"/>
    <n v="26"/>
    <s v="5011-5012"/>
    <s v="-22.6472953"/>
    <s v="-43.6452488"/>
    <x v="0"/>
    <s v="Japeri (INF)"/>
    <x v="0"/>
    <s v="60/16 AO 60/18"/>
    <s v="2"/>
    <x v="24"/>
    <x v="0"/>
    <s v="Link"/>
    <s v="Sim"/>
    <x v="0"/>
    <x v="0"/>
    <m/>
    <e v="#VALUE!"/>
    <n v="0"/>
    <x v="0"/>
    <s v="Baixa"/>
    <x v="0"/>
    <s v="Não"/>
    <m/>
    <n v="7"/>
    <n v="15"/>
    <s v="Tarde"/>
  </r>
  <r>
    <x v="30"/>
    <x v="6"/>
    <x v="49"/>
    <n v="59"/>
    <n v="55"/>
    <n v="17"/>
    <s v="5011-5012"/>
    <s v="-22.9039928"/>
    <s v="-43.2755752"/>
    <x v="2"/>
    <s v="S. Freire (Plat.)"/>
    <x v="0"/>
    <s v="09/07 AO 09/03"/>
    <n v="1"/>
    <x v="26"/>
    <x v="22"/>
    <s v="Link"/>
    <s v="Sim"/>
    <x v="25"/>
    <x v="0"/>
    <m/>
    <e v="#VALUE!"/>
    <n v="0"/>
    <x v="0"/>
    <s v="Baixa"/>
    <x v="0"/>
    <s v="Não"/>
    <m/>
    <n v="7"/>
    <n v="20"/>
    <s v="Noite"/>
  </r>
  <r>
    <x v="30"/>
    <x v="6"/>
    <x v="50"/>
    <n v="54"/>
    <n v="74"/>
    <n v="26"/>
    <s v="5011-5012"/>
    <s v="-22.6503567"/>
    <s v="-43.6385759"/>
    <x v="0"/>
    <s v="Japeri (INF)"/>
    <x v="1"/>
    <s v="59/25 AO 59/27"/>
    <n v="6"/>
    <x v="10"/>
    <x v="8"/>
    <s v="Link"/>
    <s v="Sim"/>
    <x v="11"/>
    <x v="0"/>
    <m/>
    <e v="#VALUE!"/>
    <n v="0"/>
    <x v="0"/>
    <s v="Baixa"/>
    <x v="0"/>
    <s v="Não"/>
    <m/>
    <n v="7"/>
    <n v="15"/>
    <s v="Tarde"/>
  </r>
  <r>
    <x v="30"/>
    <x v="6"/>
    <x v="51"/>
    <n v="177"/>
    <n v="74"/>
    <n v="26"/>
    <s v="5011-5012"/>
    <s v="-22.650421"/>
    <s v="-43.6385371"/>
    <x v="0"/>
    <s v="Japeri (INF)"/>
    <x v="1"/>
    <s v="59/25 AO 59/27"/>
    <n v="6"/>
    <x v="10"/>
    <x v="0"/>
    <s v="Link"/>
    <s v="Pendente "/>
    <x v="0"/>
    <x v="0"/>
    <m/>
    <e v="#VALUE!"/>
    <n v="0"/>
    <x v="0"/>
    <s v="Média"/>
    <x v="0"/>
    <s v="Não"/>
    <m/>
    <n v="7"/>
    <n v="11"/>
    <s v="Tarde"/>
  </r>
  <r>
    <x v="31"/>
    <x v="3"/>
    <x v="52"/>
    <n v="120"/>
    <n v="78"/>
    <n v="18"/>
    <s v="5011-5012"/>
    <s v="-22.8668359"/>
    <s v=" -43.3539861"/>
    <x v="2"/>
    <s v="Oswaldo Cruz_x000a_(SUP)"/>
    <x v="7"/>
    <s v="18/14 AO 18/20"/>
    <n v="2"/>
    <x v="16"/>
    <x v="23"/>
    <s v="Link"/>
    <s v="Sim"/>
    <x v="26"/>
    <x v="0"/>
    <m/>
    <e v="#VALUE!"/>
    <n v="0"/>
    <x v="0"/>
    <s v="Média"/>
    <x v="0"/>
    <s v="Não"/>
    <m/>
    <n v="7"/>
    <n v="18"/>
    <s v="Noite"/>
  </r>
  <r>
    <x v="31"/>
    <x v="3"/>
    <x v="53"/>
    <n v="145"/>
    <n v="78"/>
    <n v="18"/>
    <s v="5011-5012"/>
    <s v="-22.6488501"/>
    <s v="-43.6411444"/>
    <x v="0"/>
    <s v="Japeri (INF)"/>
    <x v="1"/>
    <s v="60/01 AO 60/03"/>
    <s v="1"/>
    <x v="24"/>
    <x v="8"/>
    <s v="Link"/>
    <s v="Sim"/>
    <x v="23"/>
    <x v="0"/>
    <m/>
    <e v="#VALUE!"/>
    <n v="0"/>
    <x v="0"/>
    <s v="Média"/>
    <x v="0"/>
    <s v="Não"/>
    <m/>
    <n v="7"/>
    <n v="6"/>
    <s v="Tarde"/>
  </r>
  <r>
    <x v="32"/>
    <x v="2"/>
    <x v="54"/>
    <n v="97"/>
    <n v="31"/>
    <n v="15"/>
    <s v="5011-5012"/>
    <s v="-22.647225"/>
    <s v="-43.6454127"/>
    <x v="0"/>
    <s v="Japeri (INF)"/>
    <x v="0"/>
    <s v="60/18 AO 60/20"/>
    <n v="2"/>
    <x v="24"/>
    <x v="24"/>
    <s v="Link"/>
    <s v="Sim"/>
    <x v="27"/>
    <x v="0"/>
    <m/>
    <e v="#VALUE!"/>
    <n v="0"/>
    <x v="0"/>
    <s v="Baixa"/>
    <x v="0"/>
    <s v="Não"/>
    <m/>
    <n v="8"/>
    <n v="18"/>
    <s v="Noite"/>
  </r>
  <r>
    <x v="33"/>
    <x v="6"/>
    <x v="55"/>
    <n v="97"/>
    <n v="52"/>
    <n v="27"/>
    <s v="5011-5012"/>
    <s v="-22.9100982"/>
    <s v="-43.2185867"/>
    <x v="2"/>
    <s v="P. da Bandeira (SUP)"/>
    <x v="7"/>
    <s v="02/30 AO 02/31"/>
    <s v="4"/>
    <x v="27"/>
    <x v="25"/>
    <s v="Link"/>
    <s v="Sim"/>
    <x v="28"/>
    <x v="0"/>
    <m/>
    <e v="#VALUE!"/>
    <n v="0"/>
    <x v="0"/>
    <s v="Baixa"/>
    <x v="0"/>
    <s v="Não"/>
    <m/>
    <n v="8"/>
    <n v="16"/>
    <s v="Tarde"/>
  </r>
  <r>
    <x v="33"/>
    <x v="6"/>
    <x v="56"/>
    <n v="122"/>
    <n v="79"/>
    <n v="27"/>
    <s v="5011-5012"/>
    <s v="-22.8878029"/>
    <s v="-43.3227726"/>
    <x v="2"/>
    <s v="Quintino (SUP)"/>
    <x v="7"/>
    <s v="14/12 AO 14/16"/>
    <n v="1"/>
    <x v="28"/>
    <x v="26"/>
    <s v="Link"/>
    <s v="Sim"/>
    <x v="29"/>
    <x v="0"/>
    <m/>
    <e v="#VALUE!"/>
    <n v="0"/>
    <x v="0"/>
    <s v="Média"/>
    <x v="0"/>
    <s v="Não"/>
    <m/>
    <n v="8"/>
    <n v="16"/>
    <s v="Tarde"/>
  </r>
  <r>
    <x v="34"/>
    <x v="3"/>
    <x v="57"/>
    <n v="85"/>
    <n v="56"/>
    <n v="18"/>
    <s v="5011-5012"/>
    <s v="-22.648908"/>
    <s v="-43.6409787"/>
    <x v="0"/>
    <s v="Japeri (INF)"/>
    <x v="1"/>
    <s v="60/01 AO 60/18"/>
    <s v="1"/>
    <x v="24"/>
    <x v="8"/>
    <s v="Link"/>
    <s v="Sim"/>
    <x v="0"/>
    <x v="0"/>
    <m/>
    <e v="#VALUE!"/>
    <n v="0"/>
    <x v="0"/>
    <s v="Baixa"/>
    <x v="0"/>
    <s v="Não"/>
    <m/>
    <n v="8"/>
    <n v="7"/>
    <s v="Tarde"/>
  </r>
  <r>
    <x v="34"/>
    <x v="3"/>
    <x v="58"/>
    <n v="61"/>
    <n v="60"/>
    <n v="18"/>
    <s v="5011-5012"/>
    <s v="-22.9017272"/>
    <s v="-43.2602176"/>
    <x v="2"/>
    <s v="Riachuelo (SUP)"/>
    <x v="7"/>
    <s v="07/12 AO 07/18"/>
    <n v="1"/>
    <x v="29"/>
    <x v="27"/>
    <s v="Link"/>
    <s v="Sim"/>
    <x v="28"/>
    <x v="0"/>
    <m/>
    <e v="#VALUE!"/>
    <n v="0"/>
    <x v="0"/>
    <s v="Baixa"/>
    <x v="0"/>
    <s v="Não"/>
    <m/>
    <n v="8"/>
    <n v="20"/>
    <s v="Noite"/>
  </r>
  <r>
    <x v="34"/>
    <x v="3"/>
    <x v="59"/>
    <n v="52"/>
    <n v="63"/>
    <n v="18"/>
    <s v="5011-5012"/>
    <s v="-22.7190431"/>
    <s v="-43.5331369"/>
    <x v="0"/>
    <s v="Austin (SUP)"/>
    <x v="1"/>
    <s v="45/21 AO 45/23"/>
    <m/>
    <x v="11"/>
    <x v="9"/>
    <s v="Link"/>
    <s v="Sim"/>
    <x v="28"/>
    <x v="1"/>
    <d v="2022-09-17T00:00:00"/>
    <e v="#VALUE!"/>
    <n v="38"/>
    <x v="2"/>
    <s v="Baixa"/>
    <x v="0"/>
    <s v="Sim"/>
    <s v="Baixa"/>
    <n v="8"/>
    <n v="21"/>
    <s v="Noite"/>
  </r>
  <r>
    <x v="34"/>
    <x v="3"/>
    <x v="60"/>
    <n v="82"/>
    <n v="65"/>
    <n v="18"/>
    <s v="5011-5012"/>
    <s v=" -22.786918"/>
    <s v=" -43.4267986"/>
    <x v="0"/>
    <s v="Mesquita (INF)"/>
    <x v="0"/>
    <s v="31/10 AO 31/14"/>
    <n v="1"/>
    <x v="6"/>
    <x v="28"/>
    <s v="Link"/>
    <s v="Sim"/>
    <x v="28"/>
    <x v="0"/>
    <m/>
    <e v="#VALUE!"/>
    <n v="0"/>
    <x v="2"/>
    <s v="Baixa"/>
    <x v="0"/>
    <s v="Não"/>
    <m/>
    <n v="8"/>
    <n v="8"/>
    <s v="Tarde"/>
  </r>
  <r>
    <x v="35"/>
    <x v="5"/>
    <x v="0"/>
    <n v="60"/>
    <n v="49"/>
    <n v="36"/>
    <s v="5011-5012"/>
    <s v="-22.6668878"/>
    <s v="-43.6266495"/>
    <x v="0"/>
    <s v="Japeri (INF)"/>
    <x v="0"/>
    <s v="57/18A AO 57/20A"/>
    <s v="1"/>
    <x v="0"/>
    <x v="0"/>
    <s v="Link"/>
    <s v="Não"/>
    <x v="0"/>
    <x v="0"/>
    <m/>
    <e v="#VALUE!"/>
    <n v="0"/>
    <x v="0"/>
    <s v="Baixa"/>
    <x v="0"/>
    <s v="Não"/>
    <m/>
    <n v="8"/>
    <n v="11"/>
    <s v="Tarde"/>
  </r>
  <r>
    <x v="35"/>
    <x v="5"/>
    <x v="61"/>
    <n v="51"/>
    <n v="50"/>
    <n v="20"/>
    <s v="5011-5012"/>
    <s v="-22.757341"/>
    <s v="-43.4579835"/>
    <x v="0"/>
    <s v="N. Iguaçu (SUP)"/>
    <x v="1"/>
    <s v="36/15 AO 36/23"/>
    <n v="1"/>
    <x v="17"/>
    <x v="29"/>
    <s v="Link"/>
    <s v="Não"/>
    <x v="30"/>
    <x v="0"/>
    <m/>
    <e v="#VALUE!"/>
    <n v="0"/>
    <x v="0"/>
    <s v="Baixa"/>
    <x v="0"/>
    <s v="Não"/>
    <m/>
    <n v="8"/>
    <n v="17"/>
    <s v="Tarde"/>
  </r>
  <r>
    <x v="35"/>
    <x v="5"/>
    <x v="62"/>
    <n v="85"/>
    <n v="76"/>
    <n v="20"/>
    <s v="5011-5012"/>
    <s v="-22.7663675"/>
    <s v=" -43.4369616"/>
    <x v="0"/>
    <s v="P. Juscelino (SUP)"/>
    <x v="1"/>
    <s v="33/31P AO 33/33A"/>
    <n v="1"/>
    <x v="30"/>
    <x v="30"/>
    <s v="Link"/>
    <s v="Sim"/>
    <x v="31"/>
    <x v="0"/>
    <m/>
    <e v="#VALUE!"/>
    <n v="0"/>
    <x v="0"/>
    <s v="Baixa"/>
    <x v="0"/>
    <s v="Não"/>
    <m/>
    <n v="8"/>
    <n v="10"/>
    <s v="Tarde"/>
  </r>
  <r>
    <x v="35"/>
    <x v="5"/>
    <x v="63"/>
    <n v="53"/>
    <n v="78"/>
    <n v="36"/>
    <s v="5011-5012"/>
    <s v="-22.863733"/>
    <s v="-43.3640781"/>
    <x v="2"/>
    <s v="B. Ribeiro (SUP)"/>
    <x v="7"/>
    <s v="19/18 AO 19/22"/>
    <n v="1"/>
    <x v="31"/>
    <x v="31"/>
    <s v="Link"/>
    <s v="Sim"/>
    <x v="28"/>
    <x v="0"/>
    <m/>
    <e v="#VALUE!"/>
    <n v="0"/>
    <x v="0"/>
    <s v="Baixa"/>
    <x v="0"/>
    <s v="Não"/>
    <m/>
    <n v="8"/>
    <n v="12"/>
    <s v="Tarde"/>
  </r>
  <r>
    <x v="36"/>
    <x v="1"/>
    <x v="64"/>
    <n v="54"/>
    <n v="48"/>
    <n v="19"/>
    <s v="5011-5012"/>
    <s v="-22.7234538"/>
    <s v="-43.2956314"/>
    <x v="3"/>
    <s v="Campos Elísio _x000a_(Sobre o Pontillhão)"/>
    <x v="4"/>
    <s v="26/27 AO 26/29"/>
    <m/>
    <x v="32"/>
    <x v="0"/>
    <s v="Link"/>
    <s v="Sim"/>
    <x v="28"/>
    <x v="1"/>
    <d v="2022-09-25T00:00:00"/>
    <e v="#VALUE!"/>
    <n v="40"/>
    <x v="2"/>
    <s v="Baixa"/>
    <x v="0"/>
    <s v="Sim"/>
    <s v="Baixa"/>
    <n v="8"/>
    <n v="7"/>
    <s v="Tarde"/>
  </r>
  <r>
    <x v="36"/>
    <x v="1"/>
    <x v="65"/>
    <n v="171"/>
    <n v="60"/>
    <n v="22"/>
    <s v="5011-5012"/>
    <s v="-22.7445687"/>
    <s v="-43.3072317"/>
    <x v="1"/>
    <s v="S. Camará (SUP)"/>
    <x v="0"/>
    <s v="34/10 AO 34/20"/>
    <n v="2"/>
    <x v="4"/>
    <x v="32"/>
    <s v="Link"/>
    <s v="Sim"/>
    <x v="28"/>
    <x v="0"/>
    <m/>
    <e v="#VALUE!"/>
    <n v="0"/>
    <x v="2"/>
    <s v="Média"/>
    <x v="0"/>
    <s v="Não"/>
    <m/>
    <n v="8"/>
    <n v="12"/>
    <s v="Tarde"/>
  </r>
  <r>
    <x v="36"/>
    <x v="1"/>
    <x v="66"/>
    <n v="460"/>
    <n v="65"/>
    <n v="22"/>
    <s v="5011-5012"/>
    <s v="-22.7233945"/>
    <s v="-43.2956069"/>
    <x v="3"/>
    <s v="Campos Elísio _x000a_(Sobre o Pontillhão)"/>
    <x v="4"/>
    <s v="26/27 AO 26/29"/>
    <m/>
    <x v="32"/>
    <x v="0"/>
    <s v="Link"/>
    <s v="Sim"/>
    <x v="28"/>
    <x v="1"/>
    <d v="2022-09-25T00:00:00"/>
    <e v="#VALUE!"/>
    <n v="40"/>
    <x v="2"/>
    <s v="Média"/>
    <x v="0"/>
    <s v="Sim"/>
    <s v="Baixa"/>
    <n v="8"/>
    <n v="12"/>
    <s v="Tarde"/>
  </r>
  <r>
    <x v="36"/>
    <x v="1"/>
    <x v="67"/>
    <n v="273"/>
    <n v="71"/>
    <n v="22"/>
    <s v="5011-5012"/>
    <s v="-22.8760158"/>
    <s v="-43.4969905"/>
    <x v="1"/>
    <s v="S. Camará (SUP)"/>
    <x v="1"/>
    <s v="33/21 AO 33/23T"/>
    <n v="1"/>
    <x v="30"/>
    <x v="33"/>
    <s v="Link"/>
    <s v="Sim"/>
    <x v="28"/>
    <x v="0"/>
    <m/>
    <e v="#VALUE!"/>
    <n v="0"/>
    <x v="0"/>
    <s v="Média"/>
    <x v="0"/>
    <s v="Não"/>
    <m/>
    <n v="8"/>
    <n v="15"/>
    <s v="Tarde"/>
  </r>
  <r>
    <x v="36"/>
    <x v="1"/>
    <x v="68"/>
    <n v="60"/>
    <n v="71"/>
    <n v="22"/>
    <s v="5011-5012"/>
    <s v=" -22.8759757"/>
    <s v="-43.498182"/>
    <x v="1"/>
    <s v="S. Camará (INF)"/>
    <x v="0"/>
    <s v="34/10 AO 34/20"/>
    <n v="2"/>
    <x v="4"/>
    <x v="32"/>
    <s v="Link"/>
    <s v="Sim"/>
    <x v="28"/>
    <x v="0"/>
    <m/>
    <e v="#VALUE!"/>
    <n v="0"/>
    <x v="0"/>
    <s v="Baixa"/>
    <x v="0"/>
    <s v="Não"/>
    <m/>
    <n v="8"/>
    <n v="16"/>
    <s v="Tarde"/>
  </r>
  <r>
    <x v="37"/>
    <x v="2"/>
    <x v="69"/>
    <n v="64"/>
    <n v="81"/>
    <n v="21"/>
    <s v="5011-5012"/>
    <s v="-22.8668063"/>
    <s v="-43.3539856"/>
    <x v="2"/>
    <s v="Oswaldo Cruz (SUP)"/>
    <x v="7"/>
    <s v="18/14 AO 18/20"/>
    <n v="2"/>
    <x v="16"/>
    <x v="23"/>
    <s v="Link"/>
    <s v="Sim"/>
    <x v="28"/>
    <x v="0"/>
    <m/>
    <e v="#VALUE!"/>
    <n v="0"/>
    <x v="0"/>
    <s v="Baixa"/>
    <x v="0"/>
    <s v="Não"/>
    <m/>
    <n v="8"/>
    <n v="18"/>
    <s v="Noite"/>
  </r>
  <r>
    <x v="38"/>
    <x v="2"/>
    <x v="70"/>
    <n v="91"/>
    <n v="44"/>
    <n v="15"/>
    <s v="5011-5012"/>
    <s v=" -22.8891303"/>
    <s v="-43.5331481"/>
    <x v="1"/>
    <s v="A. Vasconcelos (INF)"/>
    <x v="0"/>
    <s v="38/18 AO 38/20"/>
    <s v="4"/>
    <x v="5"/>
    <x v="0"/>
    <s v="Link"/>
    <s v="Pendente "/>
    <x v="28"/>
    <x v="0"/>
    <m/>
    <e v="#VALUE!"/>
    <n v="0"/>
    <x v="0"/>
    <s v="Baixa"/>
    <x v="0"/>
    <s v="Não"/>
    <m/>
    <n v="8"/>
    <n v="19"/>
    <s v="Noite"/>
  </r>
  <r>
    <x v="39"/>
    <x v="1"/>
    <x v="71"/>
    <n v="52"/>
    <n v="53"/>
    <n v="18"/>
    <s v="5011-5012"/>
    <s v="-22.9100697"/>
    <s v="-43.2186327"/>
    <x v="2"/>
    <s v="P. da Bandeira (SUP)"/>
    <x v="7"/>
    <s v="02/30 AO 02/31"/>
    <s v="4"/>
    <x v="27"/>
    <x v="0"/>
    <s v="Link"/>
    <s v="Sim"/>
    <x v="28"/>
    <x v="0"/>
    <m/>
    <e v="#VALUE!"/>
    <n v="0"/>
    <x v="0"/>
    <s v="Baixa"/>
    <x v="0"/>
    <s v="Não"/>
    <m/>
    <n v="8"/>
    <n v="14"/>
    <s v="Tarde"/>
  </r>
  <r>
    <x v="40"/>
    <x v="2"/>
    <x v="72"/>
    <n v="50"/>
    <n v="45"/>
    <n v="16"/>
    <s v="5011-5012"/>
    <s v="-22.9100928"/>
    <s v="-43.2186025"/>
    <x v="2"/>
    <s v="P. da Bandeira (SUP)"/>
    <x v="7"/>
    <s v="02/30 AO 02/31"/>
    <s v="4"/>
    <x v="27"/>
    <x v="0"/>
    <s v="Link"/>
    <s v="Sim"/>
    <x v="28"/>
    <x v="0"/>
    <m/>
    <e v="#VALUE!"/>
    <n v="0"/>
    <x v="0"/>
    <s v="Baixa"/>
    <x v="0"/>
    <s v="Não"/>
    <m/>
    <n v="8"/>
    <n v="16"/>
    <s v="Tarde"/>
  </r>
  <r>
    <x v="40"/>
    <x v="2"/>
    <x v="73"/>
    <n v="73"/>
    <n v="57"/>
    <n v="22"/>
    <s v="5011-5012"/>
    <s v="-22.7329078"/>
    <s v=" -43.3008066"/>
    <x v="3"/>
    <s v="Gramacho (SUP)"/>
    <x v="4"/>
    <s v="Não identificado"/>
    <s v="1"/>
    <x v="12"/>
    <x v="0"/>
    <s v="Link"/>
    <s v="Pendente "/>
    <x v="6"/>
    <x v="0"/>
    <m/>
    <e v="#VALUE!"/>
    <n v="0"/>
    <x v="0"/>
    <s v="Baixa"/>
    <x v="0"/>
    <s v="Não"/>
    <m/>
    <n v="8"/>
    <n v="14"/>
    <s v="Tarde"/>
  </r>
  <r>
    <x v="40"/>
    <x v="2"/>
    <x v="74"/>
    <n v="185"/>
    <n v="58"/>
    <n v="22"/>
    <s v="5011-5012"/>
    <s v="-22.6961604"/>
    <s v="-43.2715883"/>
    <x v="3"/>
    <s v="Jardim Primavera (INF)"/>
    <x v="4"/>
    <s v="Não identificado"/>
    <s v="1"/>
    <x v="12"/>
    <x v="0"/>
    <s v="Link"/>
    <s v="Pendente "/>
    <x v="6"/>
    <x v="0"/>
    <m/>
    <e v="#VALUE!"/>
    <n v="0"/>
    <x v="0"/>
    <s v="Média"/>
    <x v="0"/>
    <s v="Não"/>
    <m/>
    <n v="8"/>
    <n v="15"/>
    <s v="Tarde"/>
  </r>
  <r>
    <x v="40"/>
    <x v="2"/>
    <x v="75"/>
    <n v="83"/>
    <n v="74"/>
    <n v="16"/>
    <s v="5011-5012"/>
    <s v="-22.8929153"/>
    <s v="-43.3061426"/>
    <x v="2"/>
    <s v="Piedade (INF)"/>
    <x v="7"/>
    <s v="12/18A AO 12/20A"/>
    <n v="1"/>
    <x v="12"/>
    <x v="0"/>
    <s v="Link"/>
    <s v="Pendente "/>
    <x v="0"/>
    <x v="0"/>
    <m/>
    <e v="#VALUE!"/>
    <n v="0"/>
    <x v="0"/>
    <s v="Baixa"/>
    <x v="0"/>
    <s v="Não"/>
    <m/>
    <n v="8"/>
    <n v="17"/>
    <s v="Tarde"/>
  </r>
  <r>
    <x v="41"/>
    <x v="6"/>
    <x v="76"/>
    <n v="144"/>
    <n v="79"/>
    <n v="17"/>
    <s v="5011-5012"/>
    <s v="-22.8885016"/>
    <s v="-43.3125868"/>
    <x v="2"/>
    <s v="Piedade (SUP)"/>
    <x v="7"/>
    <s v="13/16A AO 13/14A"/>
    <n v="2"/>
    <x v="12"/>
    <x v="0"/>
    <s v="Link"/>
    <s v="Pendente "/>
    <x v="0"/>
    <x v="0"/>
    <m/>
    <e v="#VALUE!"/>
    <n v="0"/>
    <x v="0"/>
    <s v="Média"/>
    <x v="0"/>
    <s v="Não"/>
    <m/>
    <n v="8"/>
    <n v="17"/>
    <s v="Tarde"/>
  </r>
  <r>
    <x v="42"/>
    <x v="4"/>
    <x v="77"/>
    <n v="100"/>
    <s v="64 Km/h"/>
    <n v="17"/>
    <s v="5011-5012"/>
    <s v="-22.9086618"/>
    <s v="-43.23607"/>
    <x v="2"/>
    <s v="Maracanã (SUP)"/>
    <x v="7"/>
    <s v="04/31 AO 04/34"/>
    <n v="1"/>
    <x v="12"/>
    <x v="0"/>
    <s v="Link"/>
    <s v="Pendente "/>
    <x v="0"/>
    <x v="0"/>
    <m/>
    <e v="#VALUE!"/>
    <n v="0"/>
    <x v="0"/>
    <s v="Média"/>
    <x v="0"/>
    <s v="Não"/>
    <m/>
    <n v="8"/>
    <n v="17"/>
    <s v="Tarde"/>
  </r>
  <r>
    <x v="42"/>
    <x v="4"/>
    <x v="78"/>
    <n v="53"/>
    <s v="76 Km/h"/>
    <n v="17"/>
    <s v="5011-5012"/>
    <s v="-22.6536288"/>
    <s v="-43.636168"/>
    <x v="0"/>
    <s v="Japeri (INF)"/>
    <x v="1"/>
    <s v="59/09 AO 59/11"/>
    <s v="3"/>
    <x v="10"/>
    <x v="0"/>
    <s v="Link"/>
    <s v="Pendente "/>
    <x v="0"/>
    <x v="0"/>
    <m/>
    <e v="#VALUE!"/>
    <n v="0"/>
    <x v="0"/>
    <s v="Baixa"/>
    <x v="0"/>
    <s v="Não"/>
    <m/>
    <n v="8"/>
    <n v="7"/>
    <s v="Tarde"/>
  </r>
  <r>
    <x v="43"/>
    <x v="2"/>
    <x v="79"/>
    <n v="50"/>
    <s v="70 Km/h"/>
    <n v="21"/>
    <s v="5011-5012"/>
    <s v="-22.677182"/>
    <s v="-43.6084857"/>
    <x v="0"/>
    <s v="Eng. Pedreira (SUP)"/>
    <x v="1"/>
    <s v="55/07U AO 55/09U"/>
    <n v="1"/>
    <x v="33"/>
    <x v="0"/>
    <s v="Link"/>
    <s v="Pendente "/>
    <x v="0"/>
    <x v="0"/>
    <m/>
    <e v="#VALUE!"/>
    <n v="0"/>
    <x v="0"/>
    <s v="Baixa"/>
    <x v="0"/>
    <s v="Não"/>
    <m/>
    <n v="8"/>
    <n v="14"/>
    <s v="Tarde"/>
  </r>
  <r>
    <x v="43"/>
    <x v="2"/>
    <x v="70"/>
    <n v="151"/>
    <s v="71 Km/h"/>
    <n v="15"/>
    <s v="5011-5012"/>
    <s v="-22.864165"/>
    <s v="-43.3618111"/>
    <x v="2"/>
    <s v="B. Ribeiro (Plat.)"/>
    <x v="7"/>
    <s v="19/12 AO 19/14"/>
    <n v="1"/>
    <x v="31"/>
    <x v="0"/>
    <s v="Link"/>
    <s v="Pendente "/>
    <x v="0"/>
    <x v="0"/>
    <m/>
    <e v="#VALUE!"/>
    <n v="0"/>
    <x v="0"/>
    <s v="Média"/>
    <x v="0"/>
    <s v="Não"/>
    <m/>
    <n v="8"/>
    <n v="19"/>
    <s v="Noite"/>
  </r>
  <r>
    <x v="44"/>
    <x v="3"/>
    <x v="80"/>
    <n v="108"/>
    <s v="49 Km/h"/>
    <n v="13"/>
    <s v="5011-5012"/>
    <s v="-22.8890981"/>
    <s v="-43.5332026"/>
    <x v="1"/>
    <s v="A. Vasconcelos (INF)"/>
    <x v="0"/>
    <s v="38/18 AO 38/20"/>
    <s v="4"/>
    <x v="5"/>
    <x v="0"/>
    <s v="Link"/>
    <s v="Pendente "/>
    <x v="0"/>
    <x v="0"/>
    <m/>
    <e v="#VALUE!"/>
    <n v="0"/>
    <x v="0"/>
    <s v="Média"/>
    <x v="0"/>
    <s v="Não"/>
    <m/>
    <n v="8"/>
    <n v="8"/>
    <s v="Tarde"/>
  </r>
  <r>
    <x v="44"/>
    <x v="3"/>
    <x v="81"/>
    <n v="63"/>
    <s v="49 Km/h"/>
    <n v="13"/>
    <s v="5011-5012"/>
    <s v="-22.8974885"/>
    <s v=" -43.2426707"/>
    <x v="4"/>
    <s v="Triagem (INF) "/>
    <x v="3"/>
    <s v="06/18 AO 06/18T"/>
    <s v="1"/>
    <x v="7"/>
    <x v="5"/>
    <s v="Link"/>
    <s v="Sim"/>
    <x v="32"/>
    <x v="0"/>
    <m/>
    <e v="#VALUE!"/>
    <n v="0"/>
    <x v="0"/>
    <s v="Baixa"/>
    <x v="0"/>
    <s v="Não"/>
    <m/>
    <n v="8"/>
    <n v="10"/>
    <s v="Tarde"/>
  </r>
  <r>
    <x v="44"/>
    <x v="3"/>
    <x v="56"/>
    <n v="182"/>
    <s v="73 Km/h"/>
    <n v="21"/>
    <s v="5011-5012"/>
    <s v="-22.8885224"/>
    <s v="-43.3124907"/>
    <x v="2"/>
    <s v="Piedade (SUP)"/>
    <x v="7"/>
    <s v="13/16A AO 13/14A"/>
    <n v="2"/>
    <x v="12"/>
    <x v="0"/>
    <s v="Link"/>
    <s v="Pendente "/>
    <x v="0"/>
    <x v="0"/>
    <m/>
    <e v="#VALUE!"/>
    <n v="0"/>
    <x v="0"/>
    <s v="Média"/>
    <x v="0"/>
    <s v="Não"/>
    <m/>
    <n v="8"/>
    <n v="16"/>
    <s v="Tarde"/>
  </r>
  <r>
    <x v="44"/>
    <x v="3"/>
    <x v="82"/>
    <n v="93"/>
    <s v="74 Km/h"/>
    <n v="13"/>
    <s v="5011-5012"/>
    <s v="-22.6502499"/>
    <s v="-43.6387006"/>
    <x v="0"/>
    <s v="Japeri (INF)"/>
    <x v="1"/>
    <s v="59/25 AO 59/27"/>
    <n v="6"/>
    <x v="10"/>
    <x v="0"/>
    <s v="Link"/>
    <s v="Pendente "/>
    <x v="0"/>
    <x v="0"/>
    <m/>
    <e v="#VALUE!"/>
    <n v="0"/>
    <x v="0"/>
    <s v="Baixa"/>
    <x v="0"/>
    <s v="Não"/>
    <m/>
    <n v="8"/>
    <n v="18"/>
    <s v="Noite"/>
  </r>
  <r>
    <x v="45"/>
    <x v="4"/>
    <x v="83"/>
    <n v="477"/>
    <n v="26"/>
    <n v="26"/>
    <s v="5011-5012"/>
    <s v="-22.6461772"/>
    <s v=" -43.64851"/>
    <x v="0"/>
    <s v="Japeri (Pátio)"/>
    <x v="8"/>
    <s v="60/33 AO 60/35"/>
    <m/>
    <x v="24"/>
    <x v="24"/>
    <s v="Link"/>
    <s v="Sim"/>
    <x v="33"/>
    <x v="1"/>
    <d v="2022-10-17T00:00:00"/>
    <e v="#VALUE!"/>
    <n v="43"/>
    <x v="4"/>
    <s v="Média"/>
    <x v="0"/>
    <s v="Sim"/>
    <s v="Alta"/>
    <n v="9"/>
    <n v="14"/>
    <s v="Tarde"/>
  </r>
  <r>
    <x v="45"/>
    <x v="4"/>
    <x v="84"/>
    <n v="54"/>
    <n v="36"/>
    <n v="12"/>
    <s v="5011-5012"/>
    <s v="-22.7471116"/>
    <s v="-43.3073323"/>
    <x v="3"/>
    <s v="Gramacho (SUP)"/>
    <x v="4"/>
    <s v="23/49 AO 23/53"/>
    <s v="1"/>
    <x v="14"/>
    <x v="0"/>
    <s v="Link"/>
    <s v="Não"/>
    <x v="0"/>
    <x v="0"/>
    <m/>
    <e v="#VALUE!"/>
    <n v="0"/>
    <x v="0"/>
    <s v="Baixa"/>
    <x v="0"/>
    <s v="Não"/>
    <m/>
    <n v="9"/>
    <n v="7"/>
    <s v="Tarde"/>
  </r>
  <r>
    <x v="45"/>
    <x v="4"/>
    <x v="85"/>
    <n v="74"/>
    <n v="43"/>
    <n v="12"/>
    <s v="5011-5012"/>
    <s v="-22.6990829"/>
    <s v="-43.2741481"/>
    <x v="3"/>
    <s v="Campos Elíseos_x000a_(SUP)"/>
    <x v="4"/>
    <s v="Não identificado"/>
    <s v="1"/>
    <x v="12"/>
    <x v="0"/>
    <s v="Link"/>
    <s v="Não"/>
    <x v="0"/>
    <x v="0"/>
    <m/>
    <e v="#VALUE!"/>
    <n v="0"/>
    <x v="0"/>
    <s v="Baixa"/>
    <x v="0"/>
    <s v="Não"/>
    <m/>
    <n v="9"/>
    <n v="8"/>
    <s v="Tarde"/>
  </r>
  <r>
    <x v="45"/>
    <x v="4"/>
    <x v="86"/>
    <n v="82"/>
    <n v="45"/>
    <n v="12"/>
    <s v="5011-5012"/>
    <s v="-22.7439432"/>
    <s v="-43.306884"/>
    <x v="3"/>
    <s v="Gramacho (SUP)"/>
    <x v="4"/>
    <s v="24/09 AO 24/13"/>
    <m/>
    <x v="34"/>
    <x v="34"/>
    <s v="Link"/>
    <s v="Sim"/>
    <x v="34"/>
    <x v="1"/>
    <d v="2022-09-25T00:00:00"/>
    <e v="#VALUE!"/>
    <n v="40"/>
    <x v="2"/>
    <s v="Baixa"/>
    <x v="0"/>
    <s v="Sim"/>
    <s v="Alta"/>
    <n v="9"/>
    <n v="8"/>
    <s v="Tarde"/>
  </r>
  <r>
    <x v="45"/>
    <x v="4"/>
    <x v="87"/>
    <n v="110"/>
    <n v="53"/>
    <n v="12"/>
    <s v="5011-5012"/>
    <s v="-22.6961565"/>
    <s v="-43.2715529"/>
    <x v="3"/>
    <s v="Jardim Primavera (INF)"/>
    <x v="4"/>
    <s v="Não identificado"/>
    <s v="1"/>
    <x v="12"/>
    <x v="0"/>
    <s v="Link"/>
    <s v="Não"/>
    <x v="6"/>
    <x v="0"/>
    <m/>
    <e v="#VALUE!"/>
    <n v="0"/>
    <x v="0"/>
    <s v="Média"/>
    <x v="0"/>
    <s v="Não"/>
    <m/>
    <n v="9"/>
    <n v="8"/>
    <s v="Tarde"/>
  </r>
  <r>
    <x v="45"/>
    <x v="4"/>
    <x v="88"/>
    <n v="80"/>
    <n v="53"/>
    <n v="12"/>
    <s v="5011-5012"/>
    <s v="-22.7439373"/>
    <s v="-43.3069149"/>
    <x v="3"/>
    <s v="Gramacho (SUP)"/>
    <x v="4"/>
    <s v="24/09 AO 24/13"/>
    <m/>
    <x v="34"/>
    <x v="34"/>
    <s v="Link"/>
    <s v="Sim"/>
    <x v="6"/>
    <x v="1"/>
    <d v="2022-09-25T00:00:00"/>
    <e v="#VALUE!"/>
    <n v="40"/>
    <x v="2"/>
    <s v="Baixa"/>
    <x v="0"/>
    <s v="Sim"/>
    <s v="Alta"/>
    <n v="9"/>
    <n v="10"/>
    <s v="Tarde"/>
  </r>
  <r>
    <x v="45"/>
    <x v="4"/>
    <x v="89"/>
    <n v="71"/>
    <n v="56"/>
    <n v="12"/>
    <s v="5011-5012"/>
    <s v="-22.7329105"/>
    <s v="-43.3007786"/>
    <x v="3"/>
    <s v="Gramacho (SUP)"/>
    <x v="4"/>
    <s v="Não identificado"/>
    <s v="1"/>
    <x v="12"/>
    <x v="0"/>
    <s v="Link"/>
    <s v="Não"/>
    <x v="6"/>
    <x v="0"/>
    <m/>
    <e v="#VALUE!"/>
    <n v="0"/>
    <x v="0"/>
    <s v="Baixa"/>
    <x v="0"/>
    <s v="Não"/>
    <m/>
    <n v="9"/>
    <n v="8"/>
    <s v="Tarde"/>
  </r>
  <r>
    <x v="45"/>
    <x v="4"/>
    <x v="90"/>
    <n v="92"/>
    <n v="56"/>
    <n v="12"/>
    <s v="5011-5012"/>
    <s v="-22.6961576"/>
    <s v=" -43.2716218"/>
    <x v="3"/>
    <s v="Jardim Primavera (INF)"/>
    <x v="4"/>
    <s v="Não identificado"/>
    <s v="1"/>
    <x v="12"/>
    <x v="0"/>
    <s v="Link"/>
    <s v="Não"/>
    <x v="6"/>
    <x v="0"/>
    <m/>
    <e v="#VALUE!"/>
    <n v="0"/>
    <x v="0"/>
    <s v="Baixa"/>
    <x v="0"/>
    <s v="Não"/>
    <m/>
    <n v="9"/>
    <n v="9"/>
    <s v="Tarde"/>
  </r>
  <r>
    <x v="45"/>
    <x v="4"/>
    <x v="91"/>
    <n v="59"/>
    <n v="57"/>
    <n v="12"/>
    <s v="5011-5012"/>
    <s v="-22.7439396"/>
    <s v="-43.3069296"/>
    <x v="3"/>
    <s v="Gramacho (SUP)"/>
    <x v="4"/>
    <s v="24/09 AO 24/13"/>
    <m/>
    <x v="34"/>
    <x v="34"/>
    <s v="Link"/>
    <s v="Sim"/>
    <x v="6"/>
    <x v="1"/>
    <d v="2022-09-25T00:00:00"/>
    <e v="#VALUE!"/>
    <n v="40"/>
    <x v="2"/>
    <s v="Baixa"/>
    <x v="0"/>
    <s v="Sim"/>
    <s v="Alta"/>
    <n v="9"/>
    <n v="9"/>
    <s v="Tarde"/>
  </r>
  <r>
    <x v="45"/>
    <x v="4"/>
    <x v="92"/>
    <n v="158"/>
    <n v="58"/>
    <n v="12"/>
    <s v="5011-5012"/>
    <s v="-22.7234473"/>
    <s v="-43.2956501"/>
    <x v="3"/>
    <s v="Campos Elísio _x000a_(Sobre o Pontillhão)"/>
    <x v="4"/>
    <s v="26/27 AO 26/29"/>
    <m/>
    <x v="32"/>
    <x v="0"/>
    <s v="Link"/>
    <s v="Sim"/>
    <x v="35"/>
    <x v="1"/>
    <d v="2022-09-25T00:00:00"/>
    <e v="#VALUE!"/>
    <n v="40"/>
    <x v="2"/>
    <s v="Média"/>
    <x v="0"/>
    <s v="Não"/>
    <s v="Baixa"/>
    <n v="9"/>
    <n v="7"/>
    <s v="Tarde"/>
  </r>
  <r>
    <x v="45"/>
    <x v="4"/>
    <x v="93"/>
    <n v="167"/>
    <n v="58"/>
    <n v="12"/>
    <s v="5011-5012"/>
    <s v="-22.7439326"/>
    <s v="-43.3069162"/>
    <x v="3"/>
    <s v="Gramacho (SUP)"/>
    <x v="4"/>
    <s v="24/09 AO 24/13"/>
    <m/>
    <x v="34"/>
    <x v="34"/>
    <s v="Link"/>
    <s v="Sim"/>
    <x v="6"/>
    <x v="1"/>
    <d v="2022-09-25T00:00:00"/>
    <e v="#VALUE!"/>
    <n v="40"/>
    <x v="2"/>
    <s v="Média"/>
    <x v="0"/>
    <s v="Sim"/>
    <s v="Alta"/>
    <n v="9"/>
    <n v="7"/>
    <s v="Tarde"/>
  </r>
  <r>
    <x v="45"/>
    <x v="4"/>
    <x v="94"/>
    <n v="163"/>
    <n v="59"/>
    <n v="12"/>
    <s v="5011-5012"/>
    <s v="-22.7328316"/>
    <s v="-43.3007656"/>
    <x v="3"/>
    <s v="Gramacho (SUP)"/>
    <x v="4"/>
    <s v="Não identificado"/>
    <s v="1"/>
    <x v="12"/>
    <x v="0"/>
    <s v="Link"/>
    <s v="Não"/>
    <x v="6"/>
    <x v="0"/>
    <m/>
    <e v="#VALUE!"/>
    <n v="0"/>
    <x v="2"/>
    <s v="Média"/>
    <x v="0"/>
    <s v="Não"/>
    <m/>
    <n v="9"/>
    <n v="8"/>
    <s v="Tarde"/>
  </r>
  <r>
    <x v="45"/>
    <x v="4"/>
    <x v="95"/>
    <n v="102"/>
    <n v="59"/>
    <n v="12"/>
    <s v="5011-5012"/>
    <s v="-22.7296467"/>
    <s v="-43.2989984"/>
    <x v="3"/>
    <s v="Gramacho (SUP)"/>
    <x v="4"/>
    <s v="Não identificado"/>
    <s v="1"/>
    <x v="12"/>
    <x v="0"/>
    <s v="Link"/>
    <s v="Não"/>
    <x v="6"/>
    <x v="0"/>
    <m/>
    <e v="#VALUE!"/>
    <n v="0"/>
    <x v="2"/>
    <s v="Média"/>
    <x v="0"/>
    <s v="Não"/>
    <m/>
    <n v="9"/>
    <n v="10"/>
    <s v="Tarde"/>
  </r>
  <r>
    <x v="45"/>
    <x v="4"/>
    <x v="96"/>
    <n v="66"/>
    <n v="64"/>
    <n v="26"/>
    <s v="5011-5012"/>
    <s v="-22.7683297"/>
    <s v="-43.4351471"/>
    <x v="0"/>
    <s v="P. Juscelino (SUP)"/>
    <x v="0"/>
    <s v="33/18A AO 33/22A"/>
    <s v="1"/>
    <x v="30"/>
    <x v="0"/>
    <s v="Link"/>
    <s v="Não"/>
    <x v="0"/>
    <x v="0"/>
    <m/>
    <e v="#VALUE!"/>
    <n v="0"/>
    <x v="2"/>
    <s v="Baixa"/>
    <x v="0"/>
    <s v="Não"/>
    <m/>
    <n v="9"/>
    <n v="15"/>
    <s v="Tarde"/>
  </r>
  <r>
    <x v="45"/>
    <x v="4"/>
    <x v="57"/>
    <n v="475"/>
    <s v="59 Km/h"/>
    <n v="26"/>
    <s v="5011-5012"/>
    <s v="-22.6961762"/>
    <s v="-43.2715908"/>
    <x v="3"/>
    <s v="Jardim Primavera (INF)"/>
    <x v="4"/>
    <s v="Não identificado"/>
    <s v="1"/>
    <x v="12"/>
    <x v="0"/>
    <s v="Link"/>
    <s v="Pendente "/>
    <x v="0"/>
    <x v="0"/>
    <m/>
    <e v="#VALUE!"/>
    <n v="0"/>
    <x v="0"/>
    <s v="Média"/>
    <x v="0"/>
    <s v="Não"/>
    <m/>
    <n v="9"/>
    <n v="7"/>
    <s v="Tarde"/>
  </r>
  <r>
    <x v="45"/>
    <x v="4"/>
    <x v="97"/>
    <n v="76"/>
    <s v="63 Km/h"/>
    <n v="12"/>
    <s v="5011-5012"/>
    <s v=" -22.6961515"/>
    <s v="-43.2716135"/>
    <x v="3"/>
    <s v="J. Primavera (INF)"/>
    <x v="4"/>
    <s v="Não identificado"/>
    <s v="1"/>
    <x v="12"/>
    <x v="0"/>
    <s v="Link"/>
    <s v="Não"/>
    <x v="0"/>
    <x v="0"/>
    <m/>
    <e v="#VALUE!"/>
    <n v="0"/>
    <x v="0"/>
    <s v="Baixa"/>
    <x v="0"/>
    <s v="Não"/>
    <m/>
    <n v="9"/>
    <n v="6"/>
    <s v="Tarde"/>
  </r>
  <r>
    <x v="46"/>
    <x v="1"/>
    <x v="98"/>
    <n v="603"/>
    <n v="53"/>
    <n v="29"/>
    <s v="5011-5012"/>
    <s v="-22.7440165"/>
    <s v="-43.306947"/>
    <x v="3"/>
    <s v="Gramacho (SUP)"/>
    <x v="4"/>
    <s v="24/09 AO 24/13"/>
    <m/>
    <x v="34"/>
    <x v="34"/>
    <s v="Link"/>
    <s v="Sim"/>
    <x v="6"/>
    <x v="1"/>
    <d v="2022-09-25T00:00:00"/>
    <e v="#VALUE!"/>
    <n v="40"/>
    <x v="2"/>
    <s v="Alta"/>
    <x v="1"/>
    <s v="Sim"/>
    <s v="Alta"/>
    <n v="9"/>
    <n v="11"/>
    <s v="Tarde"/>
  </r>
  <r>
    <x v="46"/>
    <x v="1"/>
    <x v="99"/>
    <n v="61"/>
    <n v="56"/>
    <n v="29"/>
    <s v="5011-5012"/>
    <s v="-22.6961457"/>
    <s v="-43.2716153"/>
    <x v="3"/>
    <s v="J. Primavera (INF)"/>
    <x v="4"/>
    <s v="Não identificado"/>
    <s v="1"/>
    <x v="12"/>
    <x v="0"/>
    <s v="Link"/>
    <s v="Não"/>
    <x v="6"/>
    <x v="0"/>
    <m/>
    <e v="#VALUE!"/>
    <n v="0"/>
    <x v="0"/>
    <s v="Baixa"/>
    <x v="0"/>
    <s v="Não"/>
    <m/>
    <n v="9"/>
    <n v="11"/>
    <s v="Tarde"/>
  </r>
  <r>
    <x v="46"/>
    <x v="1"/>
    <x v="29"/>
    <n v="286"/>
    <n v="57"/>
    <n v="29"/>
    <s v="5011-5012"/>
    <s v="-22.7439121"/>
    <s v="-43.3069064"/>
    <x v="3"/>
    <s v="Gramacho (SUP)"/>
    <x v="4"/>
    <s v="24/09 AO 24/13"/>
    <m/>
    <x v="34"/>
    <x v="34"/>
    <s v="Link"/>
    <s v="Sim"/>
    <x v="6"/>
    <x v="1"/>
    <d v="2022-09-25T00:00:00"/>
    <e v="#VALUE!"/>
    <n v="40"/>
    <x v="2"/>
    <s v="Média"/>
    <x v="0"/>
    <s v="Sim"/>
    <s v="Alta"/>
    <n v="9"/>
    <n v="15"/>
    <s v="Tarde"/>
  </r>
  <r>
    <x v="46"/>
    <x v="1"/>
    <x v="100"/>
    <n v="54"/>
    <n v="58"/>
    <n v="15"/>
    <s v="5011-5012"/>
    <s v="-22.7438727"/>
    <s v="-43.3069012"/>
    <x v="3"/>
    <s v="Gramacho (SUP)"/>
    <x v="4"/>
    <s v="24/09 AO 24/13"/>
    <m/>
    <x v="34"/>
    <x v="34"/>
    <s v="Link"/>
    <s v="Sim"/>
    <x v="6"/>
    <x v="1"/>
    <d v="2022-09-25T00:00:00"/>
    <e v="#VALUE!"/>
    <n v="40"/>
    <x v="2"/>
    <s v="Baixa"/>
    <x v="0"/>
    <s v="Sim"/>
    <s v="Alta"/>
    <n v="9"/>
    <n v="7"/>
    <s v="Tarde"/>
  </r>
  <r>
    <x v="46"/>
    <x v="1"/>
    <x v="101"/>
    <n v="84"/>
    <n v="60"/>
    <n v="15"/>
    <s v="5011-5012"/>
    <s v=" -22.7328407"/>
    <s v="-43.3007619"/>
    <x v="3"/>
    <s v="Gramacho (SUP)"/>
    <x v="4"/>
    <s v="Não identificado"/>
    <s v="1"/>
    <x v="12"/>
    <x v="0"/>
    <s v="Link"/>
    <s v="Pendente "/>
    <x v="6"/>
    <x v="0"/>
    <m/>
    <e v="#VALUE!"/>
    <n v="0"/>
    <x v="2"/>
    <s v="Baixa"/>
    <x v="0"/>
    <s v="Não"/>
    <m/>
    <n v="9"/>
    <n v="6"/>
    <s v="Tarde"/>
  </r>
  <r>
    <x v="46"/>
    <x v="1"/>
    <x v="13"/>
    <n v="118"/>
    <n v="61"/>
    <n v="15"/>
    <s v="5011-5012"/>
    <s v="-22.7287123"/>
    <s v="-43.2985036"/>
    <x v="3"/>
    <s v="Gramacho (SUP)"/>
    <x v="4"/>
    <s v="Não identificado"/>
    <s v="1"/>
    <x v="12"/>
    <x v="0"/>
    <s v="Link"/>
    <s v="Não"/>
    <x v="6"/>
    <x v="0"/>
    <m/>
    <e v="#VALUE!"/>
    <n v="0"/>
    <x v="2"/>
    <s v="Média"/>
    <x v="0"/>
    <s v="Não"/>
    <m/>
    <n v="9"/>
    <n v="7"/>
    <s v="Tarde"/>
  </r>
  <r>
    <x v="47"/>
    <x v="6"/>
    <x v="102"/>
    <n v="152"/>
    <n v="65"/>
    <n v="26"/>
    <s v="5011-5012"/>
    <s v="-22.9100816"/>
    <s v="-43.2186603"/>
    <x v="2"/>
    <s v="P. da Bandeira (SUP)"/>
    <x v="7"/>
    <s v="02/30 AO 02/31"/>
    <s v="4"/>
    <x v="27"/>
    <x v="0"/>
    <s v="Link"/>
    <s v="Sim"/>
    <x v="28"/>
    <x v="0"/>
    <m/>
    <e v="#VALUE!"/>
    <n v="0"/>
    <x v="0"/>
    <s v="Média"/>
    <x v="0"/>
    <s v="Não"/>
    <m/>
    <n v="9"/>
    <n v="16"/>
    <s v="Tarde"/>
  </r>
  <r>
    <x v="48"/>
    <x v="3"/>
    <x v="103"/>
    <n v="51"/>
    <n v="31"/>
    <n v="26"/>
    <s v="5011-5012"/>
    <n v="-22888039"/>
    <s v="-43.2513437"/>
    <x v="5"/>
    <s v="Triagem (SUP)"/>
    <x v="1"/>
    <s v="Não identificado"/>
    <s v="1"/>
    <x v="12"/>
    <x v="0"/>
    <s v="Link"/>
    <s v="Não"/>
    <x v="0"/>
    <x v="0"/>
    <m/>
    <e v="#VALUE!"/>
    <n v="0"/>
    <x v="0"/>
    <s v="Baixa"/>
    <x v="0"/>
    <s v="Não"/>
    <m/>
    <n v="9"/>
    <n v="16"/>
    <s v="Tarde"/>
  </r>
  <r>
    <x v="49"/>
    <x v="4"/>
    <x v="104"/>
    <n v="96"/>
    <n v="28"/>
    <n v="17"/>
    <s v="5011-5012"/>
    <s v="-22.6461314"/>
    <s v="-43.6485506"/>
    <x v="0"/>
    <s v="Japeri (Pátio)"/>
    <x v="8"/>
    <s v="60/33 AO 60/35"/>
    <m/>
    <x v="24"/>
    <x v="24"/>
    <s v="Link"/>
    <s v="Sim"/>
    <x v="36"/>
    <x v="1"/>
    <d v="2022-10-17T00:00:00"/>
    <e v="#VALUE!"/>
    <n v="43"/>
    <x v="4"/>
    <s v="Baixa"/>
    <x v="0"/>
    <s v="Sim"/>
    <s v="Alta"/>
    <n v="9"/>
    <n v="6"/>
    <s v="Tarde"/>
  </r>
  <r>
    <x v="50"/>
    <x v="5"/>
    <x v="105"/>
    <n v="119"/>
    <n v="40"/>
    <n v="20"/>
    <s v="5011-5012"/>
    <s v="-22.8891807"/>
    <s v="-43.5331786"/>
    <x v="1"/>
    <s v="A. Vasconcelos (INF)"/>
    <x v="0"/>
    <s v="38/18 AO 38/20"/>
    <s v="4"/>
    <x v="5"/>
    <x v="0"/>
    <s v="Link"/>
    <s v="Não"/>
    <x v="0"/>
    <x v="0"/>
    <m/>
    <e v="#VALUE!"/>
    <n v="0"/>
    <x v="0"/>
    <s v="Média"/>
    <x v="0"/>
    <s v="Não"/>
    <m/>
    <n v="9"/>
    <n v="7"/>
    <s v="Tarde"/>
  </r>
  <r>
    <x v="50"/>
    <x v="5"/>
    <x v="106"/>
    <n v="76"/>
    <n v="61"/>
    <n v="20"/>
    <s v="5011-5012"/>
    <s v="-22.9094212"/>
    <s v="-43.5972184"/>
    <x v="1"/>
    <s v="Inhoaiba (SUP)"/>
    <x v="0"/>
    <s v="45/18 AO 48/16"/>
    <s v="1"/>
    <x v="11"/>
    <x v="0"/>
    <s v="Link"/>
    <s v="Não"/>
    <x v="6"/>
    <x v="0"/>
    <m/>
    <e v="#VALUE!"/>
    <n v="0"/>
    <x v="0"/>
    <s v="Baixa"/>
    <x v="0"/>
    <s v="Não"/>
    <m/>
    <n v="9"/>
    <n v="7"/>
    <s v="Tarde"/>
  </r>
  <r>
    <x v="51"/>
    <x v="1"/>
    <x v="53"/>
    <n v="403"/>
    <n v="15"/>
    <n v="20"/>
    <s v="5011-5012"/>
    <s v="-22.9063556"/>
    <s v="-43.2034535"/>
    <x v="2"/>
    <s v="SDO"/>
    <x v="9"/>
    <s v="Não identificado"/>
    <s v="1"/>
    <x v="12"/>
    <x v="0"/>
    <s v="Link"/>
    <s v="Não"/>
    <x v="0"/>
    <x v="0"/>
    <m/>
    <e v="#VALUE!"/>
    <n v="0"/>
    <x v="0"/>
    <s v="Média"/>
    <x v="0"/>
    <s v="Não"/>
    <m/>
    <n v="9"/>
    <n v="6"/>
    <s v="Tarde"/>
  </r>
  <r>
    <x v="52"/>
    <x v="2"/>
    <x v="107"/>
    <n v="51"/>
    <n v="51"/>
    <n v="22"/>
    <s v="5011-5012"/>
    <s v="-22.8627541"/>
    <s v="-43.2570045"/>
    <x v="3"/>
    <s v="Bonsucesso (SUP)"/>
    <x v="1"/>
    <s v="Não identificado"/>
    <s v="1"/>
    <x v="12"/>
    <x v="0"/>
    <s v="Link"/>
    <s v="Não"/>
    <x v="6"/>
    <x v="0"/>
    <m/>
    <e v="#VALUE!"/>
    <n v="0"/>
    <x v="0"/>
    <s v="Baixa"/>
    <x v="0"/>
    <s v="Não"/>
    <m/>
    <n v="9"/>
    <n v="16"/>
    <s v="Tarde"/>
  </r>
  <r>
    <x v="53"/>
    <x v="6"/>
    <x v="108"/>
    <n v="720"/>
    <n v="78"/>
    <n v="18"/>
    <s v="5011-5012"/>
    <s v=" -22.8955882"/>
    <s v="-43.2969583"/>
    <x v="2"/>
    <s v="E. Dentro (SUP)"/>
    <x v="2"/>
    <s v="11/22A AO 11/24A"/>
    <m/>
    <x v="13"/>
    <x v="10"/>
    <s v="Link"/>
    <s v="Sim"/>
    <x v="37"/>
    <x v="1"/>
    <d v="2022-10-11T00:00:00"/>
    <e v="#VALUE!"/>
    <n v="42"/>
    <x v="3"/>
    <s v="Alta"/>
    <x v="1"/>
    <s v="Sim"/>
    <s v="Baixa"/>
    <n v="9"/>
    <n v="10"/>
    <s v="Tarde"/>
  </r>
  <r>
    <x v="54"/>
    <x v="3"/>
    <x v="109"/>
    <n v="76"/>
    <n v="40"/>
    <n v="21"/>
    <s v="5011-5012"/>
    <s v="-22.8161779"/>
    <s v="-43.410595"/>
    <x v="0"/>
    <s v="Olinda (SUP)"/>
    <x v="0"/>
    <s v="27/40A AO 28/02"/>
    <s v="2"/>
    <x v="35"/>
    <x v="0"/>
    <s v="Link"/>
    <s v="Não"/>
    <x v="0"/>
    <x v="0"/>
    <m/>
    <e v="#VALUE!"/>
    <n v="0"/>
    <x v="0"/>
    <s v="Baixa"/>
    <x v="0"/>
    <s v="Não"/>
    <m/>
    <n v="9"/>
    <n v="9"/>
    <s v="Tarde"/>
  </r>
  <r>
    <x v="55"/>
    <x v="4"/>
    <x v="110"/>
    <n v="75"/>
    <n v="62"/>
    <n v="23"/>
    <s v="5011-5012"/>
    <s v="-22.7165775"/>
    <s v="-43.5392728"/>
    <x v="0"/>
    <s v="Austin (SUP)"/>
    <x v="1"/>
    <s v="46/08 AO 46/10"/>
    <s v="1"/>
    <x v="36"/>
    <x v="0"/>
    <s v="Link"/>
    <s v="Não"/>
    <x v="6"/>
    <x v="0"/>
    <m/>
    <e v="#VALUE!"/>
    <n v="0"/>
    <x v="0"/>
    <s v="Baixa"/>
    <x v="0"/>
    <s v="Não"/>
    <m/>
    <n v="9"/>
    <n v="14"/>
    <s v="Tarde"/>
  </r>
  <r>
    <x v="56"/>
    <x v="1"/>
    <x v="111"/>
    <n v="113"/>
    <n v="52"/>
    <n v="16"/>
    <s v="5011-5012"/>
    <s v="-22.6961338"/>
    <s v="-43.2714913"/>
    <x v="3"/>
    <s v="Jardim Primavera (SUP)"/>
    <x v="4"/>
    <s v="Não identificado"/>
    <s v="1"/>
    <x v="12"/>
    <x v="0"/>
    <s v="Link"/>
    <s v="Não"/>
    <x v="6"/>
    <x v="0"/>
    <m/>
    <e v="#VALUE!"/>
    <n v="0"/>
    <x v="0"/>
    <s v="Média"/>
    <x v="0"/>
    <s v="Não"/>
    <m/>
    <n v="9"/>
    <n v="7"/>
    <s v="Tarde"/>
  </r>
  <r>
    <x v="56"/>
    <x v="1"/>
    <x v="112"/>
    <n v="105"/>
    <n v="54"/>
    <n v="16"/>
    <s v="5011-5012"/>
    <s v="-22.7328345"/>
    <s v="-43.3007623"/>
    <x v="3"/>
    <s v="Gramacho (SUP)"/>
    <x v="4"/>
    <s v="Não identificado"/>
    <s v="1"/>
    <x v="12"/>
    <x v="0"/>
    <s v="Link"/>
    <s v="Não"/>
    <x v="6"/>
    <x v="0"/>
    <m/>
    <e v="#VALUE!"/>
    <n v="0"/>
    <x v="0"/>
    <s v="Média"/>
    <x v="0"/>
    <s v="Não"/>
    <m/>
    <n v="9"/>
    <n v="10"/>
    <s v="Tarde"/>
  </r>
  <r>
    <x v="56"/>
    <x v="1"/>
    <x v="103"/>
    <n v="75"/>
    <n v="81"/>
    <n v="23"/>
    <s v="5011-5012"/>
    <s v="-22.8760318"/>
    <s v="-43.4981137"/>
    <x v="1"/>
    <s v="Senador Camará _x000a_(SUP)"/>
    <x v="1"/>
    <s v="34/13T AO 34/17"/>
    <s v="1"/>
    <x v="4"/>
    <x v="0"/>
    <s v="Link"/>
    <s v="Não"/>
    <x v="0"/>
    <x v="0"/>
    <m/>
    <e v="#VALUE!"/>
    <n v="0"/>
    <x v="0"/>
    <s v="Baixa"/>
    <x v="0"/>
    <s v="Não"/>
    <m/>
    <n v="9"/>
    <n v="16"/>
    <s v="Tarde"/>
  </r>
  <r>
    <x v="57"/>
    <x v="5"/>
    <x v="113"/>
    <n v="83"/>
    <n v="19"/>
    <n v="18"/>
    <s v="5011-5012"/>
    <s v="-22.6461314"/>
    <s v="-43.6484585"/>
    <x v="0"/>
    <s v="Japeri (Pátio)"/>
    <x v="8"/>
    <s v="60/33 AO 60/35"/>
    <m/>
    <x v="24"/>
    <x v="24"/>
    <s v="Link"/>
    <s v="Sim"/>
    <x v="36"/>
    <x v="1"/>
    <d v="2022-10-17T00:00:00"/>
    <e v="#VALUE!"/>
    <n v="43"/>
    <x v="4"/>
    <s v="Baixa"/>
    <x v="0"/>
    <s v="Sim"/>
    <s v="Alta"/>
    <n v="9"/>
    <n v="7"/>
    <s v="Tarde"/>
  </r>
  <r>
    <x v="57"/>
    <x v="5"/>
    <x v="114"/>
    <n v="52"/>
    <n v="68"/>
    <n v="24"/>
    <s v="5011-5012"/>
    <s v="-22.7633359"/>
    <s v="-43.304133"/>
    <x v="3"/>
    <s v="Gramacho (INF)"/>
    <x v="9"/>
    <s v="Não identificado"/>
    <s v="1"/>
    <x v="12"/>
    <x v="0"/>
    <s v="Link"/>
    <s v="Não"/>
    <x v="0"/>
    <x v="0"/>
    <m/>
    <e v="#VALUE!"/>
    <n v="0"/>
    <x v="0"/>
    <s v="Baixa"/>
    <x v="0"/>
    <s v="Não"/>
    <m/>
    <n v="9"/>
    <n v="12"/>
    <s v="Tarde"/>
  </r>
  <r>
    <x v="58"/>
    <x v="4"/>
    <x v="115"/>
    <n v="54"/>
    <n v="57"/>
    <n v="20"/>
    <s v="5011-5012"/>
    <s v=" -22.7746902"/>
    <s v="-43.3071793"/>
    <x v="4"/>
    <s v="Corte 8 (INF)"/>
    <x v="1"/>
    <s v="20/21 AO 20/23"/>
    <s v="2"/>
    <x v="37"/>
    <x v="0"/>
    <s v="Link"/>
    <s v="Não"/>
    <x v="6"/>
    <x v="0"/>
    <m/>
    <e v="#VALUE!"/>
    <n v="0"/>
    <x v="0"/>
    <s v="Baixa"/>
    <x v="0"/>
    <s v="Não"/>
    <m/>
    <n v="9"/>
    <n v="16"/>
    <s v="Tarde"/>
  </r>
  <r>
    <x v="59"/>
    <x v="2"/>
    <x v="116"/>
    <n v="664"/>
    <n v="34"/>
    <n v="23"/>
    <s v="5011-5012"/>
    <s v="-22.6461622"/>
    <s v="-43.648539"/>
    <x v="0"/>
    <s v="Japeri (Pátio)"/>
    <x v="8"/>
    <s v="60/33 AO 60/35"/>
    <m/>
    <x v="24"/>
    <x v="24"/>
    <s v="Link"/>
    <s v="Sim"/>
    <x v="36"/>
    <x v="1"/>
    <d v="2022-10-17T00:00:00"/>
    <e v="#VALUE!"/>
    <n v="43"/>
    <x v="4"/>
    <s v="Alta"/>
    <x v="1"/>
    <s v="Sim"/>
    <s v="Alta"/>
    <n v="10"/>
    <n v="13"/>
    <s v="Tarde"/>
  </r>
  <r>
    <x v="60"/>
    <x v="6"/>
    <x v="102"/>
    <n v="465"/>
    <n v="31"/>
    <n v="24"/>
    <s v="5011-5012"/>
    <s v="-22.6462261"/>
    <s v="-43.6484426"/>
    <x v="0"/>
    <s v="Japeri (Pátio)"/>
    <x v="8"/>
    <s v="60/33 AO 60/35"/>
    <m/>
    <x v="24"/>
    <x v="24"/>
    <s v="Link"/>
    <s v="Sim"/>
    <x v="36"/>
    <x v="1"/>
    <d v="2022-10-17T00:00:00"/>
    <e v="#VALUE!"/>
    <n v="43"/>
    <x v="4"/>
    <s v="Média"/>
    <x v="0"/>
    <s v="Sim"/>
    <s v="Alta"/>
    <n v="10"/>
    <n v="16"/>
    <s v="Tarde"/>
  </r>
  <r>
    <x v="61"/>
    <x v="3"/>
    <x v="117"/>
    <n v="184"/>
    <n v="51"/>
    <n v="20"/>
    <s v="5011-5012"/>
    <s v="-22.7747346"/>
    <s v="-43.3071669"/>
    <x v="4"/>
    <s v="Corte 8 (INF)"/>
    <x v="1"/>
    <s v="20/21 AO 20/23"/>
    <s v="2"/>
    <x v="37"/>
    <x v="0"/>
    <s v="Link"/>
    <s v="Não"/>
    <x v="0"/>
    <x v="0"/>
    <m/>
    <e v="#VALUE!"/>
    <n v="0"/>
    <x v="0"/>
    <s v="Média"/>
    <x v="0"/>
    <s v="Não"/>
    <m/>
    <n v="10"/>
    <n v="10"/>
    <s v="Tarde"/>
  </r>
  <r>
    <x v="61"/>
    <x v="3"/>
    <x v="118"/>
    <n v="113"/>
    <n v="60"/>
    <n v="20"/>
    <s v="5011-5012"/>
    <s v="-22.7748468"/>
    <s v="-43.3071979"/>
    <x v="4"/>
    <s v="Corte 8 (INF)"/>
    <x v="1"/>
    <s v="20/19 AO 20/21"/>
    <s v="4"/>
    <x v="37"/>
    <x v="0"/>
    <s v="Link"/>
    <s v="Não"/>
    <x v="0"/>
    <x v="0"/>
    <m/>
    <e v="#VALUE!"/>
    <n v="0"/>
    <x v="0"/>
    <s v="Média"/>
    <x v="0"/>
    <s v="Não"/>
    <m/>
    <n v="10"/>
    <n v="17"/>
    <s v="Tarde"/>
  </r>
  <r>
    <x v="62"/>
    <x v="1"/>
    <x v="119"/>
    <n v="60"/>
    <n v="58"/>
    <n v="25"/>
    <s v="5011-5012"/>
    <s v="-22.7328092"/>
    <s v="-43.3007918"/>
    <x v="3"/>
    <s v="Gramacho (SUP)"/>
    <x v="4"/>
    <s v="Não identificado"/>
    <s v="1"/>
    <x v="12"/>
    <x v="0"/>
    <s v="Link"/>
    <s v="Não"/>
    <x v="0"/>
    <x v="0"/>
    <m/>
    <e v="#VALUE!"/>
    <n v="0"/>
    <x v="0"/>
    <s v="Baixa"/>
    <x v="0"/>
    <s v="Não"/>
    <m/>
    <n v="10"/>
    <n v="13"/>
    <s v="Tarde"/>
  </r>
  <r>
    <x v="62"/>
    <x v="1"/>
    <x v="42"/>
    <n v="76"/>
    <n v="53"/>
    <n v="25"/>
    <s v="5011-5012"/>
    <s v="-22.7445588"/>
    <s v="-43.3072124"/>
    <x v="3"/>
    <s v="Gramacho (SUP)"/>
    <x v="4"/>
    <s v="Não identificado"/>
    <s v="1"/>
    <x v="12"/>
    <x v="0"/>
    <s v="Link"/>
    <s v="Não"/>
    <x v="0"/>
    <x v="0"/>
    <m/>
    <e v="#VALUE!"/>
    <n v="0"/>
    <x v="0"/>
    <s v="Baixa"/>
    <x v="0"/>
    <s v="Não"/>
    <m/>
    <n v="10"/>
    <n v="13"/>
    <s v="Tarde"/>
  </r>
  <r>
    <x v="62"/>
    <x v="1"/>
    <x v="55"/>
    <n v="152"/>
    <n v="58"/>
    <n v="25"/>
    <s v="5011-5012"/>
    <s v="-22.6923297"/>
    <s v="-43.2644187"/>
    <x v="3"/>
    <s v="J. Primavera (INF)"/>
    <x v="4"/>
    <s v="Não identificado"/>
    <s v="1"/>
    <x v="12"/>
    <x v="0"/>
    <s v="Link"/>
    <s v="Não"/>
    <x v="0"/>
    <x v="0"/>
    <m/>
    <e v="#VALUE!"/>
    <n v="0"/>
    <x v="0"/>
    <s v="Média"/>
    <x v="0"/>
    <s v="Não"/>
    <m/>
    <n v="10"/>
    <n v="16"/>
    <s v="Tarde"/>
  </r>
  <r>
    <x v="63"/>
    <x v="4"/>
    <x v="120"/>
    <n v="67"/>
    <n v="45"/>
    <n v="21"/>
    <s v="5011-5012"/>
    <s v="-22.9050942"/>
    <s v="-43.2409585"/>
    <x v="5"/>
    <s v="Mangueira (SUP)"/>
    <x v="6"/>
    <s v="05/15P AO A5/18"/>
    <s v="1"/>
    <x v="38"/>
    <x v="35"/>
    <s v="Link"/>
    <s v="Sim"/>
    <x v="38"/>
    <x v="0"/>
    <m/>
    <e v="#VALUE!"/>
    <n v="0"/>
    <x v="0"/>
    <s v="Baixa"/>
    <x v="0"/>
    <s v="Não"/>
    <m/>
    <n v="10"/>
    <n v="9"/>
    <s v="Tarde"/>
  </r>
  <r>
    <x v="64"/>
    <x v="2"/>
    <x v="121"/>
    <n v="1704"/>
    <n v="17"/>
    <n v="20"/>
    <s v="5011-5012"/>
    <s v="-22.6462052"/>
    <s v="-43.6485315"/>
    <x v="0"/>
    <s v="Japeri (Pátio)"/>
    <x v="8"/>
    <s v="60/33 AO 60/35"/>
    <m/>
    <x v="24"/>
    <x v="24"/>
    <s v="Link"/>
    <s v="Sim"/>
    <x v="36"/>
    <x v="1"/>
    <d v="2022-10-17T00:00:00"/>
    <e v="#VALUE!"/>
    <n v="43"/>
    <x v="4"/>
    <s v="Alta"/>
    <x v="1"/>
    <s v="Sim"/>
    <s v="Alta"/>
    <n v="10"/>
    <n v="7"/>
    <s v="Tarde"/>
  </r>
  <r>
    <x v="64"/>
    <x v="2"/>
    <x v="0"/>
    <n v="1547"/>
    <n v="23"/>
    <n v="29"/>
    <s v="5011-5012"/>
    <s v="-22.64616"/>
    <s v="-43.6485794"/>
    <x v="0"/>
    <s v="Japeri (Pátio)"/>
    <x v="8"/>
    <s v="60/33 AO 60/35"/>
    <m/>
    <x v="24"/>
    <x v="24"/>
    <s v="Link"/>
    <s v="Sim"/>
    <x v="36"/>
    <x v="1"/>
    <d v="2022-10-17T00:00:00"/>
    <e v="#VALUE!"/>
    <n v="43"/>
    <x v="4"/>
    <s v="Alta"/>
    <x v="1"/>
    <s v="Sim"/>
    <s v="Alta"/>
    <n v="10"/>
    <n v="11"/>
    <s v="Tarde"/>
  </r>
  <r>
    <x v="64"/>
    <x v="2"/>
    <x v="122"/>
    <n v="1750"/>
    <n v="21"/>
    <n v="29"/>
    <s v="5011-5012"/>
    <s v="-22.6462014"/>
    <s v="-43.6484933"/>
    <x v="0"/>
    <s v="Japeri (Pátio)"/>
    <x v="8"/>
    <s v="60/33 AO 60/35"/>
    <m/>
    <x v="24"/>
    <x v="24"/>
    <s v="Link"/>
    <s v="Sim"/>
    <x v="36"/>
    <x v="1"/>
    <d v="2022-10-17T00:00:00"/>
    <e v="#VALUE!"/>
    <n v="43"/>
    <x v="4"/>
    <s v="Alta"/>
    <x v="1"/>
    <s v="Sim"/>
    <s v="Alta"/>
    <n v="10"/>
    <n v="12"/>
    <s v="Tarde"/>
  </r>
  <r>
    <x v="65"/>
    <x v="3"/>
    <x v="123"/>
    <n v="51"/>
    <n v="40"/>
    <n v="20"/>
    <s v="5011-5012"/>
    <s v="-22.8161934"/>
    <s v="-43.41062"/>
    <x v="0"/>
    <s v="Olinda (SUP)"/>
    <x v="1"/>
    <s v="27/40A AO 28/02"/>
    <s v="2"/>
    <x v="35"/>
    <x v="0"/>
    <s v="Link"/>
    <s v="Não"/>
    <x v="0"/>
    <x v="0"/>
    <m/>
    <e v="#VALUE!"/>
    <n v="0"/>
    <x v="0"/>
    <s v="Baixa"/>
    <x v="0"/>
    <s v="Não"/>
    <m/>
    <n v="10"/>
    <n v="11"/>
    <s v="Tarde"/>
  </r>
  <r>
    <x v="66"/>
    <x v="2"/>
    <x v="124"/>
    <n v="58"/>
    <n v="55"/>
    <n v="20"/>
    <s v="5011-5012"/>
    <s v="-22.8420912"/>
    <s v="-43.398268"/>
    <x v="0"/>
    <s v="R. Albuquerque"/>
    <x v="0"/>
    <s v="Não identificado"/>
    <s v="1"/>
    <x v="12"/>
    <x v="0"/>
    <s v="Link"/>
    <s v="Não"/>
    <x v="0"/>
    <x v="0"/>
    <m/>
    <e v="#VALUE!"/>
    <n v="0"/>
    <x v="0"/>
    <s v="Baixa"/>
    <x v="0"/>
    <s v="Não"/>
    <m/>
    <n v="10"/>
    <n v="8"/>
    <s v="Tarde"/>
  </r>
  <r>
    <x v="66"/>
    <x v="2"/>
    <x v="125"/>
    <n v="68"/>
    <n v="74"/>
    <n v="27"/>
    <s v="5011-5012"/>
    <s v="-22.8891955"/>
    <s v="-43.3184941"/>
    <x v="2"/>
    <s v="Quintino (INF)"/>
    <x v="2"/>
    <s v="14/04A AO 14/06"/>
    <s v="1"/>
    <x v="28"/>
    <x v="0"/>
    <s v="Link"/>
    <s v="Não"/>
    <x v="0"/>
    <x v="0"/>
    <m/>
    <e v="#VALUE!"/>
    <n v="0"/>
    <x v="0"/>
    <s v="Baixa"/>
    <x v="0"/>
    <s v="Não"/>
    <m/>
    <n v="10"/>
    <n v="12"/>
    <s v="Tarde"/>
  </r>
  <r>
    <x v="67"/>
    <x v="6"/>
    <x v="126"/>
    <n v="50"/>
    <n v="67"/>
    <n v="21"/>
    <s v="5011-5012"/>
    <s v="-22.7190721"/>
    <s v="-43.5330734"/>
    <x v="0"/>
    <s v="Austin (SUP)"/>
    <x v="1"/>
    <s v="45/23 AO 45/23P"/>
    <s v="1"/>
    <x v="11"/>
    <x v="0"/>
    <s v="Link"/>
    <s v="Não"/>
    <x v="0"/>
    <x v="0"/>
    <m/>
    <e v="#VALUE!"/>
    <n v="0"/>
    <x v="0"/>
    <s v="Baixa"/>
    <x v="0"/>
    <s v="Não"/>
    <m/>
    <n v="10"/>
    <n v="17"/>
    <s v="Tarde"/>
  </r>
  <r>
    <x v="68"/>
    <x v="4"/>
    <x v="61"/>
    <n v="396"/>
    <n v="73"/>
    <n v="20"/>
    <s v="5011-5012"/>
    <s v="-22.8586127"/>
    <s v="-43.375293"/>
    <x v="2"/>
    <s v="Deodoro (INF)"/>
    <x v="7"/>
    <s v="20/30A AO 20/32A"/>
    <s v="1"/>
    <x v="37"/>
    <x v="0"/>
    <s v="Link"/>
    <s v="Não"/>
    <x v="0"/>
    <x v="0"/>
    <m/>
    <e v="#VALUE!"/>
    <n v="0"/>
    <x v="0"/>
    <s v="Média"/>
    <x v="0"/>
    <s v="Não"/>
    <m/>
    <n v="10"/>
    <n v="17"/>
    <s v="Tarde"/>
  </r>
  <r>
    <x v="68"/>
    <x v="4"/>
    <x v="127"/>
    <n v="58"/>
    <s v="75km/h"/>
    <n v="20"/>
    <s v="5011-5012"/>
    <s v=" -22.6497381"/>
    <s v="-43.6393482"/>
    <x v="0"/>
    <s v="Japeri (INF)"/>
    <x v="0"/>
    <s v="59/20 AO 59/31"/>
    <n v="6"/>
    <x v="10"/>
    <x v="0"/>
    <s v="Link"/>
    <s v="Não"/>
    <x v="0"/>
    <x v="0"/>
    <m/>
    <e v="#VALUE!"/>
    <n v="0"/>
    <x v="0"/>
    <s v="Baixa"/>
    <x v="0"/>
    <s v="Não"/>
    <m/>
    <n v="10"/>
    <n v="18"/>
    <s v="Noite"/>
  </r>
  <r>
    <x v="69"/>
    <x v="5"/>
    <x v="128"/>
    <n v="52"/>
    <n v="67"/>
    <n v="23"/>
    <s v="5011-5012"/>
    <s v="-22.763422"/>
    <s v="-43.3041414"/>
    <x v="4"/>
    <s v="Corte 8 (SUP)"/>
    <x v="0"/>
    <s v="21/33 AO 21/31"/>
    <s v="1"/>
    <x v="39"/>
    <x v="0"/>
    <s v="Link"/>
    <s v="Não"/>
    <x v="0"/>
    <x v="0"/>
    <m/>
    <e v="#VALUE!"/>
    <n v="0"/>
    <x v="0"/>
    <s v="Baixa"/>
    <x v="0"/>
    <s v="Não"/>
    <m/>
    <n v="10"/>
    <n v="20"/>
    <s v="Noite"/>
  </r>
  <r>
    <x v="70"/>
    <x v="6"/>
    <x v="129"/>
    <n v="54"/>
    <n v="55"/>
    <n v="25"/>
    <s v="5011-5012"/>
    <s v="-22.8421111"/>
    <s v="-43.3982626"/>
    <x v="0"/>
    <s v="R. Albuquerque"/>
    <x v="0"/>
    <s v="Não identificado"/>
    <s v="1"/>
    <x v="12"/>
    <x v="0"/>
    <s v="Link"/>
    <s v="Não"/>
    <x v="0"/>
    <x v="0"/>
    <m/>
    <e v="#VALUE!"/>
    <n v="0"/>
    <x v="0"/>
    <s v="Baixa"/>
    <x v="0"/>
    <s v="Não"/>
    <m/>
    <n v="11"/>
    <n v="14"/>
    <s v="Tarde"/>
  </r>
  <r>
    <x v="70"/>
    <x v="6"/>
    <x v="130"/>
    <n v="67"/>
    <n v="56"/>
    <n v="19"/>
    <s v="5011-5012"/>
    <s v="-22.7748055"/>
    <s v="-43.3071401"/>
    <x v="4"/>
    <s v="Corte 8 (INF)"/>
    <x v="0"/>
    <s v="20/19 AO 20/21"/>
    <s v="4"/>
    <x v="37"/>
    <x v="0"/>
    <s v="Link"/>
    <s v="Não"/>
    <x v="0"/>
    <x v="0"/>
    <m/>
    <e v="#VALUE!"/>
    <n v="0"/>
    <x v="0"/>
    <s v="Baixa"/>
    <x v="0"/>
    <s v="Não"/>
    <m/>
    <n v="11"/>
    <n v="17"/>
    <s v="Tarde"/>
  </r>
  <r>
    <x v="71"/>
    <x v="4"/>
    <x v="131"/>
    <n v="237"/>
    <n v="56"/>
    <n v="21"/>
    <s v="5011-5012"/>
    <s v="-22.7747252"/>
    <s v="-43.3072232"/>
    <x v="4"/>
    <s v="Corte 8 (INF)"/>
    <x v="1"/>
    <s v="20/19 AO 20/21"/>
    <s v="4"/>
    <x v="37"/>
    <x v="0"/>
    <s v="Link"/>
    <s v="Não"/>
    <x v="0"/>
    <x v="0"/>
    <m/>
    <e v="#VALUE!"/>
    <n v="0"/>
    <x v="0"/>
    <s v="Média"/>
    <x v="0"/>
    <s v="Não"/>
    <m/>
    <n v="11"/>
    <n v="12"/>
    <s v="Tarde"/>
  </r>
  <r>
    <x v="71"/>
    <x v="4"/>
    <x v="5"/>
    <n v="64"/>
    <n v="57"/>
    <n v="21"/>
    <s v="5011-5012"/>
    <s v="-22.7747636"/>
    <s v="-43.3071906"/>
    <x v="4"/>
    <s v="Corte 8 (INF)"/>
    <x v="1"/>
    <s v="20/19 AO 20/21"/>
    <s v="4"/>
    <x v="37"/>
    <x v="0"/>
    <s v="Link"/>
    <s v="Não"/>
    <x v="0"/>
    <x v="0"/>
    <m/>
    <e v="#VALUE!"/>
    <n v="0"/>
    <x v="0"/>
    <s v="Baixa"/>
    <x v="0"/>
    <s v="Não"/>
    <m/>
    <n v="11"/>
    <n v="14"/>
    <s v="Tarde"/>
  </r>
  <r>
    <x v="71"/>
    <x v="4"/>
    <x v="76"/>
    <n v="76"/>
    <n v="69"/>
    <n v="16"/>
    <s v="5011-5012"/>
    <s v="-22.7747086"/>
    <s v=" -43.3071386"/>
    <x v="3"/>
    <s v="Corte 8 (INF)"/>
    <x v="0"/>
    <s v="20/21 AO 20/23"/>
    <s v="1"/>
    <x v="37"/>
    <x v="0"/>
    <s v="Link"/>
    <s v="Não"/>
    <x v="0"/>
    <x v="0"/>
    <m/>
    <e v="#VALUE!"/>
    <n v="0"/>
    <x v="0"/>
    <s v="Baixa"/>
    <x v="0"/>
    <s v="Não"/>
    <m/>
    <n v="11"/>
    <n v="17"/>
    <s v="Tarde"/>
  </r>
  <r>
    <x v="72"/>
    <x v="5"/>
    <x v="132"/>
    <n v="80"/>
    <n v="50"/>
    <n v="20"/>
    <s v="5011-5012"/>
    <s v="-22.7747496"/>
    <s v="-43.3071589"/>
    <x v="3"/>
    <s v="Corte 8 (INF)"/>
    <x v="1"/>
    <s v="20/21 AO 20/23"/>
    <s v="1"/>
    <x v="37"/>
    <x v="0"/>
    <s v="Link"/>
    <s v="Não"/>
    <x v="0"/>
    <x v="0"/>
    <m/>
    <e v="#VALUE!"/>
    <n v="0"/>
    <x v="0"/>
    <s v="Baixa"/>
    <x v="0"/>
    <s v="Não"/>
    <m/>
    <n v="11"/>
    <n v="15"/>
    <s v="Tarde"/>
  </r>
  <r>
    <x v="72"/>
    <x v="5"/>
    <x v="133"/>
    <n v="118"/>
    <n v="53"/>
    <n v="20"/>
    <s v="5011-5012"/>
    <s v="-22.7746784"/>
    <s v="-43.3071856"/>
    <x v="3"/>
    <s v="Corte 8 (INF)"/>
    <x v="1"/>
    <s v="20/21 AO 20/23"/>
    <s v="1"/>
    <x v="37"/>
    <x v="0"/>
    <s v="Link"/>
    <s v="Não"/>
    <x v="0"/>
    <x v="0"/>
    <m/>
    <e v="#VALUE!"/>
    <n v="0"/>
    <x v="0"/>
    <s v="Média"/>
    <x v="0"/>
    <s v="Não"/>
    <m/>
    <n v="11"/>
    <n v="12"/>
    <s v="Tarde"/>
  </r>
  <r>
    <x v="73"/>
    <x v="2"/>
    <x v="134"/>
    <n v="67"/>
    <n v="69"/>
    <n v="23"/>
    <s v="5011-5012"/>
    <s v="-22.7634079"/>
    <s v="-43.3041769"/>
    <x v="3"/>
    <s v="Corte 8 (SUP)"/>
    <x v="1"/>
    <s v="21/31 AO 21/33"/>
    <s v="1"/>
    <x v="39"/>
    <x v="0"/>
    <s v="Link"/>
    <s v="Não"/>
    <x v="0"/>
    <x v="0"/>
    <m/>
    <e v="#VALUE!"/>
    <n v="0"/>
    <x v="0"/>
    <s v="Baixa"/>
    <x v="0"/>
    <s v="Não"/>
    <m/>
    <n v="11"/>
    <n v="13"/>
    <s v="Tarde"/>
  </r>
  <r>
    <x v="73"/>
    <x v="2"/>
    <x v="135"/>
    <n v="53"/>
    <n v="52"/>
    <n v="18"/>
    <s v="5011-5012"/>
    <s v="-22.8941479"/>
    <s v="-43.3039318"/>
    <x v="2"/>
    <s v="E. Dentro (SUP)"/>
    <x v="7"/>
    <s v="12/12A AO 12/14A"/>
    <s v="1"/>
    <x v="40"/>
    <x v="0"/>
    <s v="Link"/>
    <s v="Não"/>
    <x v="39"/>
    <x v="0"/>
    <m/>
    <e v="#VALUE!"/>
    <n v="0"/>
    <x v="0"/>
    <s v="Baixa"/>
    <x v="0"/>
    <s v="Não"/>
    <m/>
    <n v="11"/>
    <n v="9"/>
    <s v="Tarde"/>
  </r>
  <r>
    <x v="74"/>
    <x v="6"/>
    <x v="136"/>
    <n v="127"/>
    <n v="54"/>
    <n v="18"/>
    <s v="5011-5012"/>
    <s v="-22.7747425"/>
    <s v="-43.3071982"/>
    <x v="3"/>
    <s v="Corte 8 (INF)"/>
    <x v="1"/>
    <s v="20/21 AO 20/23"/>
    <s v="1"/>
    <x v="37"/>
    <x v="0"/>
    <s v="Link"/>
    <s v="Não"/>
    <x v="0"/>
    <x v="0"/>
    <m/>
    <e v="#VALUE!"/>
    <n v="0"/>
    <x v="0"/>
    <s v="Média"/>
    <x v="0"/>
    <s v="Não"/>
    <m/>
    <n v="11"/>
    <n v="6"/>
    <s v="Tarde"/>
  </r>
  <r>
    <x v="74"/>
    <x v="6"/>
    <x v="137"/>
    <n v="63"/>
    <n v="57"/>
    <n v="22"/>
    <s v="5011-5012"/>
    <s v="-22.8076865"/>
    <s v="-43.3040792"/>
    <x v="3"/>
    <m/>
    <x v="0"/>
    <s v="Não identificado"/>
    <s v="1"/>
    <x v="12"/>
    <x v="0"/>
    <s v="Link"/>
    <s v="Não"/>
    <x v="0"/>
    <x v="0"/>
    <m/>
    <e v="#VALUE!"/>
    <n v="0"/>
    <x v="0"/>
    <s v="Baixa"/>
    <x v="0"/>
    <s v="Não"/>
    <m/>
    <n v="11"/>
    <n v="14"/>
    <s v="Tarde"/>
  </r>
  <r>
    <x v="75"/>
    <x v="3"/>
    <x v="138"/>
    <n v="176"/>
    <n v="21"/>
    <n v="18"/>
    <s v="5011-5012"/>
    <s v=" -22.8760373"/>
    <s v=" -43.3386377"/>
    <x v="2"/>
    <s v="Madureira (Plat.)"/>
    <x v="6"/>
    <s v="Não identificado"/>
    <s v="1"/>
    <x v="12"/>
    <x v="0"/>
    <s v="Link"/>
    <s v="Não"/>
    <x v="0"/>
    <x v="0"/>
    <m/>
    <e v="#VALUE!"/>
    <n v="0"/>
    <x v="0"/>
    <s v="Média"/>
    <x v="0"/>
    <s v="Não"/>
    <m/>
    <n v="11"/>
    <n v="8"/>
    <s v="Tarde"/>
  </r>
  <r>
    <x v="75"/>
    <x v="3"/>
    <x v="139"/>
    <n v="51"/>
    <n v="68"/>
    <n v="21"/>
    <s v="5011-5012"/>
    <s v="-22.8887628"/>
    <s v="-43.3200322"/>
    <x v="2"/>
    <s v="Quintino (Plat.)"/>
    <x v="6"/>
    <s v="14/08A AO 14/10A"/>
    <s v="1"/>
    <x v="28"/>
    <x v="0"/>
    <s v="Link"/>
    <s v="Não"/>
    <x v="0"/>
    <x v="0"/>
    <m/>
    <e v="#VALUE!"/>
    <n v="0"/>
    <x v="0"/>
    <s v="Baixa"/>
    <x v="0"/>
    <s v="Não"/>
    <m/>
    <n v="11"/>
    <n v="8"/>
    <s v="Tarde"/>
  </r>
  <r>
    <x v="76"/>
    <x v="4"/>
    <x v="140"/>
    <n v="65"/>
    <n v="78"/>
    <n v="23"/>
    <s v="5011-5012"/>
    <s v="-22.8760475"/>
    <s v=" -43.4981586"/>
    <x v="1"/>
    <s v="S. Camará (SUP)"/>
    <x v="1"/>
    <s v="34/13 AO 34/17"/>
    <s v="1"/>
    <x v="4"/>
    <x v="0"/>
    <s v="Link"/>
    <s v="Não"/>
    <x v="0"/>
    <x v="0"/>
    <m/>
    <e v="#VALUE!"/>
    <n v="0"/>
    <x v="0"/>
    <s v="Baixa"/>
    <x v="0"/>
    <s v="Não"/>
    <m/>
    <n v="11"/>
    <n v="18"/>
    <s v="Noite"/>
  </r>
  <r>
    <x v="77"/>
    <x v="6"/>
    <x v="141"/>
    <n v="52"/>
    <n v="57"/>
    <n v="21"/>
    <s v="5011-5012"/>
    <s v="-22.9045966"/>
    <s v="-43.5723297"/>
    <x v="1"/>
    <s v="B. Monte (INF)"/>
    <x v="0"/>
    <s v="42/28 AO 42/30"/>
    <n v="1"/>
    <x v="21"/>
    <x v="0"/>
    <s v="Link"/>
    <s v="Não"/>
    <x v="0"/>
    <x v="0"/>
    <m/>
    <e v="#VALUE!"/>
    <n v="0"/>
    <x v="0"/>
    <s v="Baixa"/>
    <x v="0"/>
    <s v="Não"/>
    <m/>
    <n v="11"/>
    <n v="9"/>
    <s v="Tarde"/>
  </r>
  <r>
    <x v="78"/>
    <x v="1"/>
    <x v="142"/>
    <n v="191"/>
    <n v="74"/>
    <n v="28"/>
    <s v="5011-5012"/>
    <s v="-22.8973842"/>
    <s v="-43.5420993"/>
    <x v="1"/>
    <s v="A. Vasconcelos (INF)"/>
    <x v="1"/>
    <s v="Não identificado"/>
    <n v="1"/>
    <x v="12"/>
    <x v="0"/>
    <s v="Link"/>
    <s v="Não"/>
    <x v="0"/>
    <x v="0"/>
    <m/>
    <e v="#VALUE!"/>
    <n v="0"/>
    <x v="0"/>
    <s v="Média"/>
    <x v="0"/>
    <s v="Não"/>
    <m/>
    <n v="11"/>
    <n v="14"/>
    <s v="Tarde"/>
  </r>
  <r>
    <x v="79"/>
    <x v="3"/>
    <x v="143"/>
    <n v="58"/>
    <n v="54"/>
    <n v="25"/>
    <s v="5011-5012"/>
    <s v="-22.8223553"/>
    <s v="-43.2970293"/>
    <x v="3"/>
    <s v="Cordovil (SUP)"/>
    <x v="1"/>
    <s v="Não identificado"/>
    <n v="1"/>
    <x v="12"/>
    <x v="0"/>
    <s v="Link"/>
    <s v="Não"/>
    <x v="0"/>
    <x v="0"/>
    <m/>
    <e v="#VALUE!"/>
    <n v="0"/>
    <x v="0"/>
    <s v="Baixa"/>
    <x v="0"/>
    <s v="Não"/>
    <m/>
    <n v="11"/>
    <n v="9"/>
    <s v="Tarde"/>
  </r>
  <r>
    <x v="79"/>
    <x v="3"/>
    <x v="144"/>
    <n v="52"/>
    <n v="65"/>
    <n v="25"/>
    <s v="5011-5012"/>
    <s v="-22.730462"/>
    <s v=" -43.5150606"/>
    <x v="0"/>
    <s v="C. Soares (SUP)"/>
    <x v="1"/>
    <s v="42/43P AO 43/01"/>
    <n v="1"/>
    <x v="21"/>
    <x v="0"/>
    <s v="Link"/>
    <s v="Não"/>
    <x v="0"/>
    <x v="0"/>
    <m/>
    <e v="#VALUE!"/>
    <n v="0"/>
    <x v="0"/>
    <s v="Baixa"/>
    <x v="0"/>
    <s v="Não"/>
    <m/>
    <n v="11"/>
    <n v="6"/>
    <s v="Tarde"/>
  </r>
  <r>
    <x v="80"/>
    <x v="5"/>
    <x v="145"/>
    <n v="60"/>
    <n v="56"/>
    <n v="25"/>
    <s v="5011-5012"/>
    <s v="-22.7164617"/>
    <s v="-43.5394329"/>
    <x v="0"/>
    <m/>
    <x v="0"/>
    <s v="46/12 AO 46/14"/>
    <n v="1"/>
    <x v="36"/>
    <x v="0"/>
    <s v="Link"/>
    <s v="Não"/>
    <x v="0"/>
    <x v="0"/>
    <m/>
    <e v="#VALUE!"/>
    <n v="0"/>
    <x v="0"/>
    <s v="Baixa"/>
    <x v="0"/>
    <s v="Não"/>
    <m/>
    <n v="12"/>
    <n v="7"/>
    <s v="Tarde"/>
  </r>
  <r>
    <x v="81"/>
    <x v="1"/>
    <x v="146"/>
    <n v="128"/>
    <n v="49"/>
    <m/>
    <s v="5011-5012"/>
    <s v="-22.8650339"/>
    <s v="-43.3578456"/>
    <x v="2"/>
    <s v="B. Ribeiro (INF)"/>
    <x v="10"/>
    <s v="Não identificado"/>
    <m/>
    <x v="12"/>
    <x v="0"/>
    <s v="Link"/>
    <s v="Não"/>
    <x v="0"/>
    <x v="0"/>
    <m/>
    <e v="#VALUE!"/>
    <n v="0"/>
    <x v="0"/>
    <s v="Média"/>
    <x v="0"/>
    <s v="Não"/>
    <m/>
    <n v="12"/>
    <n v="7"/>
    <s v="Tarde"/>
  </r>
  <r>
    <x v="81"/>
    <x v="1"/>
    <x v="147"/>
    <n v="53"/>
    <n v="75"/>
    <m/>
    <s v="5011-5012"/>
    <s v="-22.8885441"/>
    <s v="-43.3131107"/>
    <x v="2"/>
    <s v="Piedade (INF)"/>
    <x v="11"/>
    <s v="13/17A AO 13/19A"/>
    <m/>
    <x v="2"/>
    <x v="36"/>
    <s v="Link"/>
    <s v="Não"/>
    <x v="0"/>
    <x v="0"/>
    <m/>
    <e v="#VALUE!"/>
    <n v="0"/>
    <x v="0"/>
    <s v="Baixa"/>
    <x v="0"/>
    <s v="Não"/>
    <m/>
    <n v="12"/>
    <n v="9"/>
    <s v="Tarde"/>
  </r>
  <r>
    <x v="81"/>
    <x v="1"/>
    <x v="148"/>
    <n v="221"/>
    <n v="50"/>
    <m/>
    <s v="5011-5012"/>
    <s v="-22.865031"/>
    <s v="-43.3578184"/>
    <x v="2"/>
    <s v="B. Ribeiro (INF)"/>
    <x v="10"/>
    <s v="Não identificado"/>
    <m/>
    <x v="12"/>
    <x v="0"/>
    <s v="Link"/>
    <s v="Não"/>
    <x v="0"/>
    <x v="0"/>
    <m/>
    <e v="#VALUE!"/>
    <n v="0"/>
    <x v="0"/>
    <s v="Média"/>
    <x v="0"/>
    <s v="Não"/>
    <m/>
    <n v="12"/>
    <n v="12"/>
    <s v="Tarde"/>
  </r>
  <r>
    <x v="81"/>
    <x v="1"/>
    <x v="149"/>
    <n v="52"/>
    <n v="61"/>
    <m/>
    <s v="5011-5012"/>
    <s v="-22.9176248"/>
    <s v="-43.6592495"/>
    <x v="2"/>
    <s v="T. Neves (SUP.)"/>
    <x v="10"/>
    <s v="Não identificado"/>
    <m/>
    <x v="12"/>
    <x v="0"/>
    <s v="Link"/>
    <s v="Não"/>
    <x v="0"/>
    <x v="0"/>
    <m/>
    <e v="#VALUE!"/>
    <n v="0"/>
    <x v="0"/>
    <s v="Baixa"/>
    <x v="0"/>
    <s v="Não"/>
    <m/>
    <n v="12"/>
    <n v="13"/>
    <s v="Tarde"/>
  </r>
  <r>
    <x v="81"/>
    <x v="1"/>
    <x v="150"/>
    <n v="127"/>
    <n v="63"/>
    <m/>
    <s v="5011-5012"/>
    <s v="-22.7747264"/>
    <s v="-43.3071643"/>
    <x v="4"/>
    <s v="Corte 8 (INF)"/>
    <x v="10"/>
    <s v="20/21 AO 20/23"/>
    <m/>
    <x v="37"/>
    <x v="0"/>
    <s v="Link"/>
    <s v="Não"/>
    <x v="0"/>
    <x v="0"/>
    <m/>
    <e v="#VALUE!"/>
    <n v="0"/>
    <x v="0"/>
    <s v="Média"/>
    <x v="0"/>
    <s v="Não"/>
    <m/>
    <n v="12"/>
    <n v="19"/>
    <s v="Noite"/>
  </r>
  <r>
    <x v="81"/>
    <x v="1"/>
    <x v="151"/>
    <n v="52"/>
    <n v="56"/>
    <m/>
    <s v="5011-5012"/>
    <s v="-22.730656"/>
    <s v="-43.2995345"/>
    <x v="3"/>
    <s v="Gramacho (SUP)"/>
    <x v="4"/>
    <s v="Não identificado"/>
    <m/>
    <x v="12"/>
    <x v="0"/>
    <s v="Link"/>
    <s v="Não"/>
    <x v="0"/>
    <x v="0"/>
    <m/>
    <e v="#VALUE!"/>
    <n v="0"/>
    <x v="0"/>
    <s v="Baixa"/>
    <x v="0"/>
    <s v="Não"/>
    <m/>
    <n v="12"/>
    <n v="19"/>
    <s v="Noite"/>
  </r>
  <r>
    <x v="81"/>
    <x v="1"/>
    <x v="152"/>
    <n v="126"/>
    <n v="51"/>
    <m/>
    <s v="5011-5012"/>
    <s v="-22.6961602"/>
    <s v="-43.2715548"/>
    <x v="3"/>
    <s v="J. Primavera (SUP)"/>
    <x v="4"/>
    <s v="Não identificado"/>
    <m/>
    <x v="12"/>
    <x v="0"/>
    <s v="Link"/>
    <s v="Não"/>
    <x v="0"/>
    <x v="0"/>
    <m/>
    <e v="#VALUE!"/>
    <n v="0"/>
    <x v="0"/>
    <s v="Média"/>
    <x v="0"/>
    <s v="Não"/>
    <m/>
    <n v="12"/>
    <n v="20"/>
    <s v="Noite"/>
  </r>
  <r>
    <x v="81"/>
    <x v="1"/>
    <x v="153"/>
    <n v="57"/>
    <n v="49"/>
    <m/>
    <s v="5011-5012"/>
    <s v="-22.7465923"/>
    <s v="-43.3074647"/>
    <x v="3"/>
    <s v="Gramacho (SUP)"/>
    <x v="4"/>
    <s v="Não identificado"/>
    <m/>
    <x v="12"/>
    <x v="0"/>
    <s v="Link"/>
    <s v="Não"/>
    <x v="0"/>
    <x v="0"/>
    <m/>
    <e v="#VALUE!"/>
    <n v="0"/>
    <x v="0"/>
    <s v="Baixa"/>
    <x v="0"/>
    <s v="Não"/>
    <m/>
    <n v="12"/>
    <n v="20"/>
    <s v="Noite"/>
  </r>
  <r>
    <x v="82"/>
    <x v="2"/>
    <x v="154"/>
    <n v="77"/>
    <n v="75"/>
    <m/>
    <s v="5011-5012"/>
    <s v="-22.8878147"/>
    <s v="-43.3228075"/>
    <x v="2"/>
    <s v="Quintino (SUP)"/>
    <x v="12"/>
    <s v="Não identificado"/>
    <m/>
    <x v="12"/>
    <x v="0"/>
    <s v="Link"/>
    <s v="Não"/>
    <x v="0"/>
    <x v="0"/>
    <m/>
    <e v="#VALUE!"/>
    <n v="0"/>
    <x v="0"/>
    <s v="Baixa"/>
    <x v="0"/>
    <s v="Não"/>
    <m/>
    <n v="12"/>
    <n v="15"/>
    <s v="Tarde"/>
  </r>
  <r>
    <x v="83"/>
    <x v="2"/>
    <x v="155"/>
    <n v="92"/>
    <n v="87"/>
    <m/>
    <s v="5011-5012"/>
    <s v="-22.6666386"/>
    <s v="-43.6268749"/>
    <x v="0"/>
    <s v="Japeri (INF)"/>
    <x v="10"/>
    <s v="57/19 AO 57/21"/>
    <m/>
    <x v="0"/>
    <x v="0"/>
    <s v="Link"/>
    <s v="Não"/>
    <x v="0"/>
    <x v="0"/>
    <m/>
    <e v="#VALUE!"/>
    <n v="0"/>
    <x v="0"/>
    <s v="Baixa"/>
    <x v="0"/>
    <s v="Não"/>
    <m/>
    <n v="12"/>
    <n v="6"/>
    <s v="Tarde"/>
  </r>
  <r>
    <x v="84"/>
    <x v="6"/>
    <x v="156"/>
    <n v="99"/>
    <n v="61"/>
    <m/>
    <s v="5011-5012"/>
    <s v="-22.9046055"/>
    <s v="-43.5723996"/>
    <x v="1"/>
    <s v="B. Monte (INF)"/>
    <x v="11"/>
    <s v="42/28 AO 42/30"/>
    <m/>
    <x v="21"/>
    <x v="0"/>
    <s v="Link"/>
    <s v="Não"/>
    <x v="0"/>
    <x v="0"/>
    <m/>
    <e v="#VALUE!"/>
    <n v="0"/>
    <x v="0"/>
    <s v="Baixa"/>
    <x v="0"/>
    <s v="Não"/>
    <m/>
    <n v="12"/>
    <n v="11"/>
    <s v="Tarde"/>
  </r>
  <r>
    <x v="85"/>
    <x v="3"/>
    <x v="157"/>
    <n v="274"/>
    <n v="67"/>
    <m/>
    <s v="5011-5012"/>
    <s v="-22.9043983"/>
    <s v="-43.2741729"/>
    <x v="2"/>
    <s v="S. Freire (INF)"/>
    <x v="5"/>
    <s v="Não identificado"/>
    <m/>
    <x v="12"/>
    <x v="0"/>
    <s v="Link"/>
    <s v="Não"/>
    <x v="0"/>
    <x v="0"/>
    <m/>
    <e v="#VALUE!"/>
    <n v="0"/>
    <x v="0"/>
    <s v="Média"/>
    <x v="0"/>
    <s v="Não"/>
    <m/>
    <n v="12"/>
    <n v="9"/>
    <s v="Tar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554AF-C000-400A-914B-2D9EE3FDC574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 rowHeaderCaption="Km" colHeaderCaption="Filtro">
  <location ref="J5:M49" firstHeaderRow="1" firstDataRow="2" firstDataCol="1"/>
  <pivotFields count="32">
    <pivotField numFmtId="14" showAll="0"/>
    <pivotField numFmtId="169" showAll="0"/>
    <pivotField numFmtId="165" showAll="0"/>
    <pivotField showAll="0"/>
    <pivotField showAll="0"/>
    <pivotField showAll="0"/>
    <pivotField showAll="0"/>
    <pivotField showAll="0"/>
    <pivotField showAll="0"/>
    <pivotField showAll="0">
      <items count="8">
        <item x="2"/>
        <item x="0"/>
        <item x="1"/>
        <item x="4"/>
        <item x="3"/>
        <item x="5"/>
        <item m="1" x="6"/>
        <item t="default"/>
      </items>
    </pivotField>
    <pivotField showAll="0"/>
    <pivotField showAll="0">
      <items count="14">
        <item x="1"/>
        <item x="0"/>
        <item x="2"/>
        <item x="7"/>
        <item x="6"/>
        <item x="3"/>
        <item x="10"/>
        <item x="11"/>
        <item x="5"/>
        <item x="12"/>
        <item x="8"/>
        <item x="9"/>
        <item x="4"/>
        <item t="default"/>
      </items>
    </pivotField>
    <pivotField showAll="0"/>
    <pivotField showAll="0"/>
    <pivotField axis="axisRow" showAll="0">
      <items count="42">
        <item sd="0" x="27"/>
        <item sd="0" x="9"/>
        <item sd="0" x="38"/>
        <item sd="0" x="7"/>
        <item sd="0" x="29"/>
        <item sd="0" x="26"/>
        <item sd="0" x="15"/>
        <item sd="0" x="13"/>
        <item sd="0" x="2"/>
        <item sd="0" x="28"/>
        <item sd="0" x="16"/>
        <item sd="0" x="31"/>
        <item sd="0" x="37"/>
        <item sd="0" x="39"/>
        <item sd="0" x="14"/>
        <item sd="0" x="34"/>
        <item sd="0" x="32"/>
        <item sd="0" x="35"/>
        <item sd="0" x="8"/>
        <item sd="0" x="3"/>
        <item sd="0" x="6"/>
        <item sd="0" x="20"/>
        <item sd="0" x="30"/>
        <item sd="0" x="4"/>
        <item sd="0" x="17"/>
        <item sd="0" x="5"/>
        <item sd="0" x="19"/>
        <item sd="0" x="25"/>
        <item sd="0" x="21"/>
        <item sd="0" x="1"/>
        <item sd="0" x="11"/>
        <item sd="0" x="36"/>
        <item sd="0" x="22"/>
        <item sd="0" x="23"/>
        <item sd="0" x="18"/>
        <item sd="0" x="33"/>
        <item sd="0" x="0"/>
        <item sd="0" x="10"/>
        <item sd="0" x="24"/>
        <item sd="0" x="12"/>
        <item x="40"/>
        <item t="default" sd="0"/>
      </items>
    </pivotField>
    <pivotField showAll="0">
      <items count="39">
        <item m="1" x="37"/>
        <item x="0"/>
        <item x="35"/>
        <item x="31"/>
        <item x="10"/>
        <item x="15"/>
        <item x="22"/>
        <item x="6"/>
        <item x="23"/>
        <item x="25"/>
        <item x="1"/>
        <item x="26"/>
        <item x="27"/>
        <item x="9"/>
        <item x="17"/>
        <item x="11"/>
        <item x="8"/>
        <item x="24"/>
        <item x="28"/>
        <item x="29"/>
        <item x="21"/>
        <item x="30"/>
        <item x="7"/>
        <item x="4"/>
        <item x="3"/>
        <item x="18"/>
        <item x="2"/>
        <item x="12"/>
        <item x="19"/>
        <item x="33"/>
        <item x="32"/>
        <item x="20"/>
        <item x="16"/>
        <item x="13"/>
        <item x="34"/>
        <item x="5"/>
        <item x="14"/>
        <item x="36"/>
        <item t="default"/>
      </items>
    </pivotField>
    <pivotField showAll="0"/>
    <pivotField showAll="0"/>
    <pivotField axis="axisRow" showAll="0">
      <items count="42">
        <item x="36"/>
        <item m="1" x="40"/>
        <item x="1"/>
        <item x="0"/>
        <item x="37"/>
        <item x="5"/>
        <item x="9"/>
        <item x="2"/>
        <item x="4"/>
        <item x="3"/>
        <item x="12"/>
        <item x="13"/>
        <item x="14"/>
        <item x="11"/>
        <item x="19"/>
        <item x="17"/>
        <item x="21"/>
        <item x="20"/>
        <item x="26"/>
        <item x="28"/>
        <item x="29"/>
        <item x="24"/>
        <item x="23"/>
        <item x="22"/>
        <item x="15"/>
        <item x="6"/>
        <item x="34"/>
        <item x="33"/>
        <item x="38"/>
        <item x="32"/>
        <item x="35"/>
        <item x="39"/>
        <item x="7"/>
        <item x="18"/>
        <item x="25"/>
        <item x="8"/>
        <item x="10"/>
        <item x="16"/>
        <item x="27"/>
        <item x="30"/>
        <item x="31"/>
        <item t="default"/>
      </items>
    </pivotField>
    <pivotField axis="axisCol" dataField="1" showAll="0">
      <items count="5">
        <item x="0"/>
        <item m="1" x="3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14"/>
    <field x="18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r="1">
      <x v="31"/>
    </i>
    <i t="grand">
      <x/>
    </i>
  </rowItems>
  <colFields count="1">
    <field x="19"/>
  </colFields>
  <colItems count="3">
    <i>
      <x/>
    </i>
    <i>
      <x v="2"/>
    </i>
    <i t="grand">
      <x/>
    </i>
  </colItems>
  <dataFields count="1">
    <dataField name="Melhoria realizada x Não realizada" fld="19" subtotal="count" baseField="0" baseItem="0"/>
  </dataFields>
  <formats count="8">
    <format dxfId="37">
      <pivotArea dataOnly="0" labelOnly="1" fieldPosition="0">
        <references count="1">
          <reference field="19" count="0"/>
        </references>
      </pivotArea>
    </format>
    <format dxfId="36">
      <pivotArea dataOnly="0" labelOnly="1" grandCol="1" outline="0" fieldPosition="0"/>
    </format>
    <format dxfId="35">
      <pivotArea type="origin" dataOnly="0" labelOnly="1" outline="0" fieldPosition="0"/>
    </format>
    <format dxfId="34">
      <pivotArea field="19" type="button" dataOnly="0" labelOnly="1" outline="0" axis="axisCol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19" type="button" dataOnly="0" labelOnly="1" outline="0" axis="axisCol" fieldPosition="0"/>
    </format>
    <format dxfId="3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24977-3415-485C-B2F2-11A6DF4744C5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D22" firstHeaderRow="1" firstDataRow="2" firstDataCol="1"/>
  <pivotFields count="32"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69" showAll="0"/>
    <pivotField numFmtId="165"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5"/>
        <item x="2"/>
        <item x="4"/>
        <item x="0"/>
        <item x="1"/>
        <item x="3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Melhoria feita 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59961-78FB-40D6-9967-E98A7DB2A363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5:I33" firstHeaderRow="1" firstDataRow="2" firstDataCol="1"/>
  <pivotFields count="32"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Col" numFmtId="169" showAll="0">
      <items count="8">
        <item x="0"/>
        <item x="2"/>
        <item x="6"/>
        <item x="3"/>
        <item x="4"/>
        <item x="5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5"/>
        <item x="2"/>
        <item x="4"/>
        <item x="0"/>
        <item x="1"/>
        <item x="3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Dia da seman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E2A14-C087-46DA-B1A8-6084D1B7FE06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11" firstHeaderRow="1" firstDataRow="1" firstDataCol="1"/>
  <pivotFields count="32">
    <pivotField axis="axisRow" dataField="1"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69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1"/>
    <field x="0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7748A-CE5B-4BF5-A790-3C02FADCFC55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32"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69" showAll="0"/>
    <pivotField axis="axisRow" dataField="1" numFmtId="165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0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ntagem de Hor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52B70-B5F2-43E2-B78C-3EAB1624AEF1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OS pendente">
  <location ref="J14:K22" firstHeaderRow="1" firstDataRow="1" firstDataCol="1"/>
  <pivotFields count="32"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69"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0"/>
        <item x="1"/>
        <item x="3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2">
        <item h="1" x="1"/>
        <item x="0"/>
        <item h="1" x="5"/>
        <item h="1" x="9"/>
        <item h="1" x="2"/>
        <item h="1" x="4"/>
        <item h="1" x="3"/>
        <item h="1" x="12"/>
        <item h="1" x="13"/>
        <item h="1" x="14"/>
        <item h="1" x="11"/>
        <item h="1" x="19"/>
        <item h="1" x="17"/>
        <item h="1" x="21"/>
        <item h="1" x="20"/>
        <item h="1" x="26"/>
        <item h="1" x="28"/>
        <item h="1" x="29"/>
        <item h="1" x="24"/>
        <item h="1" x="23"/>
        <item h="1" x="22"/>
        <item h="1" x="15"/>
        <item h="1" x="34"/>
        <item h="1" x="32"/>
        <item h="1" x="38"/>
        <item h="1" x="36"/>
        <item h="1" m="1" x="40"/>
        <item h="1" x="33"/>
        <item h="1" x="6"/>
        <item h="1" x="37"/>
        <item h="1" x="35"/>
        <item h="1" x="39"/>
        <item h="1" x="7"/>
        <item h="1" x="18"/>
        <item h="1" x="25"/>
        <item h="1" x="8"/>
        <item h="1" x="10"/>
        <item h="1" x="16"/>
        <item h="1" x="27"/>
        <item h="1" x="30"/>
        <item h="1"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8"/>
    <field x="9"/>
  </rowFields>
  <rowItems count="8"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ntagem de OS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45FBB-0AD8-4852-954E-D12039273782}" name="Tabela dinâ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olHeaderCaption="Melhoria">
  <location ref="A35:D37" firstHeaderRow="1" firstDataRow="2" firstDataCol="1"/>
  <pivotFields count="32"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69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Fields count="1">
    <field x="19"/>
  </colFields>
  <colItems count="3">
    <i>
      <x/>
    </i>
    <i>
      <x v="1"/>
    </i>
    <i t="grand">
      <x/>
    </i>
  </colItems>
  <dataFields count="1">
    <dataField name="Contagem de Melhoria feita?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AF614-1740-4B30-A3C4-D5EA7BB19C85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lha identificada">
  <location ref="A60:B63" firstHeaderRow="1" firstDataRow="1" firstDataCol="1"/>
  <pivotFields count="32"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69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m="1" x="9"/>
        <item x="2"/>
        <item x="1"/>
        <item m="1" x="6"/>
        <item m="1" x="7"/>
        <item m="1" x="8"/>
        <item h="1" x="0"/>
        <item h="1" x="3"/>
        <item h="1" m="1" x="5"/>
        <item h="1" m="1" x="1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3"/>
  </rowFields>
  <rowItems count="3">
    <i>
      <x v="1"/>
    </i>
    <i>
      <x v="2"/>
    </i>
    <i t="grand">
      <x/>
    </i>
  </rowItems>
  <colItems count="1">
    <i/>
  </colItems>
  <dataFields count="1">
    <dataField name="Contagem de Falha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8F35F-BE23-4F78-8643-76B4474E6045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1" firstHeaderRow="1" firstDataRow="2" firstDataCol="1"/>
  <pivotFields count="32"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69" showAll="0"/>
    <pivotField numFmtId="165"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5"/>
        <item x="2"/>
        <item x="4"/>
        <item x="0"/>
        <item x="1"/>
        <item x="3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1"/>
  </colFields>
  <col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Ramal mê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20AFD-547E-4963-B62E-F72F49681DC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5:D53" firstHeaderRow="1" firstDataRow="2" firstDataCol="1"/>
  <pivotFields count="3">
    <pivotField dataField="1" subtotalTop="0" showAll="0" defaultSubtota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ivel" fld="0" subtotal="count" baseField="0" baseItem="0"/>
  </dataFields>
  <formats count="3">
    <format dxfId="29">
      <pivotArea collapsedLevelsAreSubtotals="1" fieldPosition="0">
        <references count="1">
          <reference field="1" count="0"/>
        </references>
      </pivotArea>
    </format>
    <format dxfId="28">
      <pivotArea dataOnly="0" labelOnly="1" fieldPosition="0">
        <references count="1">
          <reference field="2" count="0"/>
        </references>
      </pivotArea>
    </format>
    <format dxfId="27">
      <pivotArea grandRow="1"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Nivel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role de Alarmes PCDS(Recuperado Automaticamente)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620DD-2CDA-4CCC-8F5D-92A6CFA0303E}" name="Tabela dinâmica2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R39:T42" firstHeaderRow="1" firstDataRow="2" firstDataCol="1"/>
  <pivotFields count="32"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69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5"/>
  </rowFields>
  <rowItems count="2">
    <i>
      <x/>
    </i>
    <i t="grand">
      <x/>
    </i>
  </rowItems>
  <colFields count="1">
    <field x="19"/>
  </colFields>
  <colItems count="2">
    <i>
      <x v="1"/>
    </i>
    <i t="grand">
      <x/>
    </i>
  </colItems>
  <dataFields count="1">
    <dataField name="Contagem de OS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amal" xr10:uid="{E918E7A9-8929-47CD-A18A-EBC57C16D5A2}" sourceName="Ramal">
  <pivotTables>
    <pivotTable tabId="17" name="Tabela dinâmica2"/>
  </pivotTables>
  <data>
    <tabular pivotCacheId="886606186">
      <items count="7">
        <i x="2" s="1"/>
        <i x="0" s="1"/>
        <i x="1" s="1"/>
        <i x="4" s="1"/>
        <i x="3" s="1"/>
        <i x="5" s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inha" xr10:uid="{14D5DAEA-057A-4568-8839-3C07E2D74E08}" sourceName="Linha">
  <pivotTables>
    <pivotTable tabId="17" name="Tabela dinâmica2"/>
  </pivotTables>
  <data>
    <tabular pivotCacheId="886606186">
      <items count="13">
        <i x="1" s="1"/>
        <i x="0" s="1"/>
        <i x="2" s="1"/>
        <i x="7" s="1"/>
        <i x="6" s="1"/>
        <i x="3" s="1"/>
        <i x="10" s="1"/>
        <i x="11" s="1"/>
        <i x="5" s="1"/>
        <i x="12" s="1"/>
        <i x="8" s="1"/>
        <i x="9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Km" xr10:uid="{E4C442EC-A238-4193-A9BB-578F1D6B7E70}" sourceName="Km">
  <pivotTables>
    <pivotTable tabId="17" name="Tabela dinâmica2"/>
  </pivotTables>
  <data>
    <tabular pivotCacheId="886606186">
      <items count="41">
        <i x="27" s="1"/>
        <i x="9" s="1"/>
        <i x="38" s="1"/>
        <i x="7" s="1"/>
        <i x="29" s="1"/>
        <i x="26" s="1"/>
        <i x="15" s="1"/>
        <i x="13" s="1"/>
        <i x="40" s="1"/>
        <i x="2" s="1"/>
        <i x="28" s="1"/>
        <i x="16" s="1"/>
        <i x="31" s="1"/>
        <i x="37" s="1"/>
        <i x="39" s="1"/>
        <i x="14" s="1"/>
        <i x="34" s="1"/>
        <i x="32" s="1"/>
        <i x="35" s="1"/>
        <i x="8" s="1"/>
        <i x="3" s="1"/>
        <i x="6" s="1"/>
        <i x="20" s="1"/>
        <i x="30" s="1"/>
        <i x="4" s="1"/>
        <i x="17" s="1"/>
        <i x="5" s="1"/>
        <i x="19" s="1"/>
        <i x="25" s="1"/>
        <i x="21" s="1"/>
        <i x="1" s="1"/>
        <i x="11" s="1"/>
        <i x="36" s="1"/>
        <i x="22" s="1"/>
        <i x="23" s="1"/>
        <i x="18" s="1"/>
        <i x="33" s="1"/>
        <i x="0" s="1"/>
        <i x="10" s="1"/>
        <i x="24" s="1"/>
        <i x="1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tivo" xr10:uid="{7577D228-4F3C-4B8A-A14E-DEC3EE3D99C3}" sourceName="Ativo">
  <pivotTables>
    <pivotTable tabId="17" name="Tabela dinâmica2"/>
  </pivotTables>
  <data>
    <tabular pivotCacheId="886606186">
      <items count="38">
        <i x="0" s="1"/>
        <i x="35" s="1"/>
        <i x="31" s="1"/>
        <i x="10" s="1"/>
        <i x="15" s="1"/>
        <i x="22" s="1"/>
        <i x="6" s="1"/>
        <i x="23" s="1"/>
        <i x="25" s="1"/>
        <i x="1" s="1"/>
        <i x="26" s="1"/>
        <i x="27" s="1"/>
        <i x="9" s="1"/>
        <i x="17" s="1"/>
        <i x="11" s="1"/>
        <i x="8" s="1"/>
        <i x="24" s="1"/>
        <i x="28" s="1"/>
        <i x="29" s="1"/>
        <i x="21" s="1"/>
        <i x="30" s="1"/>
        <i x="7" s="1"/>
        <i x="4" s="1"/>
        <i x="3" s="1"/>
        <i x="18" s="1"/>
        <i x="2" s="1"/>
        <i x="12" s="1"/>
        <i x="19" s="1"/>
        <i x="33" s="1"/>
        <i x="32" s="1"/>
        <i x="20" s="1"/>
        <i x="16" s="1"/>
        <i x="13" s="1"/>
        <i x="34" s="1"/>
        <i x="5" s="1"/>
        <i x="14" s="1"/>
        <i x="36" s="1"/>
        <i x="3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amal" xr10:uid="{1B4B2334-DE36-40A1-9ABC-85F648008A9A}" cache="SegmentaçãodeDados_Ramal" caption="Ramal" style="SlicerStyleOther1" rowHeight="241300"/>
  <slicer name="Linha" xr10:uid="{53DCED3C-7A4D-4F0C-8094-461C1BDA6967}" cache="SegmentaçãodeDados_Linha" caption="Linha" startItem="2" style="SlicerStyleOther1" rowHeight="241300"/>
  <slicer name="Km" xr10:uid="{5A949D29-C41C-4CB4-A0C5-5CC4C868BBEB}" cache="SegmentaçãodeDados_Km" caption="Km" style="SlicerStyleOther1" rowHeight="241300"/>
  <slicer name="Ativo" xr10:uid="{FF624022-5662-4182-8723-53A740EA7415}" cache="SegmentaçãodeDados_Ativo" caption="Ativo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5:AE185" totalsRowShown="0" headerRowDxfId="73" dataDxfId="71" headerRowBorderDxfId="72" tableBorderDxfId="70" totalsRowBorderDxfId="69">
  <autoFilter ref="A5:AE185" xr:uid="{00000000-000C-0000-FFFF-FFFF00000000}"/>
  <sortState xmlns:xlrd2="http://schemas.microsoft.com/office/spreadsheetml/2017/richdata2" ref="A6:AE181">
    <sortCondition ref="A5:A181"/>
  </sortState>
  <tableColumns count="31">
    <tableColumn id="1" xr3:uid="{00000000-0010-0000-0000-000001000000}" name="Data" dataDxfId="68"/>
    <tableColumn id="20" xr3:uid="{B7954F5B-2AB5-4918-8AA9-766C4C92C77F}" name="Dia de semana " dataDxfId="67">
      <calculatedColumnFormula>WEEKDAY(A6)</calculatedColumnFormula>
    </tableColumn>
    <tableColumn id="2" xr3:uid="{00000000-0010-0000-0000-000002000000}" name="Hora" dataDxfId="66"/>
    <tableColumn id="3" xr3:uid="{00000000-0010-0000-0000-000003000000}" name="Severidade" dataDxfId="65"/>
    <tableColumn id="4" xr3:uid="{00000000-0010-0000-0000-000004000000}" name="Velocidade" dataDxfId="64"/>
    <tableColumn id="23" xr3:uid="{301BC3FE-190D-40C1-92C8-15E336A2B628}" name="Temperatura" dataDxfId="63"/>
    <tableColumn id="5" xr3:uid="{00000000-0010-0000-0000-000005000000}" name="TUE" dataDxfId="62"/>
    <tableColumn id="6" xr3:uid="{00000000-0010-0000-0000-000006000000}" name="Latitude" dataDxfId="61"/>
    <tableColumn id="18" xr3:uid="{A8065297-C533-452D-B024-9BB766076356}" name="Longitude" dataDxfId="60"/>
    <tableColumn id="19" xr3:uid="{6E54BE0F-F585-4B32-9D07-BD2ADF289414}" name="Ramal" dataDxfId="59"/>
    <tableColumn id="7" xr3:uid="{00000000-0010-0000-0000-000007000000}" name="Local" dataDxfId="58"/>
    <tableColumn id="28" xr3:uid="{A9F09A84-7248-4887-8625-F0D0F629BE7E}" name="Linha" dataDxfId="57"/>
    <tableColumn id="27" xr3:uid="{0C22F118-BEE5-4E17-B8A5-1AE8AC70D109}" name="Estruturas" dataDxfId="56"/>
    <tableColumn id="26" xr3:uid="{3C1C7713-4E96-44F0-9F10-31B216F83B0F}" name="Repetibilidade" dataDxfId="55"/>
    <tableColumn id="29" xr3:uid="{48C41A57-52D4-42CD-9A0D-A296AC46CEE7}" name="Km" dataDxfId="54"/>
    <tableColumn id="30" xr3:uid="{7D4866BC-AF70-4BE9-A6EA-E88EF95A16E7}" name="Ativo" dataDxfId="53"/>
    <tableColumn id="8" xr3:uid="{00000000-0010-0000-0000-000008000000}" name="URL Plataforma Web PCDS" dataDxfId="52"/>
    <tableColumn id="24" xr3:uid="{057E1B26-B789-4436-92F8-43D2B8C5D19A}" name="Encaminhado ao PCM ?" dataDxfId="51" dataCellStyle="Hiperlink"/>
    <tableColumn id="25" xr3:uid="{621DC1F9-D2B9-4022-AD87-2C1E6ADFFF37}" name="OS" dataDxfId="50" dataCellStyle="Hiperlink"/>
    <tableColumn id="9" xr3:uid="{DB762690-220C-48A3-8BDD-214D09ED7B2B}" name="Melhoria feita?" dataDxfId="49"/>
    <tableColumn id="10" xr3:uid="{53CF4D8D-52BA-4A82-9A7D-ED054C1ED1AC}" name="Data da melhoria" dataDxfId="48"/>
    <tableColumn id="16" xr3:uid="{BBC62D28-08B1-4359-98F8-B1AA17EEC395}" name="mês melhoria" dataDxfId="47">
      <calculatedColumnFormula>MONTH(T:T)</calculatedColumnFormula>
    </tableColumn>
    <tableColumn id="14" xr3:uid="{51D3FFE3-7414-49AB-B3F5-F80547EABAD4}" name="Semana" dataDxfId="46">
      <calculatedColumnFormula>WEEKNUM(Tabela1[[#This Row],[Data da melhoria]])</calculatedColumnFormula>
    </tableColumn>
    <tableColumn id="11" xr3:uid="{E3D06C48-B1E2-479E-8327-5B91241763F9}" name="Falha" dataDxfId="45"/>
    <tableColumn id="12" xr3:uid="{EFFD8822-6BEC-4235-A8C9-F0A98E7504FD}" name="Criticidade" dataDxfId="44">
      <calculatedColumnFormula>IF(Tabela1[[#This Row],[Severidade]]&lt;100, "Baixa",IF(Tabela1[[#This Row],[Severidade]]&gt;=500, "Alta","Média"))</calculatedColumnFormula>
    </tableColumn>
    <tableColumn id="15" xr3:uid="{85E5250D-A9E0-446D-AA91-699092DC115D}" name="Nivel" dataDxfId="43">
      <calculatedColumnFormula>IF(Tabela1[[#This Row],[Severidade]]&gt;499, "+500",IF(Tabela1[[#This Row],[Severidade]]&lt;=500, "-500"))</calculatedColumnFormula>
    </tableColumn>
    <tableColumn id="32" xr3:uid="{CEBF9C27-BF18-457B-95FB-9580D74E3B96}" name="Alarme reconhecido" dataDxfId="42"/>
    <tableColumn id="17" xr3:uid="{C62094AA-5A44-4EA1-B596-79838661C034}" name="Criticidade Real" dataDxfId="41"/>
    <tableColumn id="13" xr3:uid="{7AAF052D-D813-4B4C-AF17-92E4C3D169E0}" name="mês" dataDxfId="40">
      <calculatedColumnFormula>MONTH(Tabela1[[#This Row],[Data]])</calculatedColumnFormula>
    </tableColumn>
    <tableColumn id="21" xr3:uid="{49677310-6DDA-4DF4-955B-EA753F5BFCDD}" name="Horainteiro" dataDxfId="39">
      <calculatedColumnFormula>HOUR(Tabela1[[#This Row],[Hora]])</calculatedColumnFormula>
    </tableColumn>
    <tableColumn id="22" xr3:uid="{3C52EA91-E040-4C30-884B-385FF72D194D}" name="Turno" dataDxfId="38">
      <calculatedColumnFormula>IF(AND(AD6&gt;=6,AD6&lt;18),"Tarde","Noite")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dp.telemattica.com/ohw-monitoring/event/62c870d22446a70012e555ec" TargetMode="External"/><Relationship Id="rId21" Type="http://schemas.openxmlformats.org/officeDocument/2006/relationships/hyperlink" Target="https://tdp.telemattica.com/ohw-monitoring/event/62c627c25c49e40012ef9833" TargetMode="External"/><Relationship Id="rId42" Type="http://schemas.openxmlformats.org/officeDocument/2006/relationships/hyperlink" Target="https://tdp.telemattica.com/ohw-monitoring/event/62e982372446a70012ecc58e" TargetMode="External"/><Relationship Id="rId63" Type="http://schemas.openxmlformats.org/officeDocument/2006/relationships/hyperlink" Target="https://tdp.telemattica.com/ohw-monitoring/event/630f48025c49e40012ff9c97" TargetMode="External"/><Relationship Id="rId84" Type="http://schemas.openxmlformats.org/officeDocument/2006/relationships/hyperlink" Target="https://tdp.telemattica.com/ohw-monitoring/event/63262b340ac57900128086ef" TargetMode="External"/><Relationship Id="rId138" Type="http://schemas.openxmlformats.org/officeDocument/2006/relationships/hyperlink" Target="https://tdp.telemattica.com/ohw-monitoring/event/62e037c20ac579001270fa26" TargetMode="External"/><Relationship Id="rId159" Type="http://schemas.openxmlformats.org/officeDocument/2006/relationships/hyperlink" Target="https://tdp.telemattica.com/ohw-monitoring/event/63824dd50ac579001296ac95" TargetMode="External"/><Relationship Id="rId170" Type="http://schemas.openxmlformats.org/officeDocument/2006/relationships/hyperlink" Target="https://tdp.telemattica.com/ohw-monitoring/event/638be52b0ac57900129a4410" TargetMode="External"/><Relationship Id="rId107" Type="http://schemas.openxmlformats.org/officeDocument/2006/relationships/hyperlink" Target="https://tdp.telemattica.com/ohw-monitoring/event/63501128f009af0012c7c38a" TargetMode="External"/><Relationship Id="rId11" Type="http://schemas.openxmlformats.org/officeDocument/2006/relationships/hyperlink" Target="https://tdp.telemattica.com/ohw-monitoring/event/62ba3b155c49e40012ecc5f1" TargetMode="External"/><Relationship Id="rId32" Type="http://schemas.openxmlformats.org/officeDocument/2006/relationships/hyperlink" Target="https://tdp.telemattica.com/ohw-monitoring/event/62d6e51ef009af0012ac5fb4" TargetMode="External"/><Relationship Id="rId53" Type="http://schemas.openxmlformats.org/officeDocument/2006/relationships/hyperlink" Target="https://tdp.telemattica.com/ohw-monitoring/event/62eecd152446a70012edcea2" TargetMode="External"/><Relationship Id="rId74" Type="http://schemas.openxmlformats.org/officeDocument/2006/relationships/hyperlink" Target="https://tdp.telemattica.com/ohw-monitoring/event/63136cb0f009af0012b90843" TargetMode="External"/><Relationship Id="rId128" Type="http://schemas.openxmlformats.org/officeDocument/2006/relationships/hyperlink" Target="https://tdp.telemattica.com/ohw-monitoring/event/63109d620ac57900127b5102" TargetMode="External"/><Relationship Id="rId149" Type="http://schemas.openxmlformats.org/officeDocument/2006/relationships/hyperlink" Target="https://tdp.telemattica.com/ohw-monitoring/event/636535220ac57900128f91fd" TargetMode="External"/><Relationship Id="rId5" Type="http://schemas.openxmlformats.org/officeDocument/2006/relationships/hyperlink" Target="https://tdp.telemattica.com/ohw-monitoring/event/62ab3a250ac579001264aa38" TargetMode="External"/><Relationship Id="rId95" Type="http://schemas.openxmlformats.org/officeDocument/2006/relationships/hyperlink" Target="https://tdp.telemattica.com/ohw-monitoring/event/6335f0f3f009af0012c14185" TargetMode="External"/><Relationship Id="rId160" Type="http://schemas.openxmlformats.org/officeDocument/2006/relationships/hyperlink" Target="https://tdp.telemattica.com/ohw-monitoring/event/63871f282446a70012125d78" TargetMode="External"/><Relationship Id="rId181" Type="http://schemas.openxmlformats.org/officeDocument/2006/relationships/vmlDrawing" Target="../drawings/vmlDrawing1.vml"/><Relationship Id="rId22" Type="http://schemas.openxmlformats.org/officeDocument/2006/relationships/hyperlink" Target="https://tdp.telemattica.com/ohw-monitoring/event/62c6eed70ac57900126b2acb" TargetMode="External"/><Relationship Id="rId43" Type="http://schemas.openxmlformats.org/officeDocument/2006/relationships/hyperlink" Target="https://tdp.telemattica.com/ohw-monitoring/event/62e076acf009af0012ae50d0" TargetMode="External"/><Relationship Id="rId64" Type="http://schemas.openxmlformats.org/officeDocument/2006/relationships/hyperlink" Target="https://tdp.telemattica.com/ohw-monitoring/event/630f639c5c49e40012ffa267" TargetMode="External"/><Relationship Id="rId118" Type="http://schemas.openxmlformats.org/officeDocument/2006/relationships/hyperlink" Target="https://tdp.telemattica.com/ohw-monitoring/event/62a77eadf009af0012a11381" TargetMode="External"/><Relationship Id="rId139" Type="http://schemas.openxmlformats.org/officeDocument/2006/relationships/hyperlink" Target="https://tdp.telemattica.com/ohw-monitoring/event/631f862d2446a70012f81af2" TargetMode="External"/><Relationship Id="rId85" Type="http://schemas.openxmlformats.org/officeDocument/2006/relationships/hyperlink" Target="https://tdp.telemattica.com/ohw-monitoring/event/63011b782446a70012f181f2" TargetMode="External"/><Relationship Id="rId150" Type="http://schemas.openxmlformats.org/officeDocument/2006/relationships/hyperlink" Target="https://tdp.telemattica.com/ohw-monitoring/event/63655b77f009af0012ccc809" TargetMode="External"/><Relationship Id="rId171" Type="http://schemas.openxmlformats.org/officeDocument/2006/relationships/hyperlink" Target="https://tdp.telemattica.com/ohw-monitoring/event/638e3f5e2446a70012142c1a" TargetMode="External"/><Relationship Id="rId12" Type="http://schemas.openxmlformats.org/officeDocument/2006/relationships/hyperlink" Target="https://tdp.telemattica.com/ohw-monitoring/event/62b19ff72446a70012dff91f" TargetMode="External"/><Relationship Id="rId33" Type="http://schemas.openxmlformats.org/officeDocument/2006/relationships/hyperlink" Target="https://tdp.telemattica.com/ohw-monitoring/event/62d728082446a70012e8c3ee" TargetMode="External"/><Relationship Id="rId108" Type="http://schemas.openxmlformats.org/officeDocument/2006/relationships/hyperlink" Target="https://tdp.telemattica.com/ohw-monitoring/event/63567cfa0ac57900128bf257" TargetMode="External"/><Relationship Id="rId129" Type="http://schemas.openxmlformats.org/officeDocument/2006/relationships/hyperlink" Target="https://tdp.telemattica.com/ohw-monitoring/event/62ee4df52446a70012edb90e" TargetMode="External"/><Relationship Id="rId54" Type="http://schemas.openxmlformats.org/officeDocument/2006/relationships/hyperlink" Target="https://tdp.telemattica.com/ohw-monitoring/event/62f180fe0ac57900127485d4" TargetMode="External"/><Relationship Id="rId75" Type="http://schemas.openxmlformats.org/officeDocument/2006/relationships/hyperlink" Target="https://tdp.telemattica.com/ohw-monitoring/event/6313a2ee5c49e40012008404" TargetMode="External"/><Relationship Id="rId96" Type="http://schemas.openxmlformats.org/officeDocument/2006/relationships/hyperlink" Target="https://tdp.telemattica.com/ohw-monitoring/event/633b17010ac5790012852e98" TargetMode="External"/><Relationship Id="rId140" Type="http://schemas.openxmlformats.org/officeDocument/2006/relationships/hyperlink" Target="https://tdp.telemattica.com/ohw-monitoring/event/62c72bce0ac57900126b3360" TargetMode="External"/><Relationship Id="rId161" Type="http://schemas.openxmlformats.org/officeDocument/2006/relationships/hyperlink" Target="https://tdp.telemattica.com/ohw-monitoring/event/638756d45c49e400121d8629" TargetMode="External"/><Relationship Id="rId182" Type="http://schemas.openxmlformats.org/officeDocument/2006/relationships/table" Target="../tables/table1.xml"/><Relationship Id="rId6" Type="http://schemas.openxmlformats.org/officeDocument/2006/relationships/hyperlink" Target="https://tdp.telemattica.com/ohw-monitoring/event/62a7bf2b0ac579001263cf5d" TargetMode="External"/><Relationship Id="rId23" Type="http://schemas.openxmlformats.org/officeDocument/2006/relationships/hyperlink" Target="https://tdp.telemattica.com/ohw-monitoring/event/62c73528f009af0012a8a278" TargetMode="External"/><Relationship Id="rId119" Type="http://schemas.openxmlformats.org/officeDocument/2006/relationships/hyperlink" Target="https://tdp.telemattica.com/ohw-monitoring/event/62e84d522446a70012ec7931" TargetMode="External"/><Relationship Id="rId44" Type="http://schemas.openxmlformats.org/officeDocument/2006/relationships/hyperlink" Target="https://tdp.telemattica.com/ohw-monitoring/event/62e982970ac579001272f861" TargetMode="External"/><Relationship Id="rId60" Type="http://schemas.openxmlformats.org/officeDocument/2006/relationships/hyperlink" Target="https://tdp.telemattica.com/ohw-monitoring/event/6307e0350ac5790012795f27" TargetMode="External"/><Relationship Id="rId65" Type="http://schemas.openxmlformats.org/officeDocument/2006/relationships/hyperlink" Target="https://tdp.telemattica.com/ohw-monitoring/event/631088662446a70012f50576" TargetMode="External"/><Relationship Id="rId81" Type="http://schemas.openxmlformats.org/officeDocument/2006/relationships/hyperlink" Target="https://tdp.telemattica.com/ohw-monitoring/event/62bd82fd5c49e40012ed9ccd" TargetMode="External"/><Relationship Id="rId86" Type="http://schemas.openxmlformats.org/officeDocument/2006/relationships/hyperlink" Target="https://tdp.telemattica.com/ohw-monitoring/event/630fbe2c2446a70012f4c540" TargetMode="External"/><Relationship Id="rId130" Type="http://schemas.openxmlformats.org/officeDocument/2006/relationships/hyperlink" Target="https://tdp.telemattica.com/ohw-monitoring/event/62ed34950ac579001273c140" TargetMode="External"/><Relationship Id="rId135" Type="http://schemas.openxmlformats.org/officeDocument/2006/relationships/hyperlink" Target="https://tdp.telemattica.com/ohw-monitoring/event/62c16180f009af0012a73fca" TargetMode="External"/><Relationship Id="rId151" Type="http://schemas.openxmlformats.org/officeDocument/2006/relationships/hyperlink" Target="https://tdp.telemattica.com/ohw-monitoring/event/6368f76e0ac5790012906970" TargetMode="External"/><Relationship Id="rId156" Type="http://schemas.openxmlformats.org/officeDocument/2006/relationships/hyperlink" Target="https://tdp.telemattica.com/ohw-monitoring/event/636b92eb5c49e4001215c5e8" TargetMode="External"/><Relationship Id="rId177" Type="http://schemas.openxmlformats.org/officeDocument/2006/relationships/hyperlink" Target="https://tdp.telemattica.com/ohw-monitoring/event/63a2f1122446a700121924d5" TargetMode="External"/><Relationship Id="rId172" Type="http://schemas.openxmlformats.org/officeDocument/2006/relationships/hyperlink" Target="https://tdp.telemattica.com/ohw-monitoring/event/639701a80ac57900129d0f5a" TargetMode="External"/><Relationship Id="rId13" Type="http://schemas.openxmlformats.org/officeDocument/2006/relationships/hyperlink" Target="https://tdp.telemattica.com/ohw-monitoring/event/62be2b240ac5790012692713" TargetMode="External"/><Relationship Id="rId18" Type="http://schemas.openxmlformats.org/officeDocument/2006/relationships/hyperlink" Target="https://tdp.telemattica.com/ohw-monitoring/event/62c40098f009af0012a7d547" TargetMode="External"/><Relationship Id="rId39" Type="http://schemas.openxmlformats.org/officeDocument/2006/relationships/hyperlink" Target="https://tdp.telemattica.com/ohw-monitoring/event/62e037ab0ac579001270fa23" TargetMode="External"/><Relationship Id="rId109" Type="http://schemas.openxmlformats.org/officeDocument/2006/relationships/hyperlink" Target="https://tdp.telemattica.com/ohw-monitoring/event/6356bbd80ac57900128bfc73" TargetMode="External"/><Relationship Id="rId34" Type="http://schemas.openxmlformats.org/officeDocument/2006/relationships/hyperlink" Target="https://tdp.telemattica.com/ohw-monitoring/event/62d751c6f009af0012ac746f" TargetMode="External"/><Relationship Id="rId50" Type="http://schemas.openxmlformats.org/officeDocument/2006/relationships/hyperlink" Target="https://tdp.telemattica.com/ohw-monitoring/event/62ee8c392446a70012edc2cf" TargetMode="External"/><Relationship Id="rId55" Type="http://schemas.openxmlformats.org/officeDocument/2006/relationships/hyperlink" Target="https://tdp.telemattica.com/ohw-monitoring/event/6303c7d8f009af0012b588b8" TargetMode="External"/><Relationship Id="rId76" Type="http://schemas.openxmlformats.org/officeDocument/2006/relationships/hyperlink" Target="https://tdp.telemattica.com/ohw-monitoring/event/63131b5f2446a70012f5889e" TargetMode="External"/><Relationship Id="rId97" Type="http://schemas.openxmlformats.org/officeDocument/2006/relationships/hyperlink" Target="https://tdp.telemattica.com/ohw-monitoring/event/633c91cff009af0012c2bb17" TargetMode="External"/><Relationship Id="rId104" Type="http://schemas.openxmlformats.org/officeDocument/2006/relationships/hyperlink" Target="https://tdp.telemattica.com/ohw-monitoring/event/634d3d6e0ac579001289c516" TargetMode="External"/><Relationship Id="rId120" Type="http://schemas.openxmlformats.org/officeDocument/2006/relationships/hyperlink" Target="https://tdp.telemattica.com/ohw-monitoring/event/6318f834f009af0012ba3148" TargetMode="External"/><Relationship Id="rId125" Type="http://schemas.openxmlformats.org/officeDocument/2006/relationships/hyperlink" Target="https://tdp.telemattica.com/ohw-monitoring/event/62facd97f009af0012b3a9d7" TargetMode="External"/><Relationship Id="rId141" Type="http://schemas.openxmlformats.org/officeDocument/2006/relationships/hyperlink" Target="https://tdp.telemattica.com/ohw-monitoring/event/6325a4002446a70012f9caba" TargetMode="External"/><Relationship Id="rId146" Type="http://schemas.openxmlformats.org/officeDocument/2006/relationships/hyperlink" Target="https://tdp.telemattica.com/ohw-monitoring/event/6361891a2446a7001207b6fd" TargetMode="External"/><Relationship Id="rId167" Type="http://schemas.openxmlformats.org/officeDocument/2006/relationships/hyperlink" Target="https://tdp.telemattica.com/ohw-monitoring/event/638bd0382446a70012139e1b" TargetMode="External"/><Relationship Id="rId7" Type="http://schemas.openxmlformats.org/officeDocument/2006/relationships/hyperlink" Target="https://tdp.telemattica.com/ohw-monitoring/event/62a68f4d5c49e40012e842a7" TargetMode="External"/><Relationship Id="rId71" Type="http://schemas.openxmlformats.org/officeDocument/2006/relationships/hyperlink" Target="https://tdp.telemattica.com/ohw-monitoring/event/6310bd5c2446a70012f5112d" TargetMode="External"/><Relationship Id="rId92" Type="http://schemas.openxmlformats.org/officeDocument/2006/relationships/hyperlink" Target="https://tdp.telemattica.com/ohw-monitoring/event/63136c2c2446a70012f59228" TargetMode="External"/><Relationship Id="rId162" Type="http://schemas.openxmlformats.org/officeDocument/2006/relationships/hyperlink" Target="https://tdp.telemattica.com/ohw-monitoring/event/6389d2c3f009af0012d6e45d" TargetMode="External"/><Relationship Id="rId183" Type="http://schemas.openxmlformats.org/officeDocument/2006/relationships/comments" Target="../comments1.xml"/><Relationship Id="rId2" Type="http://schemas.openxmlformats.org/officeDocument/2006/relationships/hyperlink" Target="https://tdp.telemattica.com/ohw-monitoring/event/62a76a3ef009af0012a1116f" TargetMode="External"/><Relationship Id="rId29" Type="http://schemas.openxmlformats.org/officeDocument/2006/relationships/hyperlink" Target="https://tdp.telemattica.com/ohw-monitoring/event/62cdbb61f009af0012aa18b2" TargetMode="External"/><Relationship Id="rId24" Type="http://schemas.openxmlformats.org/officeDocument/2006/relationships/hyperlink" Target="https://tdp.telemattica.com/ohw-monitoring/event/62c8b05af009af0012a8ff40" TargetMode="External"/><Relationship Id="rId40" Type="http://schemas.openxmlformats.org/officeDocument/2006/relationships/hyperlink" Target="https://tdp.telemattica.com/ohw-monitoring/event/62e106c4f009af0012ae75ad" TargetMode="External"/><Relationship Id="rId45" Type="http://schemas.openxmlformats.org/officeDocument/2006/relationships/hyperlink" Target="https://tdp.telemattica.com/ohw-monitoring/event/62ea53baf009af0012b07437" TargetMode="External"/><Relationship Id="rId66" Type="http://schemas.openxmlformats.org/officeDocument/2006/relationships/hyperlink" Target="https://tdp.telemattica.com/ohw-monitoring/event/631095920ac57900127b4e18" TargetMode="External"/><Relationship Id="rId87" Type="http://schemas.openxmlformats.org/officeDocument/2006/relationships/hyperlink" Target="https://tdp.telemattica.com/ohw-monitoring/event/630fcd74f009af0012b8357b" TargetMode="External"/><Relationship Id="rId110" Type="http://schemas.openxmlformats.org/officeDocument/2006/relationships/hyperlink" Target="https://tdp.telemattica.com/ohw-monitoring/event/63585cee0ac57900128c6600" TargetMode="External"/><Relationship Id="rId115" Type="http://schemas.openxmlformats.org/officeDocument/2006/relationships/hyperlink" Target="https://tdp.telemattica.com/ohw-monitoring/event/6319b9e35c49e4001201ee95" TargetMode="External"/><Relationship Id="rId131" Type="http://schemas.openxmlformats.org/officeDocument/2006/relationships/hyperlink" Target="https://tdp.telemattica.com/ohw-monitoring/event/62ed34950ac579001273c140" TargetMode="External"/><Relationship Id="rId136" Type="http://schemas.openxmlformats.org/officeDocument/2006/relationships/hyperlink" Target="https://tdp.telemattica.com/ohw-monitoring/event/62c841340ac57900126b81df" TargetMode="External"/><Relationship Id="rId157" Type="http://schemas.openxmlformats.org/officeDocument/2006/relationships/hyperlink" Target="https://tdp.telemattica.com/ohw-monitoring/event/636d77f22446a700120ab85e" TargetMode="External"/><Relationship Id="rId178" Type="http://schemas.openxmlformats.org/officeDocument/2006/relationships/hyperlink" Target="https://tdp.telemattica.com/ohw-monitoring/event/63a059c40ac57900129f229b" TargetMode="External"/><Relationship Id="rId61" Type="http://schemas.openxmlformats.org/officeDocument/2006/relationships/hyperlink" Target="https://tdp.telemattica.com/ohw-monitoring/event/630cf7ea0ac57900127a5b5c" TargetMode="External"/><Relationship Id="rId82" Type="http://schemas.openxmlformats.org/officeDocument/2006/relationships/hyperlink" Target="https://tdp.telemattica.com/ohw-monitoring/event/63235f1a0ac57900127fc948" TargetMode="External"/><Relationship Id="rId152" Type="http://schemas.openxmlformats.org/officeDocument/2006/relationships/hyperlink" Target="https://tdp.telemattica.com/ohw-monitoring/event/63693126f009af0012cdb293" TargetMode="External"/><Relationship Id="rId173" Type="http://schemas.openxmlformats.org/officeDocument/2006/relationships/hyperlink" Target="https://tdp.telemattica.com/ohw-monitoring/event/6364253a0ac57900128f3b15" TargetMode="External"/><Relationship Id="rId19" Type="http://schemas.openxmlformats.org/officeDocument/2006/relationships/hyperlink" Target="https://tdp.telemattica.com/ohw-monitoring/event/62c40f0f2446a70012e4389d" TargetMode="External"/><Relationship Id="rId14" Type="http://schemas.openxmlformats.org/officeDocument/2006/relationships/hyperlink" Target="https://tdp.telemattica.com/ohw-monitoring/event/62be46d95c49e40012edc646" TargetMode="External"/><Relationship Id="rId30" Type="http://schemas.openxmlformats.org/officeDocument/2006/relationships/hyperlink" Target="https://tdp.telemattica.com/ohw-monitoring/event/62cf4fb65c49e40012f1c7cd" TargetMode="External"/><Relationship Id="rId35" Type="http://schemas.openxmlformats.org/officeDocument/2006/relationships/hyperlink" Target="https://tdp.telemattica.com/ohw-monitoring/event/62d7cdfd5c49e40012f3cebc" TargetMode="External"/><Relationship Id="rId56" Type="http://schemas.openxmlformats.org/officeDocument/2006/relationships/hyperlink" Target="https://tdp.telemattica.com/ohw-monitoring/event/6303cef9f009af0012b58988" TargetMode="External"/><Relationship Id="rId77" Type="http://schemas.openxmlformats.org/officeDocument/2006/relationships/hyperlink" Target="https://tdp.telemattica.com/ohw-monitoring/event/6310fac95c49e40012000461" TargetMode="External"/><Relationship Id="rId100" Type="http://schemas.openxmlformats.org/officeDocument/2006/relationships/hyperlink" Target="https://tdp.telemattica.com/ohw-monitoring/event/6341a1665c49e400120b6108" TargetMode="External"/><Relationship Id="rId105" Type="http://schemas.openxmlformats.org/officeDocument/2006/relationships/hyperlink" Target="https://tdp.telemattica.com/ohw-monitoring/event/634d756c2446a70012030b3d" TargetMode="External"/><Relationship Id="rId126" Type="http://schemas.openxmlformats.org/officeDocument/2006/relationships/hyperlink" Target="https://tdp.telemattica.com/ohw-monitoring/event/62cff843f009af0012aab395" TargetMode="External"/><Relationship Id="rId147" Type="http://schemas.openxmlformats.org/officeDocument/2006/relationships/hyperlink" Target="https://tdp.telemattica.com/ohw-monitoring/event/6363ddf00ac57900128f28e2" TargetMode="External"/><Relationship Id="rId168" Type="http://schemas.openxmlformats.org/officeDocument/2006/relationships/hyperlink" Target="https://tdp.telemattica.com/ohw-monitoring/event/638be08b2446a7001213a074" TargetMode="External"/><Relationship Id="rId8" Type="http://schemas.openxmlformats.org/officeDocument/2006/relationships/hyperlink" Target="https://tdp.telemattica.com/ohw-monitoring/event/62b1a34a5c49e40012ead630" TargetMode="External"/><Relationship Id="rId51" Type="http://schemas.openxmlformats.org/officeDocument/2006/relationships/hyperlink" Target="https://tdp.telemattica.com/ohw-monitoring/event/62ee8c575c49e40012f89465" TargetMode="External"/><Relationship Id="rId72" Type="http://schemas.openxmlformats.org/officeDocument/2006/relationships/hyperlink" Target="https://tdp.telemattica.com/ohw-monitoring/event/63133310f009af0012b8fed7" TargetMode="External"/><Relationship Id="rId93" Type="http://schemas.openxmlformats.org/officeDocument/2006/relationships/hyperlink" Target="https://tdp.telemattica.com/ohw-monitoring/event/6317a7320ac57900127cd502" TargetMode="External"/><Relationship Id="rId98" Type="http://schemas.openxmlformats.org/officeDocument/2006/relationships/hyperlink" Target="https://tdp.telemattica.com/ohw-monitoring/event/633d8b7f0ac579001285ce51" TargetMode="External"/><Relationship Id="rId121" Type="http://schemas.openxmlformats.org/officeDocument/2006/relationships/hyperlink" Target="https://tdp.telemattica.com/ohw-monitoring/event/631095dd2446a70012f5087e" TargetMode="External"/><Relationship Id="rId142" Type="http://schemas.openxmlformats.org/officeDocument/2006/relationships/hyperlink" Target="https://tdp.telemattica.com/ohw-monitoring/event/635aecce2446a70012062e7a" TargetMode="External"/><Relationship Id="rId163" Type="http://schemas.openxmlformats.org/officeDocument/2006/relationships/hyperlink" Target="https://tdp.telemattica.com/ohw-monitoring/event/638b28652446a70012137f23" TargetMode="External"/><Relationship Id="rId3" Type="http://schemas.openxmlformats.org/officeDocument/2006/relationships/hyperlink" Target="https://tdp.telemattica.com/ohw-monitoring/event/62ae26415c49e40012e9fadc" TargetMode="External"/><Relationship Id="rId25" Type="http://schemas.openxmlformats.org/officeDocument/2006/relationships/hyperlink" Target="https://tdp.telemattica.com/ohw-monitoring/event/62c95a71f009af0012a92f03" TargetMode="External"/><Relationship Id="rId46" Type="http://schemas.openxmlformats.org/officeDocument/2006/relationships/hyperlink" Target="https://tdp.telemattica.com/ohw-monitoring/event/62eb07280ac5790012735029" TargetMode="External"/><Relationship Id="rId67" Type="http://schemas.openxmlformats.org/officeDocument/2006/relationships/hyperlink" Target="https://tdp.telemattica.com/ohw-monitoring/event/6310a3a0f009af0012b87a5c" TargetMode="External"/><Relationship Id="rId116" Type="http://schemas.openxmlformats.org/officeDocument/2006/relationships/hyperlink" Target="https://tdp.telemattica.com/ohw-monitoring/event/62a7bf580ac579001263cf6c" TargetMode="External"/><Relationship Id="rId137" Type="http://schemas.openxmlformats.org/officeDocument/2006/relationships/hyperlink" Target="https://tdp.telemattica.com/ohw-monitoring/event/62ed804c2446a70012ed90b7" TargetMode="External"/><Relationship Id="rId158" Type="http://schemas.openxmlformats.org/officeDocument/2006/relationships/hyperlink" Target="https://tdp.telemattica.com/ohw-monitoring/event/637cc7eb0ac5790012955729" TargetMode="External"/><Relationship Id="rId20" Type="http://schemas.openxmlformats.org/officeDocument/2006/relationships/hyperlink" Target="https://tdp.telemattica.com/ohw-monitoring/event/62c563df5c49e40012ef6d8b" TargetMode="External"/><Relationship Id="rId41" Type="http://schemas.openxmlformats.org/officeDocument/2006/relationships/hyperlink" Target="https://tdp.telemattica.com/ohw-monitoring/event/62e1b4542446a70012eb12ca" TargetMode="External"/><Relationship Id="rId62" Type="http://schemas.openxmlformats.org/officeDocument/2006/relationships/hyperlink" Target="https://tdp.telemattica.com/ohw-monitoring/event/630d45180ac57900127a6b86" TargetMode="External"/><Relationship Id="rId83" Type="http://schemas.openxmlformats.org/officeDocument/2006/relationships/hyperlink" Target="https://tdp.telemattica.com/ohw-monitoring/event/6325cec20ac5790012807659" TargetMode="External"/><Relationship Id="rId88" Type="http://schemas.openxmlformats.org/officeDocument/2006/relationships/hyperlink" Target="https://tdp.telemattica.com/ohw-monitoring/event/63108ea6f009af0012b87693" TargetMode="External"/><Relationship Id="rId111" Type="http://schemas.openxmlformats.org/officeDocument/2006/relationships/hyperlink" Target="https://tdp.telemattica.com/ohw-monitoring/event/631c5bf70ac57900127df9a6" TargetMode="External"/><Relationship Id="rId132" Type="http://schemas.openxmlformats.org/officeDocument/2006/relationships/hyperlink" Target="https://tdp.telemattica.com/ohw-monitoring/event/62ed34950ac579001273c140" TargetMode="External"/><Relationship Id="rId153" Type="http://schemas.openxmlformats.org/officeDocument/2006/relationships/hyperlink" Target="https://tdp.telemattica.com/ohw-monitoring/event/636a24b62446a7001209d739" TargetMode="External"/><Relationship Id="rId174" Type="http://schemas.openxmlformats.org/officeDocument/2006/relationships/hyperlink" Target="https://tdp.telemattica.com/ohw-monitoring/event/6398949ff009af0012da6abc" TargetMode="External"/><Relationship Id="rId179" Type="http://schemas.openxmlformats.org/officeDocument/2006/relationships/printerSettings" Target="../printerSettings/printerSettings1.bin"/><Relationship Id="rId15" Type="http://schemas.openxmlformats.org/officeDocument/2006/relationships/hyperlink" Target="https://tdp.telemattica.com/ohw-monitoring/event/62c0c3d35c49e40012ee4572" TargetMode="External"/><Relationship Id="rId36" Type="http://schemas.openxmlformats.org/officeDocument/2006/relationships/hyperlink" Target="https://tdp.telemattica.com/ohw-monitoring/event/62dc1d012446a70012e9d83b" TargetMode="External"/><Relationship Id="rId57" Type="http://schemas.openxmlformats.org/officeDocument/2006/relationships/hyperlink" Target="https://tdp.telemattica.com/ohw-monitoring/event/6303e405f009af0012b58ee8" TargetMode="External"/><Relationship Id="rId106" Type="http://schemas.openxmlformats.org/officeDocument/2006/relationships/hyperlink" Target="https://tdp.telemattica.com/ohw-monitoring/event/634d74dd2446a70012030b32" TargetMode="External"/><Relationship Id="rId127" Type="http://schemas.openxmlformats.org/officeDocument/2006/relationships/hyperlink" Target="https://tdp.telemattica.com/ohw-monitoring/event/6303e3da0ac579001278644e" TargetMode="External"/><Relationship Id="rId10" Type="http://schemas.openxmlformats.org/officeDocument/2006/relationships/hyperlink" Target="https://tdp.telemattica.com/ohw-monitoring/event/62b9da630ac5790012681fcf" TargetMode="External"/><Relationship Id="rId31" Type="http://schemas.openxmlformats.org/officeDocument/2006/relationships/hyperlink" Target="https://tdp.telemattica.com/ohw-monitoring/event/62d53a305c49e40012f33445" TargetMode="External"/><Relationship Id="rId52" Type="http://schemas.openxmlformats.org/officeDocument/2006/relationships/hyperlink" Target="https://tdp.telemattica.com/ohw-monitoring/event/62eeb29a0ac579001274008b" TargetMode="External"/><Relationship Id="rId73" Type="http://schemas.openxmlformats.org/officeDocument/2006/relationships/hyperlink" Target="https://tdp.telemattica.com/ohw-monitoring/event/631333272446a70012f58b45" TargetMode="External"/><Relationship Id="rId78" Type="http://schemas.openxmlformats.org/officeDocument/2006/relationships/hyperlink" Target="https://tdp.telemattica.com/ohw-monitoring/event/631b1f5f0ac57900127dc1e7" TargetMode="External"/><Relationship Id="rId94" Type="http://schemas.openxmlformats.org/officeDocument/2006/relationships/hyperlink" Target="https://tdp.telemattica.com/ohw-monitoring/event/632dd7da5c49e4001206ec12" TargetMode="External"/><Relationship Id="rId99" Type="http://schemas.openxmlformats.org/officeDocument/2006/relationships/hyperlink" Target="https://tdp.telemattica.com/ohw-monitoring/event/633de6ef2446a70012ff22d7" TargetMode="External"/><Relationship Id="rId101" Type="http://schemas.openxmlformats.org/officeDocument/2006/relationships/hyperlink" Target="https://tdp.telemattica.com/ohw-monitoring/event/6341af632446a700120020f2" TargetMode="External"/><Relationship Id="rId122" Type="http://schemas.openxmlformats.org/officeDocument/2006/relationships/hyperlink" Target="https://tdp.telemattica.com/ohw-monitoring/event/631b1fea0ac57900127dc1f4" TargetMode="External"/><Relationship Id="rId143" Type="http://schemas.openxmlformats.org/officeDocument/2006/relationships/hyperlink" Target="https://tdp.telemattica.com/ohw-monitoring/event/635afb302446a70012063313" TargetMode="External"/><Relationship Id="rId148" Type="http://schemas.openxmlformats.org/officeDocument/2006/relationships/hyperlink" Target="https://tdp.telemattica.com/ohw-monitoring/event/636403580ac57900128f2e7a" TargetMode="External"/><Relationship Id="rId164" Type="http://schemas.openxmlformats.org/officeDocument/2006/relationships/hyperlink" Target="https://tdp.telemattica.com/ohw-monitoring/event/638b49cd2446a700121384a3" TargetMode="External"/><Relationship Id="rId169" Type="http://schemas.openxmlformats.org/officeDocument/2006/relationships/hyperlink" Target="https://tdp.telemattica.com/ohw-monitoring/event/638be5050ac57900129a43fe" TargetMode="External"/><Relationship Id="rId4" Type="http://schemas.openxmlformats.org/officeDocument/2006/relationships/hyperlink" Target="https://tdp.telemattica.com/ohw-monitoring/event/62b0906bf009af0012a34666" TargetMode="External"/><Relationship Id="rId9" Type="http://schemas.openxmlformats.org/officeDocument/2006/relationships/hyperlink" Target="https://tdp.telemattica.com/ohw-monitoring/event/62b23f2e2446a70012e0142c" TargetMode="External"/><Relationship Id="rId180" Type="http://schemas.openxmlformats.org/officeDocument/2006/relationships/drawing" Target="../drawings/drawing1.xml"/><Relationship Id="rId26" Type="http://schemas.openxmlformats.org/officeDocument/2006/relationships/hyperlink" Target="https://tdp.telemattica.com/ohw-monitoring/event/62ccb5c95c49e40012f11e3e" TargetMode="External"/><Relationship Id="rId47" Type="http://schemas.openxmlformats.org/officeDocument/2006/relationships/hyperlink" Target="https://tdp.telemattica.com/ohw-monitoring/event/62eb153a2446a70012ed18b6" TargetMode="External"/><Relationship Id="rId68" Type="http://schemas.openxmlformats.org/officeDocument/2006/relationships/hyperlink" Target="https://tdp.telemattica.com/ohw-monitoring/event/631095cdf009af0012b8780e" TargetMode="External"/><Relationship Id="rId89" Type="http://schemas.openxmlformats.org/officeDocument/2006/relationships/hyperlink" Target="https://tdp.telemattica.com/ohw-monitoring/event/63108eb20ac57900127b4d31" TargetMode="External"/><Relationship Id="rId112" Type="http://schemas.openxmlformats.org/officeDocument/2006/relationships/hyperlink" Target="https://tdp.telemattica.com/ohw-monitoring/event/632d8856f009af0012bf5fa5" TargetMode="External"/><Relationship Id="rId133" Type="http://schemas.openxmlformats.org/officeDocument/2006/relationships/hyperlink" Target="https://tdp.telemattica.com/ohw-monitoring/event/62aa2d0c0ac579001264636f" TargetMode="External"/><Relationship Id="rId154" Type="http://schemas.openxmlformats.org/officeDocument/2006/relationships/hyperlink" Target="https://tdp.telemattica.com/ohw-monitoring/event/636a9a64f009af0012ce133a" TargetMode="External"/><Relationship Id="rId175" Type="http://schemas.openxmlformats.org/officeDocument/2006/relationships/hyperlink" Target="https://tdp.telemattica.com/ohw-monitoring/event/6399cada2446a7001216ed4f" TargetMode="External"/><Relationship Id="rId16" Type="http://schemas.openxmlformats.org/officeDocument/2006/relationships/hyperlink" Target="https://tdp.telemattica.com/ohw-monitoring/event/62c1622ef009af0012a73feb" TargetMode="External"/><Relationship Id="rId37" Type="http://schemas.openxmlformats.org/officeDocument/2006/relationships/hyperlink" Target="https://tdp.telemattica.com/ohw-monitoring/event/62dc76870ac5790012703078" TargetMode="External"/><Relationship Id="rId58" Type="http://schemas.openxmlformats.org/officeDocument/2006/relationships/hyperlink" Target="https://tdp.telemattica.com/ohw-monitoring/event/63056d8ef009af0012b5d1a2" TargetMode="External"/><Relationship Id="rId79" Type="http://schemas.openxmlformats.org/officeDocument/2006/relationships/hyperlink" Target="https://tdp.telemattica.com/ohw-monitoring/event/632080f1f009af0012bc0c21" TargetMode="External"/><Relationship Id="rId102" Type="http://schemas.openxmlformats.org/officeDocument/2006/relationships/hyperlink" Target="https://tdp.telemattica.com/ohw-monitoring/event/6341d6a22446a7001200290f" TargetMode="External"/><Relationship Id="rId123" Type="http://schemas.openxmlformats.org/officeDocument/2006/relationships/hyperlink" Target="https://tdp.telemattica.com/ohw-monitoring/event/6321c6b32446a70012f8bc27" TargetMode="External"/><Relationship Id="rId144" Type="http://schemas.openxmlformats.org/officeDocument/2006/relationships/hyperlink" Target="https://tdp.telemattica.com/ohw-monitoring/event/635c711d5c49e4001211df40" TargetMode="External"/><Relationship Id="rId90" Type="http://schemas.openxmlformats.org/officeDocument/2006/relationships/hyperlink" Target="https://tdp.telemattica.com/ohw-monitoring/event/63109cbcf009af0012b879a6" TargetMode="External"/><Relationship Id="rId165" Type="http://schemas.openxmlformats.org/officeDocument/2006/relationships/hyperlink" Target="https://tdp.telemattica.com/ohw-monitoring/event/638b65ab0ac57900129a2edc" TargetMode="External"/><Relationship Id="rId27" Type="http://schemas.openxmlformats.org/officeDocument/2006/relationships/hyperlink" Target="https://tdp.telemattica.com/ohw-monitoring/event/62cd7bcc2446a70012e67254" TargetMode="External"/><Relationship Id="rId48" Type="http://schemas.openxmlformats.org/officeDocument/2006/relationships/hyperlink" Target="https://tdp.telemattica.com/ohw-monitoring/event/62ed268b5c49e40012f85de8" TargetMode="External"/><Relationship Id="rId69" Type="http://schemas.openxmlformats.org/officeDocument/2006/relationships/hyperlink" Target="https://tdp.telemattica.com/ohw-monitoring/event/6310ab320ac57900127b53ef" TargetMode="External"/><Relationship Id="rId113" Type="http://schemas.openxmlformats.org/officeDocument/2006/relationships/hyperlink" Target="https://tdp.telemattica.com/ohw-monitoring/event/6310e9ea0ac57900127b633a" TargetMode="External"/><Relationship Id="rId134" Type="http://schemas.openxmlformats.org/officeDocument/2006/relationships/hyperlink" Target="https://tdp.telemattica.com/ohw-monitoring/event/62b4eed85c49e40012eb97ff" TargetMode="External"/><Relationship Id="rId80" Type="http://schemas.openxmlformats.org/officeDocument/2006/relationships/hyperlink" Target="https://tdp.telemattica.com/ohw-monitoring/event/62a50fe9f009af0012a09f95" TargetMode="External"/><Relationship Id="rId155" Type="http://schemas.openxmlformats.org/officeDocument/2006/relationships/hyperlink" Target="https://tdp.telemattica.com/ohw-monitoring/event/636b8c39f009af0012ce5bbe" TargetMode="External"/><Relationship Id="rId176" Type="http://schemas.openxmlformats.org/officeDocument/2006/relationships/hyperlink" Target="https://tdp.telemattica.com/ohw-monitoring/event/63a032b25c49e40012236387" TargetMode="External"/><Relationship Id="rId17" Type="http://schemas.openxmlformats.org/officeDocument/2006/relationships/hyperlink" Target="https://tdp.telemattica.com/ohw-monitoring/event/62c2a38a2446a70012e3eaf6" TargetMode="External"/><Relationship Id="rId38" Type="http://schemas.openxmlformats.org/officeDocument/2006/relationships/hyperlink" Target="https://tdp.telemattica.com/ohw-monitoring/event/62dffe282446a70012eab729" TargetMode="External"/><Relationship Id="rId59" Type="http://schemas.openxmlformats.org/officeDocument/2006/relationships/hyperlink" Target="https://tdp.telemattica.com/ohw-monitoring/event/63074d020ac579001279442c" TargetMode="External"/><Relationship Id="rId103" Type="http://schemas.openxmlformats.org/officeDocument/2006/relationships/hyperlink" Target="https://tdp.telemattica.com/ohw-monitoring/event/634807ac5c49e400120d0cfb" TargetMode="External"/><Relationship Id="rId124" Type="http://schemas.openxmlformats.org/officeDocument/2006/relationships/hyperlink" Target="https://tdp.telemattica.com/ohw-monitoring/event/63109cc72446a70012f50a06" TargetMode="External"/><Relationship Id="rId70" Type="http://schemas.openxmlformats.org/officeDocument/2006/relationships/hyperlink" Target="https://tdp.telemattica.com/ohw-monitoring/event/6310bd4a0ac57900127b5887" TargetMode="External"/><Relationship Id="rId91" Type="http://schemas.openxmlformats.org/officeDocument/2006/relationships/hyperlink" Target="https://tdp.telemattica.com/ohw-monitoring/event/6310aaac5c49e40012fff39a" TargetMode="External"/><Relationship Id="rId145" Type="http://schemas.openxmlformats.org/officeDocument/2006/relationships/hyperlink" Target="https://tdp.telemattica.com/ohw-monitoring/event/63615b2ff009af0012cbb0a3" TargetMode="External"/><Relationship Id="rId166" Type="http://schemas.openxmlformats.org/officeDocument/2006/relationships/hyperlink" Target="https://tdp.telemattica.com/ohw-monitoring/event/638b81f82446a70012138d47" TargetMode="External"/><Relationship Id="rId1" Type="http://schemas.openxmlformats.org/officeDocument/2006/relationships/hyperlink" Target="https://tdp.telemattica.com/ohw-monitoring/event/62ac95eaf009af0012a25aa2" TargetMode="External"/><Relationship Id="rId28" Type="http://schemas.openxmlformats.org/officeDocument/2006/relationships/hyperlink" Target="https://tdp.telemattica.com/ohw-monitoring/event/62cdacb4f009af0012aa170d" TargetMode="External"/><Relationship Id="rId49" Type="http://schemas.openxmlformats.org/officeDocument/2006/relationships/hyperlink" Target="https://tdp.telemattica.com/ohw-monitoring/event/62ed42f55c49e40012f8624a" TargetMode="External"/><Relationship Id="rId114" Type="http://schemas.openxmlformats.org/officeDocument/2006/relationships/hyperlink" Target="https://tdp.telemattica.com/ohw-monitoring/event/62a76a0f5c49e40012e86d8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5"/>
  <sheetViews>
    <sheetView showGridLines="0" zoomScale="80" zoomScaleNormal="80" workbookViewId="0">
      <pane xSplit="10" ySplit="5" topLeftCell="K176" activePane="bottomRight" state="frozen"/>
      <selection pane="topRight" activeCell="J1" sqref="J1"/>
      <selection pane="bottomLeft" activeCell="A2" sqref="A2"/>
      <selection pane="bottomRight" activeCell="A185" sqref="A185"/>
    </sheetView>
  </sheetViews>
  <sheetFormatPr defaultColWidth="9.1796875" defaultRowHeight="14.5" x14ac:dyDescent="0.35"/>
  <cols>
    <col min="1" max="1" width="12.90625" customWidth="1"/>
    <col min="2" max="2" width="12.90625" style="210" customWidth="1"/>
    <col min="3" max="3" width="10.81640625" style="37" bestFit="1" customWidth="1"/>
    <col min="4" max="4" width="16.1796875" bestFit="1" customWidth="1"/>
    <col min="5" max="5" width="15.90625" bestFit="1" customWidth="1"/>
    <col min="6" max="6" width="17.7265625" bestFit="1" customWidth="1"/>
    <col min="7" max="7" width="10.1796875" style="39" bestFit="1" customWidth="1"/>
    <col min="8" max="8" width="13.6328125" style="39" bestFit="1" customWidth="1"/>
    <col min="9" max="9" width="15" style="39" bestFit="1" customWidth="1"/>
    <col min="10" max="10" width="12.26953125" bestFit="1" customWidth="1"/>
    <col min="11" max="11" width="13.54296875" customWidth="1"/>
    <col min="12" max="12" width="17.36328125" style="39" customWidth="1"/>
    <col min="13" max="13" width="15.26953125" bestFit="1" customWidth="1"/>
    <col min="14" max="14" width="14.26953125" customWidth="1"/>
    <col min="15" max="15" width="14.54296875" bestFit="1" customWidth="1"/>
    <col min="16" max="16" width="26.7265625" bestFit="1" customWidth="1"/>
    <col min="17" max="17" width="17.81640625" customWidth="1"/>
    <col min="18" max="18" width="12.90625" customWidth="1"/>
    <col min="19" max="19" width="12.90625" bestFit="1" customWidth="1"/>
    <col min="20" max="20" width="15.453125" style="6" customWidth="1"/>
    <col min="21" max="21" width="19.90625" hidden="1" customWidth="1"/>
    <col min="22" max="22" width="12.81640625" hidden="1" customWidth="1"/>
    <col min="23" max="23" width="13.6328125" hidden="1" customWidth="1"/>
    <col min="24" max="24" width="28.6328125" style="10" bestFit="1" customWidth="1"/>
    <col min="25" max="26" width="11" style="10" bestFit="1" customWidth="1"/>
    <col min="27" max="27" width="17.36328125" style="10" bestFit="1" customWidth="1"/>
    <col min="28" max="28" width="8.54296875" style="10" hidden="1" customWidth="1"/>
    <col min="29" max="29" width="14.08984375" style="10" hidden="1" customWidth="1"/>
    <col min="30" max="30" width="11.81640625" style="10" hidden="1" customWidth="1"/>
    <col min="31" max="31" width="0" style="10" hidden="1" customWidth="1"/>
    <col min="32" max="16384" width="9.1796875" style="10"/>
  </cols>
  <sheetData>
    <row r="1" spans="1:31" ht="46" customHeight="1" x14ac:dyDescent="0.35">
      <c r="D1" s="371" t="s">
        <v>332</v>
      </c>
      <c r="E1" s="371"/>
      <c r="F1" s="371"/>
      <c r="G1" s="371"/>
      <c r="H1" s="371"/>
      <c r="I1" s="371"/>
      <c r="J1" s="371"/>
    </row>
    <row r="2" spans="1:31" ht="4" customHeight="1" x14ac:dyDescent="0.35">
      <c r="A2" s="128"/>
      <c r="B2" s="211"/>
      <c r="C2" s="129"/>
      <c r="D2" s="130"/>
      <c r="E2" s="130"/>
      <c r="F2" s="130"/>
      <c r="G2" s="130"/>
      <c r="H2" s="130"/>
      <c r="I2" s="130"/>
      <c r="J2" s="130"/>
      <c r="K2" s="128"/>
      <c r="L2" s="131"/>
      <c r="M2" s="128"/>
      <c r="N2" s="128"/>
      <c r="O2" s="128"/>
      <c r="P2" s="128"/>
      <c r="Q2" s="128"/>
      <c r="R2" s="128"/>
      <c r="S2" s="128"/>
      <c r="T2" s="132"/>
      <c r="U2" s="128"/>
      <c r="V2" s="128"/>
      <c r="W2" s="128"/>
      <c r="X2" s="128"/>
      <c r="Y2" s="128"/>
      <c r="Z2" s="128"/>
      <c r="AA2" s="128"/>
      <c r="AB2" s="128"/>
    </row>
    <row r="3" spans="1:31" ht="4" customHeight="1" x14ac:dyDescent="0.35">
      <c r="A3" s="133"/>
      <c r="B3" s="212"/>
      <c r="C3" s="134"/>
      <c r="D3" s="135"/>
      <c r="E3" s="135"/>
      <c r="F3" s="135"/>
      <c r="G3" s="135"/>
      <c r="H3" s="135"/>
      <c r="I3" s="135"/>
      <c r="J3" s="135"/>
      <c r="K3" s="133"/>
      <c r="L3" s="136"/>
      <c r="M3" s="133"/>
      <c r="N3" s="133"/>
      <c r="O3" s="133"/>
      <c r="P3" s="133"/>
      <c r="Q3" s="133"/>
      <c r="R3" s="133"/>
      <c r="S3" s="133"/>
      <c r="T3" s="137"/>
      <c r="U3" s="133"/>
      <c r="V3" s="133"/>
      <c r="W3" s="133"/>
      <c r="X3" s="133"/>
      <c r="Y3" s="133"/>
      <c r="Z3" s="133"/>
      <c r="AA3" s="133"/>
      <c r="AB3" s="133"/>
    </row>
    <row r="5" spans="1:31" s="148" customFormat="1" ht="39" customHeight="1" x14ac:dyDescent="0.35">
      <c r="A5" s="139" t="s">
        <v>0</v>
      </c>
      <c r="B5" s="213" t="s">
        <v>539</v>
      </c>
      <c r="C5" s="140" t="s">
        <v>1</v>
      </c>
      <c r="D5" s="74" t="s">
        <v>2</v>
      </c>
      <c r="E5" s="74" t="s">
        <v>3</v>
      </c>
      <c r="F5" s="74" t="s">
        <v>714</v>
      </c>
      <c r="G5" s="74" t="s">
        <v>4</v>
      </c>
      <c r="H5" s="141" t="s">
        <v>55</v>
      </c>
      <c r="I5" s="141" t="s">
        <v>56</v>
      </c>
      <c r="J5" s="141" t="s">
        <v>92</v>
      </c>
      <c r="K5" s="74" t="s">
        <v>5</v>
      </c>
      <c r="L5" s="142" t="s">
        <v>327</v>
      </c>
      <c r="M5" s="143" t="s">
        <v>326</v>
      </c>
      <c r="N5" s="142" t="s">
        <v>806</v>
      </c>
      <c r="O5" s="142" t="s">
        <v>328</v>
      </c>
      <c r="P5" s="142" t="s">
        <v>330</v>
      </c>
      <c r="Q5" s="142" t="s">
        <v>6</v>
      </c>
      <c r="R5" s="138" t="s">
        <v>429</v>
      </c>
      <c r="S5" s="74" t="s">
        <v>226</v>
      </c>
      <c r="T5" s="74" t="s">
        <v>9</v>
      </c>
      <c r="U5" s="144" t="s">
        <v>10</v>
      </c>
      <c r="V5" s="1" t="s">
        <v>37</v>
      </c>
      <c r="W5" s="1" t="s">
        <v>48</v>
      </c>
      <c r="X5" s="74" t="s">
        <v>11</v>
      </c>
      <c r="Y5" s="145" t="s">
        <v>14</v>
      </c>
      <c r="Z5" s="145" t="s">
        <v>494</v>
      </c>
      <c r="AA5" s="145" t="s">
        <v>396</v>
      </c>
      <c r="AB5" s="146" t="s">
        <v>45</v>
      </c>
      <c r="AC5" s="147" t="s">
        <v>21</v>
      </c>
      <c r="AD5" s="147" t="s">
        <v>99</v>
      </c>
      <c r="AE5" s="147" t="s">
        <v>98</v>
      </c>
    </row>
    <row r="6" spans="1:31" ht="29" x14ac:dyDescent="0.35">
      <c r="A6" s="55">
        <v>44717</v>
      </c>
      <c r="B6" s="214">
        <f t="shared" ref="B6:B37" si="0">WEEKDAY(A6)</f>
        <v>1</v>
      </c>
      <c r="C6" s="47">
        <v>0.49652777777777773</v>
      </c>
      <c r="D6" s="45">
        <v>60</v>
      </c>
      <c r="E6" s="48">
        <v>49</v>
      </c>
      <c r="F6" s="323">
        <v>23</v>
      </c>
      <c r="G6" s="17" t="s">
        <v>8</v>
      </c>
      <c r="H6" s="104" t="s">
        <v>173</v>
      </c>
      <c r="I6" s="104" t="s">
        <v>174</v>
      </c>
      <c r="J6" s="104" t="s">
        <v>95</v>
      </c>
      <c r="K6" s="24" t="s">
        <v>452</v>
      </c>
      <c r="L6" s="24">
        <v>2</v>
      </c>
      <c r="M6" s="123" t="s">
        <v>623</v>
      </c>
      <c r="N6" s="24" t="s">
        <v>807</v>
      </c>
      <c r="O6" s="24">
        <v>57</v>
      </c>
      <c r="P6" s="24" t="s">
        <v>225</v>
      </c>
      <c r="Q6" s="296" t="s">
        <v>664</v>
      </c>
      <c r="R6" s="103" t="s">
        <v>7</v>
      </c>
      <c r="S6" s="100" t="s">
        <v>43</v>
      </c>
      <c r="T6" s="17" t="s">
        <v>7</v>
      </c>
      <c r="U6" s="55"/>
      <c r="V6" s="45" t="e">
        <f>MONTH(T:T)</f>
        <v>#VALUE!</v>
      </c>
      <c r="W6" s="17">
        <f>WEEKNUM(Tabela1[[#This Row],[Data da melhoria]])</f>
        <v>0</v>
      </c>
      <c r="X6" s="45"/>
      <c r="Y6" s="57" t="str">
        <f>IF(Tabela1[[#This Row],[Severidade]]&lt;100, "Baixa",IF(Tabela1[[#This Row],[Severidade]]&gt;=500, "Alta","Alta"))</f>
        <v>Baixa</v>
      </c>
      <c r="Z6" s="57" t="str">
        <f>IF(Tabela1[[#This Row],[Severidade]]&gt;499, "+500",IF(Tabela1[[#This Row],[Severidade]]&lt;=500, "-500"))</f>
        <v>-500</v>
      </c>
      <c r="AA6" s="30" t="s">
        <v>7</v>
      </c>
      <c r="AB6" s="30"/>
      <c r="AC6" s="57">
        <f>MONTH(Tabela1[[#This Row],[Data]])</f>
        <v>6</v>
      </c>
      <c r="AD6" s="46">
        <f>HOUR(Tabela1[[#This Row],[Hora]])</f>
        <v>11</v>
      </c>
      <c r="AE6" s="46" t="str">
        <f t="shared" ref="AE6:AE37" si="1">IF(AND(AD6&gt;=6,AD6&lt;18),"Tarde","Noite")</f>
        <v>Tarde</v>
      </c>
    </row>
    <row r="7" spans="1:31" s="11" customFormat="1" ht="29" x14ac:dyDescent="0.35">
      <c r="A7" s="105">
        <v>44723</v>
      </c>
      <c r="B7" s="222">
        <f t="shared" si="0"/>
        <v>7</v>
      </c>
      <c r="C7" s="106">
        <v>0.77916666666666667</v>
      </c>
      <c r="D7" s="13">
        <v>105</v>
      </c>
      <c r="E7" s="107">
        <v>68</v>
      </c>
      <c r="F7" s="326">
        <v>18</v>
      </c>
      <c r="G7" s="17" t="s">
        <v>8</v>
      </c>
      <c r="H7" s="108" t="s">
        <v>641</v>
      </c>
      <c r="I7" s="108" t="s">
        <v>59</v>
      </c>
      <c r="J7" s="108" t="s">
        <v>93</v>
      </c>
      <c r="K7" s="109" t="s">
        <v>491</v>
      </c>
      <c r="L7" s="109">
        <v>1</v>
      </c>
      <c r="M7" s="247" t="s">
        <v>640</v>
      </c>
      <c r="N7" s="150"/>
      <c r="O7" s="24">
        <v>43</v>
      </c>
      <c r="P7" s="109" t="s">
        <v>225</v>
      </c>
      <c r="Q7" s="298" t="s">
        <v>664</v>
      </c>
      <c r="R7" s="13" t="s">
        <v>12</v>
      </c>
      <c r="S7" s="101" t="s">
        <v>49</v>
      </c>
      <c r="T7" s="13" t="s">
        <v>12</v>
      </c>
      <c r="U7" s="9">
        <v>44733</v>
      </c>
      <c r="V7" s="26" t="e">
        <f>MONTH(T:T)</f>
        <v>#VALUE!</v>
      </c>
      <c r="W7" s="26">
        <f>WEEKNUM(Tabela1[[#This Row],[Data da melhoria]])</f>
        <v>26</v>
      </c>
      <c r="X7" s="13" t="s">
        <v>13</v>
      </c>
      <c r="Y7" s="57" t="str">
        <f>IF(Tabela1[[#This Row],[Severidade]]&lt;100, "Baixa",IF(Tabela1[[#This Row],[Severidade]]&gt;=500, "Alta","Média"))</f>
        <v>Média</v>
      </c>
      <c r="Z7" s="57" t="str">
        <f>IF(Tabela1[[#This Row],[Severidade]]&gt;499, "+500",IF(Tabela1[[#This Row],[Severidade]]&lt;=500, "-500"))</f>
        <v>-500</v>
      </c>
      <c r="AA7" s="30" t="s">
        <v>12</v>
      </c>
      <c r="AB7" s="29" t="s">
        <v>16</v>
      </c>
      <c r="AC7" s="30">
        <f>MONTH(Tabela1[[#This Row],[Data]])</f>
        <v>6</v>
      </c>
      <c r="AD7" s="12">
        <f>HOUR(Tabela1[[#This Row],[Hora]])</f>
        <v>18</v>
      </c>
      <c r="AE7" s="12" t="str">
        <f t="shared" si="1"/>
        <v>Noite</v>
      </c>
    </row>
    <row r="8" spans="1:31" s="11" customFormat="1" ht="26.25" customHeight="1" x14ac:dyDescent="0.35">
      <c r="A8" s="40">
        <v>44724</v>
      </c>
      <c r="B8" s="215">
        <f t="shared" si="0"/>
        <v>1</v>
      </c>
      <c r="C8" s="34">
        <v>0.91666666666666663</v>
      </c>
      <c r="D8" s="17">
        <v>52</v>
      </c>
      <c r="E8" s="23">
        <v>70</v>
      </c>
      <c r="F8" s="321">
        <v>16</v>
      </c>
      <c r="G8" s="17" t="s">
        <v>8</v>
      </c>
      <c r="H8" s="104" t="s">
        <v>689</v>
      </c>
      <c r="I8" s="104" t="s">
        <v>60</v>
      </c>
      <c r="J8" s="104" t="s">
        <v>94</v>
      </c>
      <c r="K8" s="24" t="s">
        <v>475</v>
      </c>
      <c r="L8" s="24">
        <v>3</v>
      </c>
      <c r="M8" s="150" t="s">
        <v>521</v>
      </c>
      <c r="N8" s="150">
        <v>1</v>
      </c>
      <c r="O8" s="24">
        <v>13</v>
      </c>
      <c r="P8" s="24" t="s">
        <v>432</v>
      </c>
      <c r="Q8" s="349" t="s">
        <v>664</v>
      </c>
      <c r="R8" s="13" t="s">
        <v>12</v>
      </c>
      <c r="S8" s="100" t="s">
        <v>54</v>
      </c>
      <c r="T8" s="17" t="s">
        <v>7</v>
      </c>
      <c r="U8" s="20"/>
      <c r="V8" s="7" t="e">
        <f>MONTH(T:T)</f>
        <v>#VALUE!</v>
      </c>
      <c r="W8" s="7">
        <f>WEEKNUM(Tabela1[[#This Row],[Data da melhoria]])</f>
        <v>0</v>
      </c>
      <c r="X8" s="7"/>
      <c r="Y8" s="57" t="str">
        <f>IF(Tabela1[[#This Row],[Severidade]]&lt;100, "Baixa",IF(Tabela1[[#This Row],[Severidade]]&gt;=500, "Alta","Média"))</f>
        <v>Baixa</v>
      </c>
      <c r="Z8" s="57" t="str">
        <f>IF(Tabela1[[#This Row],[Severidade]]&gt;499, "+500",IF(Tabela1[[#This Row],[Severidade]]&lt;=500, "-500"))</f>
        <v>-500</v>
      </c>
      <c r="AA8" s="30" t="s">
        <v>7</v>
      </c>
      <c r="AB8" s="29"/>
      <c r="AC8" s="30">
        <f>MONTH(Tabela1[[#This Row],[Data]])</f>
        <v>6</v>
      </c>
      <c r="AD8" s="12">
        <f>HOUR(Tabela1[[#This Row],[Hora]])</f>
        <v>22</v>
      </c>
      <c r="AE8" s="12" t="str">
        <f t="shared" si="1"/>
        <v>Noite</v>
      </c>
    </row>
    <row r="9" spans="1:31" ht="30.75" customHeight="1" x14ac:dyDescent="0.35">
      <c r="A9" s="40">
        <v>44725</v>
      </c>
      <c r="B9" s="215">
        <f t="shared" si="0"/>
        <v>2</v>
      </c>
      <c r="C9" s="34">
        <v>0.55277777777777781</v>
      </c>
      <c r="D9" s="17">
        <v>64</v>
      </c>
      <c r="E9" s="23">
        <v>28</v>
      </c>
      <c r="F9" s="321">
        <v>23</v>
      </c>
      <c r="G9" s="17" t="s">
        <v>8</v>
      </c>
      <c r="H9" s="104" t="s">
        <v>677</v>
      </c>
      <c r="I9" s="104" t="s">
        <v>63</v>
      </c>
      <c r="J9" s="108" t="s">
        <v>93</v>
      </c>
      <c r="K9" s="24" t="s">
        <v>460</v>
      </c>
      <c r="L9" s="24">
        <v>2</v>
      </c>
      <c r="M9" s="24" t="s">
        <v>495</v>
      </c>
      <c r="N9" s="24">
        <v>1</v>
      </c>
      <c r="O9" s="24">
        <v>30</v>
      </c>
      <c r="P9" s="24" t="s">
        <v>443</v>
      </c>
      <c r="Q9" s="296" t="s">
        <v>664</v>
      </c>
      <c r="R9" s="13" t="s">
        <v>12</v>
      </c>
      <c r="S9" s="100" t="s">
        <v>52</v>
      </c>
      <c r="T9" s="17" t="s">
        <v>7</v>
      </c>
      <c r="U9" s="20"/>
      <c r="V9" s="7" t="e">
        <f>MONTH(T:T)</f>
        <v>#VALUE!</v>
      </c>
      <c r="W9" s="7">
        <f>WEEKNUM(Tabela1[[#This Row],[Data da melhoria]])</f>
        <v>0</v>
      </c>
      <c r="X9" s="7"/>
      <c r="Y9" s="57" t="str">
        <f>IF(Tabela1[[#This Row],[Severidade]]&lt;100, "Baixa",IF(Tabela1[[#This Row],[Severidade]]&gt;=500, "Alta","Média"))</f>
        <v>Baixa</v>
      </c>
      <c r="Z9" s="57" t="str">
        <f>IF(Tabela1[[#This Row],[Severidade]]&gt;499, "+500",IF(Tabela1[[#This Row],[Severidade]]&lt;=500, "-500"))</f>
        <v>-500</v>
      </c>
      <c r="AA9" s="30" t="s">
        <v>7</v>
      </c>
      <c r="AB9" s="29"/>
      <c r="AC9" s="30">
        <f>MONTH(Tabela1[[#This Row],[Data]])</f>
        <v>6</v>
      </c>
      <c r="AD9" s="12">
        <f>HOUR(Tabela1[[#This Row],[Hora]])</f>
        <v>13</v>
      </c>
      <c r="AE9" s="12" t="str">
        <f t="shared" si="1"/>
        <v>Tarde</v>
      </c>
    </row>
    <row r="10" spans="1:31" ht="26.25" customHeight="1" x14ac:dyDescent="0.35">
      <c r="A10" s="110">
        <v>44725</v>
      </c>
      <c r="B10" s="216">
        <f t="shared" si="0"/>
        <v>2</v>
      </c>
      <c r="C10" s="41">
        <v>0.68333333333333324</v>
      </c>
      <c r="D10" s="42">
        <v>110</v>
      </c>
      <c r="E10" s="43">
        <v>29</v>
      </c>
      <c r="F10" s="322">
        <v>23</v>
      </c>
      <c r="G10" s="17" t="s">
        <v>8</v>
      </c>
      <c r="H10" s="111" t="s">
        <v>678</v>
      </c>
      <c r="I10" s="111" t="s">
        <v>62</v>
      </c>
      <c r="J10" s="108" t="s">
        <v>93</v>
      </c>
      <c r="K10" s="44" t="s">
        <v>482</v>
      </c>
      <c r="L10" s="44">
        <v>2</v>
      </c>
      <c r="M10" s="208" t="s">
        <v>618</v>
      </c>
      <c r="N10" s="208">
        <v>1</v>
      </c>
      <c r="O10" s="44">
        <v>34</v>
      </c>
      <c r="P10" s="44" t="s">
        <v>225</v>
      </c>
      <c r="Q10" s="297" t="s">
        <v>664</v>
      </c>
      <c r="R10" s="103" t="s">
        <v>877</v>
      </c>
      <c r="S10" s="102" t="s">
        <v>43</v>
      </c>
      <c r="T10" s="42" t="s">
        <v>7</v>
      </c>
      <c r="U10" s="21"/>
      <c r="V10" s="8" t="e">
        <f>MONTH(T:T)</f>
        <v>#VALUE!</v>
      </c>
      <c r="W10" s="8">
        <f>WEEKNUM(Tabela1[[#This Row],[Data da melhoria]])</f>
        <v>0</v>
      </c>
      <c r="X10" s="8"/>
      <c r="Y10" s="57" t="str">
        <f>IF(Tabela1[[#This Row],[Severidade]]&lt;100, "Baixa",IF(Tabela1[[#This Row],[Severidade]]&gt;=500, "Alta","Média"))</f>
        <v>Média</v>
      </c>
      <c r="Z10" s="57" t="str">
        <f>IF(Tabela1[[#This Row],[Severidade]]&gt;499, "+500",IF(Tabela1[[#This Row],[Severidade]]&lt;=500, "-500"))</f>
        <v>-500</v>
      </c>
      <c r="AA10" s="30" t="s">
        <v>7</v>
      </c>
      <c r="AB10" s="29"/>
      <c r="AC10" s="30">
        <f>MONTH(Tabela1[[#This Row],[Data]])</f>
        <v>6</v>
      </c>
      <c r="AD10" s="12">
        <f>HOUR(Tabela1[[#This Row],[Hora]])</f>
        <v>16</v>
      </c>
      <c r="AE10" s="12" t="str">
        <f t="shared" si="1"/>
        <v>Tarde</v>
      </c>
    </row>
    <row r="11" spans="1:31" ht="43.5" x14ac:dyDescent="0.35">
      <c r="A11" s="40">
        <v>44725</v>
      </c>
      <c r="B11" s="215">
        <f t="shared" si="0"/>
        <v>2</v>
      </c>
      <c r="C11" s="34">
        <v>0.61875000000000002</v>
      </c>
      <c r="D11" s="17">
        <v>58</v>
      </c>
      <c r="E11" s="23">
        <v>30</v>
      </c>
      <c r="F11" s="321">
        <v>23</v>
      </c>
      <c r="G11" s="17" t="s">
        <v>8</v>
      </c>
      <c r="H11" s="104" t="s">
        <v>389</v>
      </c>
      <c r="I11" s="104" t="s">
        <v>390</v>
      </c>
      <c r="J11" s="108" t="s">
        <v>93</v>
      </c>
      <c r="K11" s="24" t="s">
        <v>455</v>
      </c>
      <c r="L11" s="24">
        <v>2</v>
      </c>
      <c r="M11" s="123" t="s">
        <v>619</v>
      </c>
      <c r="N11" s="24"/>
      <c r="O11" s="24">
        <v>38</v>
      </c>
      <c r="P11" s="24" t="s">
        <v>225</v>
      </c>
      <c r="Q11" s="296" t="s">
        <v>664</v>
      </c>
      <c r="R11" s="13" t="s">
        <v>12</v>
      </c>
      <c r="S11" s="100" t="s">
        <v>49</v>
      </c>
      <c r="T11" s="17" t="s">
        <v>12</v>
      </c>
      <c r="U11" s="20">
        <v>44742</v>
      </c>
      <c r="V11" s="7" t="e">
        <f>MONTH(T:T)</f>
        <v>#VALUE!</v>
      </c>
      <c r="W11" s="7">
        <f>WEEKNUM(Tabela1[[#This Row],[Data da melhoria]])</f>
        <v>27</v>
      </c>
      <c r="X11" s="45" t="s">
        <v>416</v>
      </c>
      <c r="Y11" s="57" t="str">
        <f>IF(Tabela1[[#This Row],[Severidade]]&lt;100, "Baixa",IF(Tabela1[[#This Row],[Severidade]]&gt;=500, "Alta","Média"))</f>
        <v>Baixa</v>
      </c>
      <c r="Z11" s="57" t="str">
        <f>IF(Tabela1[[#This Row],[Severidade]]&gt;499, "+500",IF(Tabela1[[#This Row],[Severidade]]&lt;=500, "-500"))</f>
        <v>-500</v>
      </c>
      <c r="AA11" s="30" t="s">
        <v>12</v>
      </c>
      <c r="AB11" s="29" t="s">
        <v>15</v>
      </c>
      <c r="AC11" s="30">
        <f>MONTH(Tabela1[[#This Row],[Data]])</f>
        <v>6</v>
      </c>
      <c r="AD11" s="12">
        <f>HOUR(Tabela1[[#This Row],[Hora]])</f>
        <v>14</v>
      </c>
      <c r="AE11" s="12" t="str">
        <f t="shared" si="1"/>
        <v>Tarde</v>
      </c>
    </row>
    <row r="12" spans="1:31" ht="29" x14ac:dyDescent="0.35">
      <c r="A12" s="40">
        <v>44725</v>
      </c>
      <c r="B12" s="215">
        <f t="shared" si="0"/>
        <v>2</v>
      </c>
      <c r="C12" s="34">
        <v>0.80694444444444446</v>
      </c>
      <c r="D12" s="17">
        <v>86</v>
      </c>
      <c r="E12" s="23">
        <v>66</v>
      </c>
      <c r="F12" s="321">
        <v>15</v>
      </c>
      <c r="G12" s="17" t="s">
        <v>8</v>
      </c>
      <c r="H12" s="104" t="s">
        <v>686</v>
      </c>
      <c r="I12" s="104" t="s">
        <v>58</v>
      </c>
      <c r="J12" s="108" t="s">
        <v>93</v>
      </c>
      <c r="K12" s="24" t="s">
        <v>461</v>
      </c>
      <c r="L12" s="24">
        <v>2</v>
      </c>
      <c r="M12" s="24" t="s">
        <v>516</v>
      </c>
      <c r="N12" s="24">
        <v>1</v>
      </c>
      <c r="O12" s="24">
        <v>31</v>
      </c>
      <c r="P12" s="24" t="s">
        <v>442</v>
      </c>
      <c r="Q12" s="296" t="s">
        <v>664</v>
      </c>
      <c r="R12" s="13" t="s">
        <v>12</v>
      </c>
      <c r="S12" s="100" t="s">
        <v>53</v>
      </c>
      <c r="T12" s="17" t="s">
        <v>7</v>
      </c>
      <c r="U12" s="20"/>
      <c r="V12" s="7" t="e">
        <f>MONTH(T:T)</f>
        <v>#VALUE!</v>
      </c>
      <c r="W12" s="7">
        <f>WEEKNUM(Tabela1[[#This Row],[Data da melhoria]])</f>
        <v>0</v>
      </c>
      <c r="X12" s="7"/>
      <c r="Y12" s="57" t="str">
        <f>IF(Tabela1[[#This Row],[Severidade]]&lt;100, "Baixa",IF(Tabela1[[#This Row],[Severidade]]&gt;=500, "Alta","Média"))</f>
        <v>Baixa</v>
      </c>
      <c r="Z12" s="57" t="str">
        <f>IF(Tabela1[[#This Row],[Severidade]]&gt;499, "+500",IF(Tabela1[[#This Row],[Severidade]]&lt;=500, "-500"))</f>
        <v>-500</v>
      </c>
      <c r="AA12" s="30" t="s">
        <v>7</v>
      </c>
      <c r="AB12" s="29"/>
      <c r="AC12" s="30">
        <f>MONTH(Tabela1[[#This Row],[Data]])</f>
        <v>6</v>
      </c>
      <c r="AD12" s="12">
        <f>HOUR(Tabela1[[#This Row],[Hora]])</f>
        <v>19</v>
      </c>
      <c r="AE12" s="12" t="str">
        <f t="shared" si="1"/>
        <v>Noite</v>
      </c>
    </row>
    <row r="13" spans="1:31" ht="29" x14ac:dyDescent="0.35">
      <c r="A13" s="110">
        <v>44725</v>
      </c>
      <c r="B13" s="216">
        <f t="shared" si="0"/>
        <v>2</v>
      </c>
      <c r="C13" s="41">
        <v>0.56458333333333333</v>
      </c>
      <c r="D13" s="42">
        <v>154</v>
      </c>
      <c r="E13" s="43">
        <v>81</v>
      </c>
      <c r="F13" s="322">
        <v>23</v>
      </c>
      <c r="G13" s="17" t="s">
        <v>8</v>
      </c>
      <c r="H13" s="111" t="s">
        <v>698</v>
      </c>
      <c r="I13" s="111" t="s">
        <v>61</v>
      </c>
      <c r="J13" s="108" t="s">
        <v>93</v>
      </c>
      <c r="K13" s="44" t="s">
        <v>450</v>
      </c>
      <c r="L13" s="44">
        <v>1</v>
      </c>
      <c r="M13" s="44" t="s">
        <v>533</v>
      </c>
      <c r="N13" s="44"/>
      <c r="O13" s="44">
        <v>34</v>
      </c>
      <c r="P13" s="44" t="s">
        <v>440</v>
      </c>
      <c r="Q13" s="297" t="s">
        <v>664</v>
      </c>
      <c r="R13" s="13" t="s">
        <v>12</v>
      </c>
      <c r="S13" s="102" t="s">
        <v>441</v>
      </c>
      <c r="T13" s="42" t="s">
        <v>12</v>
      </c>
      <c r="U13" s="21">
        <v>44749</v>
      </c>
      <c r="V13" s="8" t="e">
        <f>MONTH(T:T)</f>
        <v>#VALUE!</v>
      </c>
      <c r="W13" s="8">
        <f>WEEKNUM(Tabela1[[#This Row],[Data da melhoria]])</f>
        <v>28</v>
      </c>
      <c r="X13" s="8" t="s">
        <v>13</v>
      </c>
      <c r="Y13" s="57" t="str">
        <f>IF(Tabela1[[#This Row],[Severidade]]&lt;100, "Baixa",IF(Tabela1[[#This Row],[Severidade]]&gt;=500, "Alta","Média"))</f>
        <v>Média</v>
      </c>
      <c r="Z13" s="57" t="str">
        <f>IF(Tabela1[[#This Row],[Severidade]]&gt;499, "+500",IF(Tabela1[[#This Row],[Severidade]]&lt;=500, "-500"))</f>
        <v>-500</v>
      </c>
      <c r="AA13" s="30" t="s">
        <v>12</v>
      </c>
      <c r="AB13" s="29" t="s">
        <v>16</v>
      </c>
      <c r="AC13" s="30">
        <f>MONTH(Tabela1[[#This Row],[Data]])</f>
        <v>6</v>
      </c>
      <c r="AD13" s="12">
        <f>HOUR(Tabela1[[#This Row],[Hora]])</f>
        <v>13</v>
      </c>
      <c r="AE13" s="12" t="str">
        <f t="shared" si="1"/>
        <v>Tarde</v>
      </c>
    </row>
    <row r="14" spans="1:31" ht="29" x14ac:dyDescent="0.35">
      <c r="A14" s="40">
        <v>44727</v>
      </c>
      <c r="B14" s="215">
        <f t="shared" si="0"/>
        <v>4</v>
      </c>
      <c r="C14" s="34">
        <v>0.66041666666666665</v>
      </c>
      <c r="D14" s="17">
        <v>56</v>
      </c>
      <c r="E14" s="23">
        <v>50</v>
      </c>
      <c r="F14" s="321">
        <v>22</v>
      </c>
      <c r="G14" s="17" t="s">
        <v>8</v>
      </c>
      <c r="H14" s="104" t="s">
        <v>679</v>
      </c>
      <c r="I14" s="104" t="s">
        <v>64</v>
      </c>
      <c r="J14" s="104" t="s">
        <v>96</v>
      </c>
      <c r="K14" s="24" t="s">
        <v>462</v>
      </c>
      <c r="L14" s="24">
        <v>7</v>
      </c>
      <c r="M14" s="165" t="s">
        <v>606</v>
      </c>
      <c r="N14" s="24">
        <v>1</v>
      </c>
      <c r="O14" s="24">
        <v>6</v>
      </c>
      <c r="P14" s="24" t="s">
        <v>609</v>
      </c>
      <c r="Q14" s="296" t="s">
        <v>664</v>
      </c>
      <c r="R14" s="13" t="s">
        <v>12</v>
      </c>
      <c r="S14" s="100" t="s">
        <v>655</v>
      </c>
      <c r="T14" s="17" t="s">
        <v>7</v>
      </c>
      <c r="U14" s="20"/>
      <c r="V14" s="7" t="e">
        <f>MONTH(T:T)</f>
        <v>#VALUE!</v>
      </c>
      <c r="W14" s="7">
        <f>WEEKNUM(Tabela1[[#This Row],[Data da melhoria]])</f>
        <v>0</v>
      </c>
      <c r="X14" s="7"/>
      <c r="Y14" s="57" t="str">
        <f>IF(Tabela1[[#This Row],[Severidade]]&lt;100, "Baixa",IF(Tabela1[[#This Row],[Severidade]]&gt;=500, "Alta","Média"))</f>
        <v>Baixa</v>
      </c>
      <c r="Z14" s="57" t="str">
        <f>IF(Tabela1[[#This Row],[Severidade]]&gt;499, "+500",IF(Tabela1[[#This Row],[Severidade]]&lt;=500, "-500"))</f>
        <v>-500</v>
      </c>
      <c r="AA14" s="30" t="s">
        <v>7</v>
      </c>
      <c r="AB14" s="29"/>
      <c r="AC14" s="30">
        <f>MONTH(Tabela1[[#This Row],[Data]])</f>
        <v>6</v>
      </c>
      <c r="AD14" s="12">
        <f>HOUR(Tabela1[[#This Row],[Hora]])</f>
        <v>15</v>
      </c>
      <c r="AE14" s="12" t="str">
        <f t="shared" si="1"/>
        <v>Tarde</v>
      </c>
    </row>
    <row r="15" spans="1:31" ht="43.5" x14ac:dyDescent="0.35">
      <c r="A15" s="40">
        <v>44728</v>
      </c>
      <c r="B15" s="215">
        <f t="shared" si="0"/>
        <v>5</v>
      </c>
      <c r="C15" s="34">
        <v>0.45624999999999999</v>
      </c>
      <c r="D15" s="17">
        <v>78</v>
      </c>
      <c r="E15" s="23">
        <v>58</v>
      </c>
      <c r="F15" s="321">
        <v>13</v>
      </c>
      <c r="G15" s="17" t="s">
        <v>8</v>
      </c>
      <c r="H15" s="104" t="s">
        <v>412</v>
      </c>
      <c r="I15" s="104" t="s">
        <v>65</v>
      </c>
      <c r="J15" s="104" t="s">
        <v>96</v>
      </c>
      <c r="K15" s="24" t="s">
        <v>451</v>
      </c>
      <c r="L15" s="24" t="s">
        <v>329</v>
      </c>
      <c r="M15" s="24" t="s">
        <v>502</v>
      </c>
      <c r="N15" s="24"/>
      <c r="O15" s="24">
        <v>29</v>
      </c>
      <c r="P15" s="24" t="s">
        <v>225</v>
      </c>
      <c r="Q15" s="296" t="s">
        <v>664</v>
      </c>
      <c r="R15" s="13" t="s">
        <v>12</v>
      </c>
      <c r="S15" s="100" t="s">
        <v>655</v>
      </c>
      <c r="T15" s="17" t="s">
        <v>12</v>
      </c>
      <c r="U15" s="20">
        <v>44753</v>
      </c>
      <c r="V15" s="7" t="e">
        <f>MONTH(T:T)</f>
        <v>#VALUE!</v>
      </c>
      <c r="W15" s="7">
        <f>WEEKNUM(Tabela1[[#This Row],[Data da melhoria]])</f>
        <v>29</v>
      </c>
      <c r="X15" s="7" t="s">
        <v>13</v>
      </c>
      <c r="Y15" s="57" t="str">
        <f>IF(Tabela1[[#This Row],[Severidade]]&lt;100, "Baixa",IF(Tabela1[[#This Row],[Severidade]]&gt;=500, "Alta","Média"))</f>
        <v>Baixa</v>
      </c>
      <c r="Z15" s="57" t="str">
        <f>IF(Tabela1[[#This Row],[Severidade]]&gt;499, "+500",IF(Tabela1[[#This Row],[Severidade]]&lt;=500, "-500"))</f>
        <v>-500</v>
      </c>
      <c r="AA15" s="30" t="s">
        <v>12</v>
      </c>
      <c r="AB15" s="29" t="s">
        <v>17</v>
      </c>
      <c r="AC15" s="30">
        <f>MONTH(Tabela1[[#This Row],[Data]])</f>
        <v>6</v>
      </c>
      <c r="AD15" s="12">
        <f>HOUR(Tabela1[[#This Row],[Hora]])</f>
        <v>10</v>
      </c>
      <c r="AE15" s="12" t="str">
        <f t="shared" si="1"/>
        <v>Tarde</v>
      </c>
    </row>
    <row r="16" spans="1:31" ht="29" x14ac:dyDescent="0.35">
      <c r="A16" s="112">
        <v>44729</v>
      </c>
      <c r="B16" s="219">
        <f t="shared" si="0"/>
        <v>6</v>
      </c>
      <c r="C16" s="41">
        <v>0.48055555555555557</v>
      </c>
      <c r="D16" s="42">
        <v>107</v>
      </c>
      <c r="E16" s="43">
        <v>57</v>
      </c>
      <c r="F16" s="322">
        <v>26</v>
      </c>
      <c r="G16" s="17" t="s">
        <v>8</v>
      </c>
      <c r="H16" s="111" t="s">
        <v>683</v>
      </c>
      <c r="I16" s="111" t="s">
        <v>66</v>
      </c>
      <c r="J16" s="111" t="s">
        <v>94</v>
      </c>
      <c r="K16" s="44" t="s">
        <v>463</v>
      </c>
      <c r="L16" s="44">
        <v>3</v>
      </c>
      <c r="M16" s="44" t="s">
        <v>508</v>
      </c>
      <c r="N16" s="44"/>
      <c r="O16" s="44">
        <v>4</v>
      </c>
      <c r="P16" s="44" t="s">
        <v>431</v>
      </c>
      <c r="Q16" s="297" t="s">
        <v>664</v>
      </c>
      <c r="R16" s="13" t="s">
        <v>12</v>
      </c>
      <c r="S16" s="102" t="s">
        <v>655</v>
      </c>
      <c r="T16" s="42" t="s">
        <v>12</v>
      </c>
      <c r="U16" s="21">
        <v>44744</v>
      </c>
      <c r="V16" s="8" t="e">
        <f>MONTH(T:T)</f>
        <v>#VALUE!</v>
      </c>
      <c r="W16" s="8">
        <f>WEEKNUM(Tabela1[[#This Row],[Data da melhoria]])</f>
        <v>27</v>
      </c>
      <c r="X16" s="45" t="s">
        <v>416</v>
      </c>
      <c r="Y16" s="57" t="str">
        <f>IF(Tabela1[[#This Row],[Severidade]]&lt;100, "Baixa",IF(Tabela1[[#This Row],[Severidade]]&gt;=500, "Alta","Média"))</f>
        <v>Média</v>
      </c>
      <c r="Z16" s="57" t="str">
        <f>IF(Tabela1[[#This Row],[Severidade]]&gt;499, "+500",IF(Tabela1[[#This Row],[Severidade]]&lt;=500, "-500"))</f>
        <v>-500</v>
      </c>
      <c r="AA16" s="30" t="s">
        <v>12</v>
      </c>
      <c r="AB16" s="29" t="s">
        <v>15</v>
      </c>
      <c r="AC16" s="30">
        <f>MONTH(Tabela1[[#This Row],[Data]])</f>
        <v>6</v>
      </c>
      <c r="AD16" s="12">
        <f>HOUR(Tabela1[[#This Row],[Hora]])</f>
        <v>11</v>
      </c>
      <c r="AE16" s="12" t="str">
        <f t="shared" si="1"/>
        <v>Tarde</v>
      </c>
    </row>
    <row r="17" spans="1:31" ht="29" x14ac:dyDescent="0.35">
      <c r="A17" s="110">
        <v>44730</v>
      </c>
      <c r="B17" s="216">
        <f t="shared" si="0"/>
        <v>7</v>
      </c>
      <c r="C17" s="34">
        <v>0.64861111111111114</v>
      </c>
      <c r="D17" s="17">
        <v>92</v>
      </c>
      <c r="E17" s="23">
        <v>66</v>
      </c>
      <c r="F17" s="321">
        <v>26</v>
      </c>
      <c r="G17" s="17" t="s">
        <v>8</v>
      </c>
      <c r="H17" s="104" t="s">
        <v>639</v>
      </c>
      <c r="I17" s="104" t="s">
        <v>67</v>
      </c>
      <c r="J17" s="108" t="s">
        <v>93</v>
      </c>
      <c r="K17" s="24" t="s">
        <v>491</v>
      </c>
      <c r="L17" s="24">
        <v>1</v>
      </c>
      <c r="M17" s="123" t="s">
        <v>640</v>
      </c>
      <c r="N17" s="24"/>
      <c r="O17" s="24">
        <v>43</v>
      </c>
      <c r="P17" s="24" t="s">
        <v>225</v>
      </c>
      <c r="Q17" s="296" t="s">
        <v>664</v>
      </c>
      <c r="R17" s="13" t="s">
        <v>12</v>
      </c>
      <c r="S17" s="100" t="s">
        <v>49</v>
      </c>
      <c r="T17" s="17" t="s">
        <v>12</v>
      </c>
      <c r="U17" s="9">
        <v>44733</v>
      </c>
      <c r="V17" s="26" t="e">
        <f>MONTH(T:T)</f>
        <v>#VALUE!</v>
      </c>
      <c r="W17" s="26" t="s">
        <v>46</v>
      </c>
      <c r="X17" s="17" t="s">
        <v>13</v>
      </c>
      <c r="Y17" s="57" t="str">
        <f>IF(Tabela1[[#This Row],[Severidade]]&lt;100, "Baixa",IF(Tabela1[[#This Row],[Severidade]]&gt;=500, "Alta","Média"))</f>
        <v>Baixa</v>
      </c>
      <c r="Z17" s="57" t="str">
        <f>IF(Tabela1[[#This Row],[Severidade]]&gt;499, "+500",IF(Tabela1[[#This Row],[Severidade]]&lt;=500, "-500"))</f>
        <v>-500</v>
      </c>
      <c r="AA17" s="30" t="s">
        <v>12</v>
      </c>
      <c r="AB17" s="29" t="s">
        <v>15</v>
      </c>
      <c r="AC17" s="30">
        <f>MONTH(Tabela1[[#This Row],[Data]])</f>
        <v>6</v>
      </c>
      <c r="AD17" s="12">
        <f>HOUR(Tabela1[[#This Row],[Hora]])</f>
        <v>15</v>
      </c>
      <c r="AE17" s="12" t="str">
        <f t="shared" si="1"/>
        <v>Tarde</v>
      </c>
    </row>
    <row r="18" spans="1:31" ht="43.5" x14ac:dyDescent="0.35">
      <c r="A18" s="40">
        <v>44732</v>
      </c>
      <c r="B18" s="215">
        <f t="shared" si="0"/>
        <v>2</v>
      </c>
      <c r="C18" s="34">
        <v>0.49722222222222223</v>
      </c>
      <c r="D18" s="17">
        <v>80</v>
      </c>
      <c r="E18" s="23">
        <v>55</v>
      </c>
      <c r="F18" s="321">
        <v>25</v>
      </c>
      <c r="G18" s="17" t="s">
        <v>8</v>
      </c>
      <c r="H18" s="104" t="s">
        <v>682</v>
      </c>
      <c r="I18" s="104" t="s">
        <v>68</v>
      </c>
      <c r="J18" s="108" t="s">
        <v>93</v>
      </c>
      <c r="K18" s="24" t="s">
        <v>455</v>
      </c>
      <c r="L18" s="24">
        <v>1</v>
      </c>
      <c r="M18" s="24" t="s">
        <v>506</v>
      </c>
      <c r="N18" s="24">
        <v>1</v>
      </c>
      <c r="O18" s="24">
        <v>38</v>
      </c>
      <c r="P18" s="24" t="s">
        <v>444</v>
      </c>
      <c r="Q18" s="296" t="s">
        <v>664</v>
      </c>
      <c r="R18" s="13" t="s">
        <v>12</v>
      </c>
      <c r="S18" s="100" t="s">
        <v>751</v>
      </c>
      <c r="T18" s="17" t="s">
        <v>7</v>
      </c>
      <c r="U18" s="20"/>
      <c r="V18" s="7" t="e">
        <f>MONTH(T:T)</f>
        <v>#VALUE!</v>
      </c>
      <c r="W18" s="7">
        <f>WEEKNUM(Tabela1[[#This Row],[Data da melhoria]])</f>
        <v>0</v>
      </c>
      <c r="X18" s="7"/>
      <c r="Y18" s="57" t="str">
        <f>IF(Tabela1[[#This Row],[Severidade]]&lt;100, "Baixa",IF(Tabela1[[#This Row],[Severidade]]&gt;=500, "Alta","Média"))</f>
        <v>Baixa</v>
      </c>
      <c r="Z18" s="57" t="str">
        <f>IF(Tabela1[[#This Row],[Severidade]]&gt;499, "+500",IF(Tabela1[[#This Row],[Severidade]]&lt;=500, "-500"))</f>
        <v>-500</v>
      </c>
      <c r="AA18" s="30" t="s">
        <v>7</v>
      </c>
      <c r="AB18" s="29"/>
      <c r="AC18" s="30">
        <f>MONTH(Tabela1[[#This Row],[Data]])</f>
        <v>6</v>
      </c>
      <c r="AD18" s="12">
        <f>HOUR(Tabela1[[#This Row],[Hora]])</f>
        <v>11</v>
      </c>
      <c r="AE18" s="12" t="str">
        <f t="shared" si="1"/>
        <v>Tarde</v>
      </c>
    </row>
    <row r="19" spans="1:31" ht="29" x14ac:dyDescent="0.35">
      <c r="A19" s="40">
        <v>44733</v>
      </c>
      <c r="B19" s="215">
        <f t="shared" si="0"/>
        <v>3</v>
      </c>
      <c r="C19" s="34">
        <v>0.31527777777777777</v>
      </c>
      <c r="D19" s="17">
        <v>54</v>
      </c>
      <c r="E19" s="23">
        <v>79</v>
      </c>
      <c r="F19" s="321">
        <v>17</v>
      </c>
      <c r="G19" s="17" t="s">
        <v>8</v>
      </c>
      <c r="H19" s="104" t="s">
        <v>395</v>
      </c>
      <c r="I19" s="104" t="s">
        <v>394</v>
      </c>
      <c r="J19" s="104" t="s">
        <v>95</v>
      </c>
      <c r="K19" s="24" t="s">
        <v>492</v>
      </c>
      <c r="L19" s="24">
        <v>1</v>
      </c>
      <c r="M19" s="24" t="s">
        <v>624</v>
      </c>
      <c r="N19" s="24">
        <v>3</v>
      </c>
      <c r="O19" s="24">
        <v>59</v>
      </c>
      <c r="P19" s="24" t="s">
        <v>344</v>
      </c>
      <c r="Q19" s="296" t="s">
        <v>664</v>
      </c>
      <c r="R19" s="13" t="s">
        <v>12</v>
      </c>
      <c r="S19" s="100" t="s">
        <v>753</v>
      </c>
      <c r="T19" s="17" t="s">
        <v>7</v>
      </c>
      <c r="U19" s="20"/>
      <c r="V19" s="7" t="e">
        <f>MONTH(T:T)</f>
        <v>#VALUE!</v>
      </c>
      <c r="W19" s="7">
        <f>WEEKNUM(Tabela1[[#This Row],[Data da melhoria]])</f>
        <v>0</v>
      </c>
      <c r="X19" s="7"/>
      <c r="Y19" s="57" t="str">
        <f>IF(Tabela1[[#This Row],[Severidade]]&lt;100, "Baixa",IF(Tabela1[[#This Row],[Severidade]]&gt;=500, "Alta","Média"))</f>
        <v>Baixa</v>
      </c>
      <c r="Z19" s="57" t="str">
        <f>IF(Tabela1[[#This Row],[Severidade]]&gt;499, "+500",IF(Tabela1[[#This Row],[Severidade]]&lt;=500, "-500"))</f>
        <v>-500</v>
      </c>
      <c r="AA19" s="30" t="s">
        <v>7</v>
      </c>
      <c r="AB19" s="29"/>
      <c r="AC19" s="30">
        <f>MONTH(Tabela1[[#This Row],[Data]])</f>
        <v>6</v>
      </c>
      <c r="AD19" s="12">
        <f>HOUR(Tabela1[[#This Row],[Hora]])</f>
        <v>7</v>
      </c>
      <c r="AE19" s="12" t="str">
        <f t="shared" si="1"/>
        <v>Tarde</v>
      </c>
    </row>
    <row r="20" spans="1:31" ht="29" x14ac:dyDescent="0.35">
      <c r="A20" s="40">
        <v>44733</v>
      </c>
      <c r="B20" s="215">
        <f t="shared" si="0"/>
        <v>3</v>
      </c>
      <c r="C20" s="34">
        <v>0.30555555555555552</v>
      </c>
      <c r="D20" s="17">
        <v>58</v>
      </c>
      <c r="E20" s="23">
        <v>79</v>
      </c>
      <c r="F20" s="321">
        <v>17</v>
      </c>
      <c r="G20" s="17" t="s">
        <v>8</v>
      </c>
      <c r="H20" s="104" t="s">
        <v>691</v>
      </c>
      <c r="I20" s="104" t="s">
        <v>69</v>
      </c>
      <c r="J20" s="104" t="s">
        <v>95</v>
      </c>
      <c r="K20" s="24" t="s">
        <v>483</v>
      </c>
      <c r="L20" s="24">
        <v>1</v>
      </c>
      <c r="M20" s="24" t="s">
        <v>514</v>
      </c>
      <c r="N20" s="24"/>
      <c r="O20" s="24">
        <v>45</v>
      </c>
      <c r="P20" s="24" t="s">
        <v>385</v>
      </c>
      <c r="Q20" s="296" t="s">
        <v>664</v>
      </c>
      <c r="R20" s="13" t="s">
        <v>12</v>
      </c>
      <c r="S20" s="100" t="s">
        <v>437</v>
      </c>
      <c r="T20" s="17" t="s">
        <v>12</v>
      </c>
      <c r="U20" s="20">
        <v>44741</v>
      </c>
      <c r="V20" s="7" t="s">
        <v>44</v>
      </c>
      <c r="W20" s="7" t="s">
        <v>46</v>
      </c>
      <c r="X20" s="45" t="s">
        <v>416</v>
      </c>
      <c r="Y20" s="57" t="str">
        <f>IF(Tabela1[[#This Row],[Severidade]]&lt;100, "Baixa",IF(Tabela1[[#This Row],[Severidade]]&gt;=500, "Alta","Média"))</f>
        <v>Baixa</v>
      </c>
      <c r="Z20" s="57" t="str">
        <f>IF(Tabela1[[#This Row],[Severidade]]&gt;499, "+500",IF(Tabela1[[#This Row],[Severidade]]&lt;=500, "-500"))</f>
        <v>-500</v>
      </c>
      <c r="AA20" s="30" t="s">
        <v>12</v>
      </c>
      <c r="AB20" s="29" t="s">
        <v>15</v>
      </c>
      <c r="AC20" s="30">
        <f>MONTH(Tabela1[[#This Row],[Data]])</f>
        <v>6</v>
      </c>
      <c r="AD20" s="12">
        <f>HOUR(Tabela1[[#This Row],[Hora]])</f>
        <v>7</v>
      </c>
      <c r="AE20" s="12" t="str">
        <f t="shared" si="1"/>
        <v>Tarde</v>
      </c>
    </row>
    <row r="21" spans="1:31" ht="29" x14ac:dyDescent="0.35">
      <c r="A21" s="113">
        <v>44733</v>
      </c>
      <c r="B21" s="223">
        <f t="shared" si="0"/>
        <v>3</v>
      </c>
      <c r="C21" s="114">
        <v>0.77430555555555547</v>
      </c>
      <c r="D21" s="28">
        <v>143</v>
      </c>
      <c r="E21" s="115">
        <v>79</v>
      </c>
      <c r="F21" s="327">
        <v>17</v>
      </c>
      <c r="G21" s="17" t="s">
        <v>8</v>
      </c>
      <c r="H21" s="116" t="s">
        <v>643</v>
      </c>
      <c r="I21" s="116" t="s">
        <v>70</v>
      </c>
      <c r="J21" s="108" t="s">
        <v>93</v>
      </c>
      <c r="K21" s="117" t="s">
        <v>644</v>
      </c>
      <c r="L21" s="117">
        <v>1</v>
      </c>
      <c r="M21" s="123" t="s">
        <v>225</v>
      </c>
      <c r="N21" s="24"/>
      <c r="O21" s="117" t="s">
        <v>225</v>
      </c>
      <c r="P21" s="117" t="s">
        <v>225</v>
      </c>
      <c r="Q21" s="296" t="s">
        <v>664</v>
      </c>
      <c r="R21" s="13" t="s">
        <v>12</v>
      </c>
      <c r="S21" s="100" t="s">
        <v>49</v>
      </c>
      <c r="T21" s="28" t="s">
        <v>12</v>
      </c>
      <c r="U21" s="25">
        <v>44740</v>
      </c>
      <c r="V21" s="27" t="e">
        <f>MONTH(T:T)</f>
        <v>#VALUE!</v>
      </c>
      <c r="W21" s="27">
        <f>WEEKNUM(Tabela1[[#This Row],[Data da melhoria]])</f>
        <v>27</v>
      </c>
      <c r="X21" s="28" t="s">
        <v>13</v>
      </c>
      <c r="Y21" s="57" t="str">
        <f>IF(Tabela1[[#This Row],[Severidade]]&lt;100, "Baixa",IF(Tabela1[[#This Row],[Severidade]]&gt;=500, "Alta","Média"))</f>
        <v>Média</v>
      </c>
      <c r="Z21" s="57" t="str">
        <f>IF(Tabela1[[#This Row],[Severidade]]&gt;499, "+500",IF(Tabela1[[#This Row],[Severidade]]&lt;=500, "-500"))</f>
        <v>-500</v>
      </c>
      <c r="AA21" s="30" t="s">
        <v>12</v>
      </c>
      <c r="AB21" s="29" t="s">
        <v>16</v>
      </c>
      <c r="AC21" s="30">
        <f>MONTH(Tabela1[[#This Row],[Data]])</f>
        <v>6</v>
      </c>
      <c r="AD21" s="12">
        <f>HOUR(Tabela1[[#This Row],[Hora]])</f>
        <v>18</v>
      </c>
      <c r="AE21" s="12" t="str">
        <f t="shared" si="1"/>
        <v>Noite</v>
      </c>
    </row>
    <row r="22" spans="1:31" ht="43.5" x14ac:dyDescent="0.35">
      <c r="A22" s="20">
        <v>44735</v>
      </c>
      <c r="B22" s="217">
        <f t="shared" si="0"/>
        <v>5</v>
      </c>
      <c r="C22" s="35">
        <v>0.82291666666666663</v>
      </c>
      <c r="D22" s="7">
        <v>54</v>
      </c>
      <c r="E22" s="19">
        <v>50</v>
      </c>
      <c r="F22" s="324">
        <v>17</v>
      </c>
      <c r="G22" s="17" t="s">
        <v>8</v>
      </c>
      <c r="H22" s="104" t="s">
        <v>680</v>
      </c>
      <c r="I22" s="104" t="s">
        <v>71</v>
      </c>
      <c r="J22" s="104" t="s">
        <v>94</v>
      </c>
      <c r="K22" s="56" t="s">
        <v>47</v>
      </c>
      <c r="L22" s="164" t="s">
        <v>653</v>
      </c>
      <c r="M22" s="56" t="s">
        <v>654</v>
      </c>
      <c r="N22" s="56"/>
      <c r="O22" s="56">
        <v>11</v>
      </c>
      <c r="P22" s="56" t="s">
        <v>430</v>
      </c>
      <c r="Q22" s="296" t="s">
        <v>664</v>
      </c>
      <c r="R22" s="13" t="s">
        <v>12</v>
      </c>
      <c r="S22" s="100" t="s">
        <v>655</v>
      </c>
      <c r="T22" s="17" t="s">
        <v>12</v>
      </c>
      <c r="U22" s="20">
        <v>44789</v>
      </c>
      <c r="V22" s="7" t="e">
        <f>MONTH(T:T)</f>
        <v>#VALUE!</v>
      </c>
      <c r="W22" s="7">
        <f>WEEKNUM(Tabela1[[#This Row],[Data da melhoria]])</f>
        <v>34</v>
      </c>
      <c r="X22" s="17" t="s">
        <v>603</v>
      </c>
      <c r="Y22" s="57" t="str">
        <f>IF(Tabela1[[#This Row],[Severidade]]&lt;100, "Baixa",IF(Tabela1[[#This Row],[Severidade]]&gt;=500, "Alta","Média"))</f>
        <v>Baixa</v>
      </c>
      <c r="Z22" s="57" t="str">
        <f>IF(Tabela1[[#This Row],[Severidade]]&gt;499, "+500",IF(Tabela1[[#This Row],[Severidade]]&lt;=500, "-500"))</f>
        <v>-500</v>
      </c>
      <c r="AA22" s="30" t="s">
        <v>12</v>
      </c>
      <c r="AB22" s="29" t="s">
        <v>15</v>
      </c>
      <c r="AC22" s="29">
        <f>MONTH(Tabela1[[#This Row],[Data]])</f>
        <v>6</v>
      </c>
      <c r="AD22" s="18">
        <f>HOUR(Tabela1[[#This Row],[Hora]])</f>
        <v>19</v>
      </c>
      <c r="AE22" s="18" t="str">
        <f t="shared" si="1"/>
        <v>Noite</v>
      </c>
    </row>
    <row r="23" spans="1:31" ht="29" x14ac:dyDescent="0.35">
      <c r="A23" s="20">
        <v>44739</v>
      </c>
      <c r="B23" s="217">
        <f t="shared" si="0"/>
        <v>2</v>
      </c>
      <c r="C23" s="35">
        <v>0.54236111111111118</v>
      </c>
      <c r="D23" s="7">
        <v>56</v>
      </c>
      <c r="E23" s="19">
        <v>61</v>
      </c>
      <c r="F23" s="324">
        <v>15</v>
      </c>
      <c r="G23" s="17" t="s">
        <v>8</v>
      </c>
      <c r="H23" s="104" t="s">
        <v>685</v>
      </c>
      <c r="I23" s="104" t="s">
        <v>72</v>
      </c>
      <c r="J23" s="104" t="s">
        <v>95</v>
      </c>
      <c r="K23" s="56" t="s">
        <v>464</v>
      </c>
      <c r="L23" s="56">
        <v>2</v>
      </c>
      <c r="M23" s="56" t="s">
        <v>512</v>
      </c>
      <c r="N23" s="56">
        <v>1</v>
      </c>
      <c r="O23" s="56">
        <v>23</v>
      </c>
      <c r="P23" s="56" t="s">
        <v>438</v>
      </c>
      <c r="Q23" s="296" t="s">
        <v>664</v>
      </c>
      <c r="R23" s="13" t="s">
        <v>12</v>
      </c>
      <c r="S23" s="100" t="s">
        <v>757</v>
      </c>
      <c r="T23" s="17" t="s">
        <v>7</v>
      </c>
      <c r="U23" s="20"/>
      <c r="V23" s="7" t="e">
        <f>MONTH(T:T)</f>
        <v>#VALUE!</v>
      </c>
      <c r="W23" s="7">
        <f>WEEKNUM(Tabela1[[#This Row],[Data da melhoria]])</f>
        <v>0</v>
      </c>
      <c r="X23" s="7" t="s">
        <v>416</v>
      </c>
      <c r="Y23" s="57" t="str">
        <f>IF(Tabela1[[#This Row],[Severidade]]&lt;100, "Baixa",IF(Tabela1[[#This Row],[Severidade]]&gt;=500, "Alta","Média"))</f>
        <v>Baixa</v>
      </c>
      <c r="Z23" s="57" t="str">
        <f>IF(Tabela1[[#This Row],[Severidade]]&gt;499, "+500",IF(Tabela1[[#This Row],[Severidade]]&lt;=500, "-500"))</f>
        <v>-500</v>
      </c>
      <c r="AA23" s="30" t="s">
        <v>7</v>
      </c>
      <c r="AB23" s="29"/>
      <c r="AC23" s="29">
        <f>MONTH(Tabela1[[#This Row],[Data]])</f>
        <v>6</v>
      </c>
      <c r="AD23" s="18">
        <f>HOUR(Tabela1[[#This Row],[Hora]])</f>
        <v>13</v>
      </c>
      <c r="AE23" s="18" t="str">
        <f t="shared" si="1"/>
        <v>Tarde</v>
      </c>
    </row>
    <row r="24" spans="1:31" ht="29" x14ac:dyDescent="0.35">
      <c r="A24" s="20">
        <v>44740</v>
      </c>
      <c r="B24" s="217">
        <f t="shared" si="0"/>
        <v>3</v>
      </c>
      <c r="C24" s="35">
        <v>0.83124999999999993</v>
      </c>
      <c r="D24" s="7">
        <v>94</v>
      </c>
      <c r="E24" s="19">
        <v>62</v>
      </c>
      <c r="F24" s="324">
        <v>13</v>
      </c>
      <c r="G24" s="17" t="s">
        <v>8</v>
      </c>
      <c r="H24" s="104" t="s">
        <v>397</v>
      </c>
      <c r="I24" s="104" t="s">
        <v>73</v>
      </c>
      <c r="J24" s="108" t="s">
        <v>93</v>
      </c>
      <c r="K24" s="56" t="s">
        <v>484</v>
      </c>
      <c r="L24" s="56">
        <v>2</v>
      </c>
      <c r="M24" s="56" t="s">
        <v>510</v>
      </c>
      <c r="N24" s="56">
        <v>2</v>
      </c>
      <c r="O24" s="56">
        <v>45</v>
      </c>
      <c r="P24" s="56" t="s">
        <v>445</v>
      </c>
      <c r="Q24" s="296" t="s">
        <v>664</v>
      </c>
      <c r="R24" s="13" t="s">
        <v>12</v>
      </c>
      <c r="S24" s="100" t="s">
        <v>655</v>
      </c>
      <c r="T24" s="17" t="s">
        <v>7</v>
      </c>
      <c r="U24" s="20"/>
      <c r="V24" s="7" t="e">
        <f>MONTH(T:T)</f>
        <v>#VALUE!</v>
      </c>
      <c r="W24" s="7">
        <f>WEEKNUM(Tabela1[[#This Row],[Data da melhoria]])</f>
        <v>0</v>
      </c>
      <c r="X24" s="7" t="s">
        <v>416</v>
      </c>
      <c r="Y24" s="57" t="str">
        <f>IF(Tabela1[[#This Row],[Severidade]]&lt;100, "Baixa",IF(Tabela1[[#This Row],[Severidade]]&gt;=500, "Alta","Média"))</f>
        <v>Baixa</v>
      </c>
      <c r="Z24" s="57" t="str">
        <f>IF(Tabela1[[#This Row],[Severidade]]&gt;499, "+500",IF(Tabela1[[#This Row],[Severidade]]&lt;=500, "-500"))</f>
        <v>-500</v>
      </c>
      <c r="AA24" s="30" t="s">
        <v>7</v>
      </c>
      <c r="AB24" s="29"/>
      <c r="AC24" s="29">
        <f>MONTH(Tabela1[[#This Row],[Data]])</f>
        <v>6</v>
      </c>
      <c r="AD24" s="18">
        <f>HOUR(Tabela1[[#This Row],[Hora]])</f>
        <v>19</v>
      </c>
      <c r="AE24" s="18" t="str">
        <f t="shared" si="1"/>
        <v>Noite</v>
      </c>
    </row>
    <row r="25" spans="1:31" ht="29" x14ac:dyDescent="0.35">
      <c r="A25" s="40">
        <v>44742</v>
      </c>
      <c r="B25" s="215">
        <f t="shared" si="0"/>
        <v>5</v>
      </c>
      <c r="C25" s="34">
        <v>0.32847222222222222</v>
      </c>
      <c r="D25" s="17">
        <v>54</v>
      </c>
      <c r="E25" s="23">
        <v>54</v>
      </c>
      <c r="F25" s="321">
        <v>17</v>
      </c>
      <c r="G25" s="17" t="s">
        <v>8</v>
      </c>
      <c r="H25" s="104" t="s">
        <v>681</v>
      </c>
      <c r="I25" s="104" t="s">
        <v>75</v>
      </c>
      <c r="J25" s="104" t="s">
        <v>95</v>
      </c>
      <c r="K25" s="24" t="s">
        <v>452</v>
      </c>
      <c r="L25" s="24">
        <v>1</v>
      </c>
      <c r="M25" s="24" t="s">
        <v>505</v>
      </c>
      <c r="N25" s="56">
        <v>6</v>
      </c>
      <c r="O25" s="24">
        <v>59</v>
      </c>
      <c r="P25" s="24" t="s">
        <v>344</v>
      </c>
      <c r="Q25" s="296" t="s">
        <v>664</v>
      </c>
      <c r="R25" s="103" t="s">
        <v>12</v>
      </c>
      <c r="S25" s="102" t="s">
        <v>127</v>
      </c>
      <c r="T25" s="17" t="s">
        <v>7</v>
      </c>
      <c r="U25" s="40"/>
      <c r="V25" s="17" t="e">
        <f>MONTH(T:T)</f>
        <v>#VALUE!</v>
      </c>
      <c r="W25" s="17">
        <f>WEEKNUM(Tabela1[[#This Row],[Data da melhoria]])</f>
        <v>0</v>
      </c>
      <c r="X25" s="17"/>
      <c r="Y25" s="57" t="str">
        <f>IF(Tabela1[[#This Row],[Severidade]]&lt;100, "Baixa",IF(Tabela1[[#This Row],[Severidade]]&gt;=500, "Alta","Média"))</f>
        <v>Baixa</v>
      </c>
      <c r="Z25" s="57" t="str">
        <f>IF(Tabela1[[#This Row],[Severidade]]&gt;499, "+500",IF(Tabela1[[#This Row],[Severidade]]&lt;=500, "-500"))</f>
        <v>-500</v>
      </c>
      <c r="AA25" s="30" t="s">
        <v>7</v>
      </c>
      <c r="AB25" s="30"/>
      <c r="AC25" s="30">
        <f>MONTH(Tabela1[[#This Row],[Data]])</f>
        <v>6</v>
      </c>
      <c r="AD25" s="12">
        <f>HOUR(Tabela1[[#This Row],[Hora]])</f>
        <v>7</v>
      </c>
      <c r="AE25" s="12" t="str">
        <f t="shared" si="1"/>
        <v>Tarde</v>
      </c>
    </row>
    <row r="26" spans="1:31" ht="43.5" x14ac:dyDescent="0.35">
      <c r="A26" s="40">
        <v>44742</v>
      </c>
      <c r="B26" s="215">
        <f t="shared" si="0"/>
        <v>5</v>
      </c>
      <c r="C26" s="36">
        <v>0.80902777777777779</v>
      </c>
      <c r="D26" s="31">
        <v>92</v>
      </c>
      <c r="E26" s="32">
        <v>61</v>
      </c>
      <c r="F26" s="325">
        <v>17</v>
      </c>
      <c r="G26" s="17" t="s">
        <v>8</v>
      </c>
      <c r="H26" s="104" t="s">
        <v>620</v>
      </c>
      <c r="I26" s="104" t="s">
        <v>74</v>
      </c>
      <c r="J26" s="108" t="s">
        <v>93</v>
      </c>
      <c r="K26" s="24" t="s">
        <v>485</v>
      </c>
      <c r="L26" s="24">
        <v>1</v>
      </c>
      <c r="M26" s="24" t="s">
        <v>621</v>
      </c>
      <c r="N26" s="24">
        <v>1</v>
      </c>
      <c r="O26" s="24">
        <v>38</v>
      </c>
      <c r="P26" s="24" t="s">
        <v>225</v>
      </c>
      <c r="Q26" s="349" t="s">
        <v>664</v>
      </c>
      <c r="R26" s="103" t="s">
        <v>877</v>
      </c>
      <c r="S26" s="102" t="s">
        <v>655</v>
      </c>
      <c r="T26" s="17" t="s">
        <v>7</v>
      </c>
      <c r="U26" s="38"/>
      <c r="V26" s="31" t="e">
        <f>MONTH(T:T)</f>
        <v>#VALUE!</v>
      </c>
      <c r="W26" s="31">
        <f>WEEKNUM(Tabela1[[#This Row],[Data da melhoria]])</f>
        <v>0</v>
      </c>
      <c r="X26" s="31" t="s">
        <v>416</v>
      </c>
      <c r="Y26" s="57" t="str">
        <f>IF(Tabela1[[#This Row],[Severidade]]&lt;100, "Baixa",IF(Tabela1[[#This Row],[Severidade]]&gt;=500, "Alta","Média"))</f>
        <v>Baixa</v>
      </c>
      <c r="Z26" s="57" t="str">
        <f>IF(Tabela1[[#This Row],[Severidade]]&gt;499, "+500",IF(Tabela1[[#This Row],[Severidade]]&lt;=500, "-500"))</f>
        <v>-500</v>
      </c>
      <c r="AA26" s="30" t="s">
        <v>7</v>
      </c>
      <c r="AB26" s="30"/>
      <c r="AC26" s="118">
        <f>MONTH(Tabela1[[#This Row],[Data]])</f>
        <v>6</v>
      </c>
      <c r="AD26" s="33">
        <f>HOUR(Tabela1[[#This Row],[Hora]])</f>
        <v>19</v>
      </c>
      <c r="AE26" s="33" t="str">
        <f t="shared" si="1"/>
        <v>Noite</v>
      </c>
    </row>
    <row r="27" spans="1:31" ht="29" x14ac:dyDescent="0.35">
      <c r="A27" s="38">
        <v>44742</v>
      </c>
      <c r="B27" s="218">
        <f t="shared" si="0"/>
        <v>5</v>
      </c>
      <c r="C27" s="36">
        <v>0.8930555555555556</v>
      </c>
      <c r="D27" s="31">
        <v>61</v>
      </c>
      <c r="E27" s="32">
        <v>71</v>
      </c>
      <c r="F27" s="325">
        <v>17</v>
      </c>
      <c r="G27" s="17" t="s">
        <v>8</v>
      </c>
      <c r="H27" s="104" t="s">
        <v>690</v>
      </c>
      <c r="I27" s="104" t="s">
        <v>77</v>
      </c>
      <c r="J27" s="104" t="s">
        <v>94</v>
      </c>
      <c r="K27" s="24" t="s">
        <v>465</v>
      </c>
      <c r="L27" s="24">
        <v>2</v>
      </c>
      <c r="M27" s="24" t="s">
        <v>522</v>
      </c>
      <c r="N27" s="24">
        <v>1</v>
      </c>
      <c r="O27" s="24">
        <v>10</v>
      </c>
      <c r="P27" s="24" t="s">
        <v>225</v>
      </c>
      <c r="Q27" s="296" t="s">
        <v>664</v>
      </c>
      <c r="R27" s="103" t="s">
        <v>877</v>
      </c>
      <c r="S27" s="102" t="s">
        <v>43</v>
      </c>
      <c r="T27" s="17" t="s">
        <v>7</v>
      </c>
      <c r="U27" s="38"/>
      <c r="V27" s="31" t="e">
        <f>MONTH(T:T)</f>
        <v>#VALUE!</v>
      </c>
      <c r="W27" s="31">
        <f>WEEKNUM(Tabela1[[#This Row],[Data da melhoria]])</f>
        <v>0</v>
      </c>
      <c r="X27" s="31"/>
      <c r="Y27" s="57" t="str">
        <f>IF(Tabela1[[#This Row],[Severidade]]&lt;100, "Baixa",IF(Tabela1[[#This Row],[Severidade]]&gt;=500, "Alta","Média"))</f>
        <v>Baixa</v>
      </c>
      <c r="Z27" s="57" t="str">
        <f>IF(Tabela1[[#This Row],[Severidade]]&gt;499, "+500",IF(Tabela1[[#This Row],[Severidade]]&lt;=500, "-500"))</f>
        <v>-500</v>
      </c>
      <c r="AA27" s="30" t="s">
        <v>7</v>
      </c>
      <c r="AB27" s="30"/>
      <c r="AC27" s="118">
        <f>MONTH(Tabela1[[#This Row],[Data]])</f>
        <v>6</v>
      </c>
      <c r="AD27" s="33">
        <f>HOUR(Tabela1[[#This Row],[Hora]])</f>
        <v>21</v>
      </c>
      <c r="AE27" s="33" t="str">
        <f t="shared" si="1"/>
        <v>Noite</v>
      </c>
    </row>
    <row r="28" spans="1:31" ht="43.5" x14ac:dyDescent="0.35">
      <c r="A28" s="38">
        <v>44744</v>
      </c>
      <c r="B28" s="218">
        <f t="shared" si="0"/>
        <v>7</v>
      </c>
      <c r="C28" s="36">
        <v>0.78333333333333333</v>
      </c>
      <c r="D28" s="31">
        <v>89</v>
      </c>
      <c r="E28" s="32">
        <v>62</v>
      </c>
      <c r="F28" s="325">
        <v>17</v>
      </c>
      <c r="G28" s="17" t="s">
        <v>8</v>
      </c>
      <c r="H28" s="104" t="s">
        <v>693</v>
      </c>
      <c r="I28" s="104" t="s">
        <v>76</v>
      </c>
      <c r="J28" s="104" t="s">
        <v>96</v>
      </c>
      <c r="K28" s="24" t="s">
        <v>451</v>
      </c>
      <c r="L28" s="24" t="s">
        <v>329</v>
      </c>
      <c r="M28" s="24" t="s">
        <v>502</v>
      </c>
      <c r="N28" s="24"/>
      <c r="O28" s="24">
        <v>29</v>
      </c>
      <c r="P28" s="24" t="s">
        <v>225</v>
      </c>
      <c r="Q28" s="296" t="s">
        <v>664</v>
      </c>
      <c r="R28" s="13" t="s">
        <v>12</v>
      </c>
      <c r="S28" s="100" t="s">
        <v>655</v>
      </c>
      <c r="T28" s="17" t="s">
        <v>12</v>
      </c>
      <c r="U28" s="38">
        <v>44753</v>
      </c>
      <c r="V28" s="31" t="e">
        <f>MONTH(T:T)</f>
        <v>#VALUE!</v>
      </c>
      <c r="W28" s="17">
        <f>WEEKNUM(Tabela1[[#This Row],[Data da melhoria]])</f>
        <v>29</v>
      </c>
      <c r="X28" s="17" t="s">
        <v>416</v>
      </c>
      <c r="Y28" s="57" t="str">
        <f>IF(Tabela1[[#This Row],[Severidade]]&lt;100, "Baixa",IF(Tabela1[[#This Row],[Severidade]]&gt;=500, "Alta","Média"))</f>
        <v>Baixa</v>
      </c>
      <c r="Z28" s="57" t="str">
        <f>IF(Tabela1[[#This Row],[Severidade]]&gt;499, "+500",IF(Tabela1[[#This Row],[Severidade]]&lt;=500, "-500"))</f>
        <v>-500</v>
      </c>
      <c r="AA28" s="30" t="s">
        <v>12</v>
      </c>
      <c r="AB28" s="30" t="s">
        <v>17</v>
      </c>
      <c r="AC28" s="118">
        <f>MONTH(Tabela1[[#This Row],[Data]])</f>
        <v>7</v>
      </c>
      <c r="AD28" s="33">
        <f>HOUR(Tabela1[[#This Row],[Hora]])</f>
        <v>18</v>
      </c>
      <c r="AE28" s="33" t="str">
        <f t="shared" si="1"/>
        <v>Noite</v>
      </c>
    </row>
    <row r="29" spans="1:31" ht="43.5" x14ac:dyDescent="0.35">
      <c r="A29" s="38">
        <v>44745</v>
      </c>
      <c r="B29" s="218">
        <f t="shared" si="0"/>
        <v>1</v>
      </c>
      <c r="C29" s="36">
        <v>0.24930555555555556</v>
      </c>
      <c r="D29" s="31">
        <v>169</v>
      </c>
      <c r="E29" s="32">
        <v>50</v>
      </c>
      <c r="F29" s="325">
        <v>16</v>
      </c>
      <c r="G29" s="17" t="s">
        <v>8</v>
      </c>
      <c r="H29" s="104" t="s">
        <v>693</v>
      </c>
      <c r="I29" s="104" t="s">
        <v>76</v>
      </c>
      <c r="J29" s="104" t="s">
        <v>96</v>
      </c>
      <c r="K29" s="24" t="s">
        <v>451</v>
      </c>
      <c r="L29" s="24" t="s">
        <v>329</v>
      </c>
      <c r="M29" s="24" t="s">
        <v>502</v>
      </c>
      <c r="N29" s="24"/>
      <c r="O29" s="24">
        <v>29</v>
      </c>
      <c r="P29" s="24" t="s">
        <v>448</v>
      </c>
      <c r="Q29" s="296" t="s">
        <v>664</v>
      </c>
      <c r="R29" s="13" t="s">
        <v>12</v>
      </c>
      <c r="S29" s="100" t="s">
        <v>655</v>
      </c>
      <c r="T29" s="17" t="s">
        <v>12</v>
      </c>
      <c r="U29" s="38">
        <v>44753</v>
      </c>
      <c r="V29" s="31" t="e">
        <f>MONTH(T:T)</f>
        <v>#VALUE!</v>
      </c>
      <c r="W29" s="17">
        <f>WEEKNUM(Tabela1[[#This Row],[Data da melhoria]])</f>
        <v>29</v>
      </c>
      <c r="X29" s="17" t="s">
        <v>13</v>
      </c>
      <c r="Y29" s="57" t="str">
        <f>IF(Tabela1[[#This Row],[Severidade]]&lt;100, "Baixa",IF(Tabela1[[#This Row],[Severidade]]&gt;=500, "Alta","Média"))</f>
        <v>Média</v>
      </c>
      <c r="Z29" s="57" t="str">
        <f>IF(Tabela1[[#This Row],[Severidade]]&gt;499, "+500",IF(Tabela1[[#This Row],[Severidade]]&lt;=500, "-500"))</f>
        <v>-500</v>
      </c>
      <c r="AA29" s="30" t="s">
        <v>12</v>
      </c>
      <c r="AB29" s="30" t="s">
        <v>17</v>
      </c>
      <c r="AC29" s="118">
        <f>MONTH(Tabela1[[#This Row],[Data]])</f>
        <v>7</v>
      </c>
      <c r="AD29" s="33">
        <f>HOUR(Tabela1[[#This Row],[Hora]])</f>
        <v>5</v>
      </c>
      <c r="AE29" s="33" t="str">
        <f t="shared" si="1"/>
        <v>Noite</v>
      </c>
    </row>
    <row r="30" spans="1:31" ht="29" x14ac:dyDescent="0.35">
      <c r="A30" s="119">
        <v>44745</v>
      </c>
      <c r="B30" s="221">
        <f t="shared" si="0"/>
        <v>1</v>
      </c>
      <c r="C30" s="36">
        <v>0.26250000000000001</v>
      </c>
      <c r="D30" s="31">
        <v>76</v>
      </c>
      <c r="E30" s="32">
        <v>66</v>
      </c>
      <c r="F30" s="325">
        <v>16</v>
      </c>
      <c r="G30" s="17" t="s">
        <v>8</v>
      </c>
      <c r="H30" s="104" t="s">
        <v>687</v>
      </c>
      <c r="I30" s="104" t="s">
        <v>78</v>
      </c>
      <c r="J30" s="104" t="s">
        <v>97</v>
      </c>
      <c r="K30" s="24" t="s">
        <v>466</v>
      </c>
      <c r="L30" s="24">
        <v>2</v>
      </c>
      <c r="M30" s="24" t="s">
        <v>517</v>
      </c>
      <c r="N30" s="24"/>
      <c r="O30" s="24">
        <v>18</v>
      </c>
      <c r="P30" s="24" t="s">
        <v>449</v>
      </c>
      <c r="Q30" s="296" t="s">
        <v>664</v>
      </c>
      <c r="R30" s="13" t="s">
        <v>12</v>
      </c>
      <c r="S30" s="100" t="s">
        <v>50</v>
      </c>
      <c r="T30" s="17" t="s">
        <v>12</v>
      </c>
      <c r="U30" s="38">
        <v>44800</v>
      </c>
      <c r="V30" s="31" t="e">
        <f>MONTH(T:T)</f>
        <v>#VALUE!</v>
      </c>
      <c r="W30" s="17">
        <f>WEEKNUM(Tabela1[[#This Row],[Data da melhoria]])</f>
        <v>35</v>
      </c>
      <c r="X30" s="45" t="s">
        <v>416</v>
      </c>
      <c r="Y30" s="57" t="str">
        <f>IF(Tabela1[[#This Row],[Severidade]]&lt;100, "Baixa",IF(Tabela1[[#This Row],[Severidade]]&gt;=500, "Alta","Média"))</f>
        <v>Baixa</v>
      </c>
      <c r="Z30" s="57" t="str">
        <f>IF(Tabela1[[#This Row],[Severidade]]&gt;499, "+500",IF(Tabela1[[#This Row],[Severidade]]&lt;=500, "-500"))</f>
        <v>-500</v>
      </c>
      <c r="AA30" s="30" t="s">
        <v>12</v>
      </c>
      <c r="AB30" s="30" t="s">
        <v>15</v>
      </c>
      <c r="AC30" s="118">
        <f>MONTH(Tabela1[[#This Row],[Data]])</f>
        <v>7</v>
      </c>
      <c r="AD30" s="33">
        <f>HOUR(Tabela1[[#This Row],[Hora]])</f>
        <v>6</v>
      </c>
      <c r="AE30" s="33" t="str">
        <f t="shared" si="1"/>
        <v>Tarde</v>
      </c>
    </row>
    <row r="31" spans="1:31" ht="29" x14ac:dyDescent="0.35">
      <c r="A31" s="38">
        <v>44746</v>
      </c>
      <c r="B31" s="218">
        <f t="shared" si="0"/>
        <v>2</v>
      </c>
      <c r="C31" s="36">
        <v>0.24930555555555556</v>
      </c>
      <c r="D31" s="31">
        <v>70</v>
      </c>
      <c r="E31" s="32">
        <v>67</v>
      </c>
      <c r="F31" s="325">
        <v>15</v>
      </c>
      <c r="G31" s="17" t="s">
        <v>8</v>
      </c>
      <c r="H31" s="104" t="s">
        <v>688</v>
      </c>
      <c r="I31" s="104" t="s">
        <v>79</v>
      </c>
      <c r="J31" s="104" t="s">
        <v>94</v>
      </c>
      <c r="K31" s="24" t="s">
        <v>486</v>
      </c>
      <c r="L31" s="24">
        <v>3</v>
      </c>
      <c r="M31" s="123" t="s">
        <v>501</v>
      </c>
      <c r="N31" s="24"/>
      <c r="O31" s="24">
        <v>11</v>
      </c>
      <c r="P31" s="24" t="s">
        <v>430</v>
      </c>
      <c r="Q31" s="296" t="s">
        <v>664</v>
      </c>
      <c r="R31" s="13" t="s">
        <v>12</v>
      </c>
      <c r="S31" s="100" t="s">
        <v>51</v>
      </c>
      <c r="T31" s="17" t="s">
        <v>12</v>
      </c>
      <c r="U31" s="38">
        <v>44845</v>
      </c>
      <c r="V31" s="31" t="e">
        <f>MONTH(T:T)</f>
        <v>#VALUE!</v>
      </c>
      <c r="W31" s="17">
        <f>WEEKNUM(Tabela1[[#This Row],[Data da melhoria]])</f>
        <v>42</v>
      </c>
      <c r="X31" s="17" t="s">
        <v>603</v>
      </c>
      <c r="Y31" s="57" t="str">
        <f>IF(Tabela1[[#This Row],[Severidade]]&lt;100, "Baixa",IF(Tabela1[[#This Row],[Severidade]]&gt;=500, "Alta","Média"))</f>
        <v>Baixa</v>
      </c>
      <c r="Z31" s="57" t="str">
        <f>IF(Tabela1[[#This Row],[Severidade]]&gt;499, "+500",IF(Tabela1[[#This Row],[Severidade]]&lt;=500, "-500"))</f>
        <v>-500</v>
      </c>
      <c r="AA31" s="30" t="s">
        <v>12</v>
      </c>
      <c r="AB31" s="30" t="s">
        <v>15</v>
      </c>
      <c r="AC31" s="118">
        <f>MONTH(Tabela1[[#This Row],[Data]])</f>
        <v>7</v>
      </c>
      <c r="AD31" s="33">
        <f>HOUR(Tabela1[[#This Row],[Hora]])</f>
        <v>5</v>
      </c>
      <c r="AE31" s="33" t="str">
        <f t="shared" si="1"/>
        <v>Noite</v>
      </c>
    </row>
    <row r="32" spans="1:31" ht="29" x14ac:dyDescent="0.35">
      <c r="A32" s="40">
        <v>44747</v>
      </c>
      <c r="B32" s="215">
        <f t="shared" si="0"/>
        <v>3</v>
      </c>
      <c r="C32" s="34">
        <v>0.28888888888888892</v>
      </c>
      <c r="D32" s="17">
        <v>50</v>
      </c>
      <c r="E32" s="23">
        <v>67</v>
      </c>
      <c r="F32" s="321">
        <v>15</v>
      </c>
      <c r="G32" s="17" t="s">
        <v>8</v>
      </c>
      <c r="H32" s="120" t="s">
        <v>696</v>
      </c>
      <c r="I32" s="104" t="s">
        <v>80</v>
      </c>
      <c r="J32" s="104" t="s">
        <v>95</v>
      </c>
      <c r="K32" s="24" t="s">
        <v>452</v>
      </c>
      <c r="L32" s="24">
        <v>1</v>
      </c>
      <c r="M32" s="24" t="s">
        <v>398</v>
      </c>
      <c r="N32" s="56">
        <v>6</v>
      </c>
      <c r="O32" s="24">
        <v>59</v>
      </c>
      <c r="P32" s="24" t="s">
        <v>344</v>
      </c>
      <c r="Q32" s="296" t="s">
        <v>664</v>
      </c>
      <c r="R32" s="13" t="s">
        <v>12</v>
      </c>
      <c r="S32" s="100" t="s">
        <v>127</v>
      </c>
      <c r="T32" s="17" t="s">
        <v>7</v>
      </c>
      <c r="U32" s="40"/>
      <c r="V32" s="17" t="e">
        <f>MONTH(T:T)</f>
        <v>#VALUE!</v>
      </c>
      <c r="W32" s="17">
        <f>WEEKNUM(Tabela1[[#This Row],[Data da melhoria]])</f>
        <v>0</v>
      </c>
      <c r="X32" s="17"/>
      <c r="Y32" s="57" t="str">
        <f>IF(Tabela1[[#This Row],[Severidade]]&lt;100, "Baixa",IF(Tabela1[[#This Row],[Severidade]]&gt;=500, "Alta","Média"))</f>
        <v>Baixa</v>
      </c>
      <c r="Z32" s="57" t="str">
        <f>IF(Tabela1[[#This Row],[Severidade]]&gt;499, "+500",IF(Tabela1[[#This Row],[Severidade]]&lt;=500, "-500"))</f>
        <v>-500</v>
      </c>
      <c r="AA32" s="30" t="s">
        <v>7</v>
      </c>
      <c r="AB32" s="30"/>
      <c r="AC32" s="30">
        <f>MONTH(Tabela1[[#This Row],[Data]])</f>
        <v>7</v>
      </c>
      <c r="AD32" s="12">
        <f>HOUR(Tabela1[[#This Row],[Hora]])</f>
        <v>6</v>
      </c>
      <c r="AE32" s="12" t="str">
        <f t="shared" si="1"/>
        <v>Tarde</v>
      </c>
    </row>
    <row r="33" spans="1:31" ht="29" x14ac:dyDescent="0.35">
      <c r="A33" s="38">
        <v>44747</v>
      </c>
      <c r="B33" s="218">
        <f t="shared" si="0"/>
        <v>3</v>
      </c>
      <c r="C33" s="36">
        <v>0.23680555555555557</v>
      </c>
      <c r="D33" s="31">
        <v>65</v>
      </c>
      <c r="E33" s="32">
        <v>76</v>
      </c>
      <c r="F33" s="325">
        <v>15</v>
      </c>
      <c r="G33" s="17" t="s">
        <v>8</v>
      </c>
      <c r="H33" s="120" t="s">
        <v>697</v>
      </c>
      <c r="I33" s="104" t="s">
        <v>57</v>
      </c>
      <c r="J33" s="104" t="s">
        <v>94</v>
      </c>
      <c r="K33" s="24" t="s">
        <v>486</v>
      </c>
      <c r="L33" s="24">
        <v>5</v>
      </c>
      <c r="M33" s="24" t="s">
        <v>518</v>
      </c>
      <c r="N33" s="24">
        <v>1</v>
      </c>
      <c r="O33" s="24">
        <v>11</v>
      </c>
      <c r="P33" s="24" t="s">
        <v>433</v>
      </c>
      <c r="Q33" s="296" t="s">
        <v>664</v>
      </c>
      <c r="R33" s="103" t="s">
        <v>12</v>
      </c>
      <c r="S33" s="100" t="s">
        <v>434</v>
      </c>
      <c r="T33" s="17" t="s">
        <v>7</v>
      </c>
      <c r="U33" s="38"/>
      <c r="V33" s="31" t="e">
        <f>MONTH(T:T)</f>
        <v>#VALUE!</v>
      </c>
      <c r="W33" s="17">
        <f>WEEKNUM(Tabela1[[#This Row],[Data da melhoria]])</f>
        <v>0</v>
      </c>
      <c r="X33" s="31"/>
      <c r="Y33" s="57" t="str">
        <f>IF(Tabela1[[#This Row],[Severidade]]&lt;100, "Baixa",IF(Tabela1[[#This Row],[Severidade]]&gt;=500, "Alta","Média"))</f>
        <v>Baixa</v>
      </c>
      <c r="Z33" s="57" t="str">
        <f>IF(Tabela1[[#This Row],[Severidade]]&gt;499, "+500",IF(Tabela1[[#This Row],[Severidade]]&lt;=500, "-500"))</f>
        <v>-500</v>
      </c>
      <c r="AA33" s="30" t="s">
        <v>7</v>
      </c>
      <c r="AB33" s="30"/>
      <c r="AC33" s="118">
        <f>MONTH(Tabela1[[#This Row],[Data]])</f>
        <v>7</v>
      </c>
      <c r="AD33" s="33">
        <f>HOUR(Tabela1[[#This Row],[Hora]])</f>
        <v>5</v>
      </c>
      <c r="AE33" s="33" t="str">
        <f t="shared" si="1"/>
        <v>Noite</v>
      </c>
    </row>
    <row r="34" spans="1:31" ht="29" x14ac:dyDescent="0.35">
      <c r="A34" s="55">
        <v>44748</v>
      </c>
      <c r="B34" s="214">
        <f t="shared" si="0"/>
        <v>4</v>
      </c>
      <c r="C34" s="47">
        <v>0.86805555555555547</v>
      </c>
      <c r="D34" s="45">
        <v>91</v>
      </c>
      <c r="E34" s="48">
        <v>73</v>
      </c>
      <c r="F34" s="323">
        <v>15</v>
      </c>
      <c r="G34" s="17" t="s">
        <v>8</v>
      </c>
      <c r="H34" s="104" t="s">
        <v>626</v>
      </c>
      <c r="I34" s="104" t="s">
        <v>81</v>
      </c>
      <c r="J34" s="104" t="s">
        <v>95</v>
      </c>
      <c r="K34" s="24" t="s">
        <v>468</v>
      </c>
      <c r="L34" s="24">
        <v>2</v>
      </c>
      <c r="M34" s="24" t="s">
        <v>627</v>
      </c>
      <c r="N34" s="24">
        <v>1</v>
      </c>
      <c r="O34" s="24">
        <v>36</v>
      </c>
      <c r="P34" s="24" t="s">
        <v>225</v>
      </c>
      <c r="Q34" s="296" t="s">
        <v>664</v>
      </c>
      <c r="R34" s="103" t="s">
        <v>12</v>
      </c>
      <c r="S34" s="100" t="s">
        <v>381</v>
      </c>
      <c r="T34" s="17" t="s">
        <v>7</v>
      </c>
      <c r="U34" s="55"/>
      <c r="V34" s="45" t="e">
        <f>MONTH(T:T)</f>
        <v>#VALUE!</v>
      </c>
      <c r="W34" s="17">
        <f>WEEKNUM(Tabela1[[#This Row],[Data da melhoria]])</f>
        <v>0</v>
      </c>
      <c r="X34" s="45"/>
      <c r="Y34" s="57" t="str">
        <f>IF(Tabela1[[#This Row],[Severidade]]&lt;100, "Baixa",IF(Tabela1[[#This Row],[Severidade]]&gt;=500, "Alta","Média"))</f>
        <v>Baixa</v>
      </c>
      <c r="Z34" s="57" t="str">
        <f>IF(Tabela1[[#This Row],[Severidade]]&gt;499, "+500",IF(Tabela1[[#This Row],[Severidade]]&lt;=500, "-500"))</f>
        <v>-500</v>
      </c>
      <c r="AA34" s="30" t="s">
        <v>7</v>
      </c>
      <c r="AB34" s="30"/>
      <c r="AC34" s="57">
        <f>MONTH(Tabela1[[#This Row],[Data]])</f>
        <v>7</v>
      </c>
      <c r="AD34" s="46">
        <f>HOUR(Tabela1[[#This Row],[Hora]])</f>
        <v>20</v>
      </c>
      <c r="AE34" s="46" t="str">
        <f t="shared" si="1"/>
        <v>Noite</v>
      </c>
    </row>
    <row r="35" spans="1:31" ht="29" x14ac:dyDescent="0.35">
      <c r="A35" s="38">
        <v>44748</v>
      </c>
      <c r="B35" s="218">
        <f t="shared" si="0"/>
        <v>4</v>
      </c>
      <c r="C35" s="36">
        <v>0.30208333333333331</v>
      </c>
      <c r="D35" s="31">
        <v>116</v>
      </c>
      <c r="E35" s="32">
        <v>77</v>
      </c>
      <c r="F35" s="325">
        <v>15</v>
      </c>
      <c r="G35" s="17" t="s">
        <v>8</v>
      </c>
      <c r="H35" s="104" t="s">
        <v>104</v>
      </c>
      <c r="I35" s="104" t="s">
        <v>105</v>
      </c>
      <c r="J35" s="104" t="s">
        <v>94</v>
      </c>
      <c r="K35" s="24" t="s">
        <v>486</v>
      </c>
      <c r="L35" s="24">
        <v>1</v>
      </c>
      <c r="M35" s="24" t="s">
        <v>527</v>
      </c>
      <c r="N35" s="24">
        <v>1</v>
      </c>
      <c r="O35" s="24">
        <v>11</v>
      </c>
      <c r="P35" s="24" t="s">
        <v>225</v>
      </c>
      <c r="Q35" s="296" t="s">
        <v>664</v>
      </c>
      <c r="R35" s="103" t="s">
        <v>7</v>
      </c>
      <c r="S35" s="102" t="s">
        <v>43</v>
      </c>
      <c r="T35" s="17" t="s">
        <v>7</v>
      </c>
      <c r="U35" s="38"/>
      <c r="V35" s="31" t="e">
        <f>MONTH(T:T)</f>
        <v>#VALUE!</v>
      </c>
      <c r="W35" s="17">
        <f>WEEKNUM(Tabela1[[#This Row],[Data da melhoria]])</f>
        <v>0</v>
      </c>
      <c r="X35" s="31"/>
      <c r="Y35" s="57" t="str">
        <f>IF(Tabela1[[#This Row],[Severidade]]&lt;100, "Baixa",IF(Tabela1[[#This Row],[Severidade]]&gt;=500, "Alta","Média"))</f>
        <v>Média</v>
      </c>
      <c r="Z35" s="57" t="str">
        <f>IF(Tabela1[[#This Row],[Severidade]]&gt;499, "+500",IF(Tabela1[[#This Row],[Severidade]]&lt;=500, "-500"))</f>
        <v>-500</v>
      </c>
      <c r="AA35" s="30" t="s">
        <v>7</v>
      </c>
      <c r="AB35" s="30"/>
      <c r="AC35" s="118">
        <f>MONTH(Tabela1[[#This Row],[Data]])</f>
        <v>7</v>
      </c>
      <c r="AD35" s="33">
        <f>HOUR(Tabela1[[#This Row],[Hora]])</f>
        <v>7</v>
      </c>
      <c r="AE35" s="33" t="str">
        <f t="shared" si="1"/>
        <v>Tarde</v>
      </c>
    </row>
    <row r="36" spans="1:31" ht="29" x14ac:dyDescent="0.35">
      <c r="A36" s="55">
        <v>44749</v>
      </c>
      <c r="B36" s="214">
        <f t="shared" si="0"/>
        <v>5</v>
      </c>
      <c r="C36" s="47">
        <v>0.64930555555555558</v>
      </c>
      <c r="D36" s="45">
        <v>55</v>
      </c>
      <c r="E36" s="48">
        <v>52</v>
      </c>
      <c r="F36" s="323">
        <v>30</v>
      </c>
      <c r="G36" s="17" t="s">
        <v>8</v>
      </c>
      <c r="H36" s="120" t="s">
        <v>695</v>
      </c>
      <c r="I36" s="104" t="s">
        <v>83</v>
      </c>
      <c r="J36" s="108" t="s">
        <v>93</v>
      </c>
      <c r="K36" s="24" t="s">
        <v>467</v>
      </c>
      <c r="L36" s="24">
        <v>2</v>
      </c>
      <c r="M36" s="24" t="s">
        <v>500</v>
      </c>
      <c r="N36" s="24"/>
      <c r="O36" s="24">
        <v>53</v>
      </c>
      <c r="P36" s="24" t="s">
        <v>382</v>
      </c>
      <c r="Q36" s="296" t="s">
        <v>664</v>
      </c>
      <c r="R36" s="13" t="s">
        <v>12</v>
      </c>
      <c r="S36" s="100" t="s">
        <v>655</v>
      </c>
      <c r="T36" s="17" t="s">
        <v>12</v>
      </c>
      <c r="U36" s="55">
        <v>44769</v>
      </c>
      <c r="V36" s="45" t="e">
        <f>MONTH(T:T)</f>
        <v>#VALUE!</v>
      </c>
      <c r="W36" s="17">
        <f>WEEKNUM(Tabela1[[#This Row],[Data da melhoria]])</f>
        <v>31</v>
      </c>
      <c r="X36" s="17" t="s">
        <v>13</v>
      </c>
      <c r="Y36" s="57" t="str">
        <f>IF(Tabela1[[#This Row],[Severidade]]&lt;100, "Baixa",IF(Tabela1[[#This Row],[Severidade]]&gt;=500, "Alta","Média"))</f>
        <v>Baixa</v>
      </c>
      <c r="Z36" s="57" t="str">
        <f>IF(Tabela1[[#This Row],[Severidade]]&gt;499, "+500",IF(Tabela1[[#This Row],[Severidade]]&lt;=500, "-500"))</f>
        <v>-500</v>
      </c>
      <c r="AA36" s="30" t="s">
        <v>12</v>
      </c>
      <c r="AB36" s="30" t="s">
        <v>17</v>
      </c>
      <c r="AC36" s="57">
        <f>MONTH(Tabela1[[#This Row],[Data]])</f>
        <v>7</v>
      </c>
      <c r="AD36" s="46">
        <f>HOUR(Tabela1[[#This Row],[Hora]])</f>
        <v>15</v>
      </c>
      <c r="AE36" s="46" t="str">
        <f t="shared" si="1"/>
        <v>Tarde</v>
      </c>
    </row>
    <row r="37" spans="1:31" ht="29" x14ac:dyDescent="0.35">
      <c r="A37" s="55">
        <v>44749</v>
      </c>
      <c r="B37" s="214">
        <f t="shared" si="0"/>
        <v>5</v>
      </c>
      <c r="C37" s="47">
        <v>0.45902777777777781</v>
      </c>
      <c r="D37" s="45">
        <v>77</v>
      </c>
      <c r="E37" s="48">
        <v>59</v>
      </c>
      <c r="F37" s="323">
        <v>15</v>
      </c>
      <c r="G37" s="17" t="s">
        <v>8</v>
      </c>
      <c r="H37" s="104" t="s">
        <v>684</v>
      </c>
      <c r="I37" s="104" t="s">
        <v>84</v>
      </c>
      <c r="J37" s="104" t="s">
        <v>95</v>
      </c>
      <c r="K37" s="24" t="s">
        <v>469</v>
      </c>
      <c r="L37" s="24">
        <v>1</v>
      </c>
      <c r="M37" s="24" t="s">
        <v>871</v>
      </c>
      <c r="N37" s="24">
        <v>1</v>
      </c>
      <c r="O37" s="24">
        <v>40</v>
      </c>
      <c r="P37" s="24" t="s">
        <v>342</v>
      </c>
      <c r="Q37" s="296" t="s">
        <v>664</v>
      </c>
      <c r="R37" s="13" t="s">
        <v>12</v>
      </c>
      <c r="S37" s="100" t="s">
        <v>763</v>
      </c>
      <c r="T37" s="17" t="s">
        <v>7</v>
      </c>
      <c r="U37" s="55"/>
      <c r="V37" s="45" t="e">
        <f>MONTH(T:T)</f>
        <v>#VALUE!</v>
      </c>
      <c r="W37" s="17">
        <f>WEEKNUM(Tabela1[[#This Row],[Data da melhoria]])</f>
        <v>0</v>
      </c>
      <c r="X37" s="45"/>
      <c r="Y37" s="57" t="str">
        <f>IF(Tabela1[[#This Row],[Severidade]]&lt;100, "Baixa",IF(Tabela1[[#This Row],[Severidade]]&gt;=500, "Alta","Média"))</f>
        <v>Baixa</v>
      </c>
      <c r="Z37" s="57" t="str">
        <f>IF(Tabela1[[#This Row],[Severidade]]&gt;499, "+500",IF(Tabela1[[#This Row],[Severidade]]&lt;=500, "-500"))</f>
        <v>-500</v>
      </c>
      <c r="AA37" s="30" t="s">
        <v>7</v>
      </c>
      <c r="AB37" s="30"/>
      <c r="AC37" s="57">
        <f>MONTH(Tabela1[[#This Row],[Data]])</f>
        <v>7</v>
      </c>
      <c r="AD37" s="46">
        <f>HOUR(Tabela1[[#This Row],[Hora]])</f>
        <v>11</v>
      </c>
      <c r="AE37" s="46" t="str">
        <f t="shared" si="1"/>
        <v>Tarde</v>
      </c>
    </row>
    <row r="38" spans="1:31" ht="29" x14ac:dyDescent="0.35">
      <c r="A38" s="55">
        <v>44749</v>
      </c>
      <c r="B38" s="214">
        <f t="shared" ref="B38:B69" si="2">WEEKDAY(A38)</f>
        <v>5</v>
      </c>
      <c r="C38" s="47">
        <v>0.67291666666666661</v>
      </c>
      <c r="D38" s="45">
        <v>80</v>
      </c>
      <c r="E38" s="48">
        <v>59</v>
      </c>
      <c r="F38" s="323">
        <v>30</v>
      </c>
      <c r="G38" s="17" t="s">
        <v>8</v>
      </c>
      <c r="H38" s="104" t="s">
        <v>676</v>
      </c>
      <c r="I38" s="104" t="s">
        <v>82</v>
      </c>
      <c r="J38" s="108" t="s">
        <v>93</v>
      </c>
      <c r="K38" s="24" t="s">
        <v>484</v>
      </c>
      <c r="L38" s="24">
        <v>2</v>
      </c>
      <c r="M38" s="56" t="s">
        <v>510</v>
      </c>
      <c r="N38" s="56">
        <v>2</v>
      </c>
      <c r="O38" s="24">
        <v>45</v>
      </c>
      <c r="P38" s="24" t="s">
        <v>445</v>
      </c>
      <c r="Q38" s="296" t="s">
        <v>664</v>
      </c>
      <c r="R38" s="13" t="s">
        <v>12</v>
      </c>
      <c r="S38" s="100" t="s">
        <v>655</v>
      </c>
      <c r="T38" s="17" t="s">
        <v>7</v>
      </c>
      <c r="U38" s="55"/>
      <c r="V38" s="45" t="e">
        <f>MONTH(T:T)</f>
        <v>#VALUE!</v>
      </c>
      <c r="W38" s="17">
        <f>WEEKNUM(Tabela1[[#This Row],[Data da melhoria]])</f>
        <v>0</v>
      </c>
      <c r="X38" s="45" t="s">
        <v>416</v>
      </c>
      <c r="Y38" s="57" t="str">
        <f>IF(Tabela1[[#This Row],[Severidade]]&lt;100, "Baixa",IF(Tabela1[[#This Row],[Severidade]]&gt;=500, "Alta","Média"))</f>
        <v>Baixa</v>
      </c>
      <c r="Z38" s="57" t="str">
        <f>IF(Tabela1[[#This Row],[Severidade]]&gt;499, "+500",IF(Tabela1[[#This Row],[Severidade]]&lt;=500, "-500"))</f>
        <v>-500</v>
      </c>
      <c r="AA38" s="30" t="s">
        <v>7</v>
      </c>
      <c r="AB38" s="30"/>
      <c r="AC38" s="57">
        <f>MONTH(Tabela1[[#This Row],[Data]])</f>
        <v>7</v>
      </c>
      <c r="AD38" s="46">
        <f>HOUR(Tabela1[[#This Row],[Hora]])</f>
        <v>16</v>
      </c>
      <c r="AE38" s="46" t="str">
        <f t="shared" ref="AE38:AE69" si="3">IF(AND(AD38&gt;=6,AD38&lt;18),"Tarde","Noite")</f>
        <v>Tarde</v>
      </c>
    </row>
    <row r="39" spans="1:31" ht="29" x14ac:dyDescent="0.35">
      <c r="A39" s="55">
        <v>44750</v>
      </c>
      <c r="B39" s="214">
        <f t="shared" si="2"/>
        <v>6</v>
      </c>
      <c r="C39" s="47">
        <v>0.60902777777777783</v>
      </c>
      <c r="D39" s="45">
        <v>81</v>
      </c>
      <c r="E39" s="48">
        <v>29</v>
      </c>
      <c r="F39" s="323">
        <v>29</v>
      </c>
      <c r="G39" s="17" t="s">
        <v>8</v>
      </c>
      <c r="H39" s="104" t="s">
        <v>692</v>
      </c>
      <c r="I39" s="104" t="s">
        <v>86</v>
      </c>
      <c r="J39" s="108" t="s">
        <v>93</v>
      </c>
      <c r="K39" s="24" t="s">
        <v>461</v>
      </c>
      <c r="L39" s="24">
        <v>2</v>
      </c>
      <c r="M39" s="24" t="s">
        <v>496</v>
      </c>
      <c r="N39" s="24">
        <v>1</v>
      </c>
      <c r="O39" s="24">
        <v>30</v>
      </c>
      <c r="P39" s="24" t="s">
        <v>443</v>
      </c>
      <c r="Q39" s="296" t="s">
        <v>664</v>
      </c>
      <c r="R39" s="13" t="s">
        <v>12</v>
      </c>
      <c r="S39" s="100" t="s">
        <v>102</v>
      </c>
      <c r="T39" s="17" t="s">
        <v>7</v>
      </c>
      <c r="U39" s="55"/>
      <c r="V39" s="45" t="e">
        <f>MONTH(T:T)</f>
        <v>#VALUE!</v>
      </c>
      <c r="W39" s="17">
        <f>WEEKNUM(Tabela1[[#This Row],[Data da melhoria]])</f>
        <v>0</v>
      </c>
      <c r="X39" s="45"/>
      <c r="Y39" s="57" t="str">
        <f>IF(Tabela1[[#This Row],[Severidade]]&lt;100, "Baixa",IF(Tabela1[[#This Row],[Severidade]]&gt;=500, "Alta","Média"))</f>
        <v>Baixa</v>
      </c>
      <c r="Z39" s="57" t="str">
        <f>IF(Tabela1[[#This Row],[Severidade]]&gt;499, "+500",IF(Tabela1[[#This Row],[Severidade]]&lt;=500, "-500"))</f>
        <v>-500</v>
      </c>
      <c r="AA39" s="30" t="s">
        <v>7</v>
      </c>
      <c r="AB39" s="30"/>
      <c r="AC39" s="57">
        <f>MONTH(Tabela1[[#This Row],[Data]])</f>
        <v>7</v>
      </c>
      <c r="AD39" s="46">
        <f>HOUR(Tabela1[[#This Row],[Hora]])</f>
        <v>14</v>
      </c>
      <c r="AE39" s="46" t="str">
        <f t="shared" si="3"/>
        <v>Tarde</v>
      </c>
    </row>
    <row r="40" spans="1:31" ht="29" x14ac:dyDescent="0.35">
      <c r="A40" s="55">
        <v>44750</v>
      </c>
      <c r="B40" s="214">
        <f t="shared" si="2"/>
        <v>6</v>
      </c>
      <c r="C40" s="47">
        <v>0.9868055555555556</v>
      </c>
      <c r="D40" s="45">
        <v>89</v>
      </c>
      <c r="E40" s="48">
        <v>49</v>
      </c>
      <c r="F40" s="323">
        <v>15</v>
      </c>
      <c r="G40" s="17" t="s">
        <v>8</v>
      </c>
      <c r="H40" s="104" t="s">
        <v>88</v>
      </c>
      <c r="I40" s="104" t="s">
        <v>89</v>
      </c>
      <c r="J40" s="108" t="s">
        <v>93</v>
      </c>
      <c r="K40" s="24" t="s">
        <v>452</v>
      </c>
      <c r="L40" s="24">
        <v>2</v>
      </c>
      <c r="M40" s="24" t="s">
        <v>500</v>
      </c>
      <c r="N40" s="24"/>
      <c r="O40" s="24">
        <v>53</v>
      </c>
      <c r="P40" s="24" t="s">
        <v>225</v>
      </c>
      <c r="Q40" s="348" t="s">
        <v>664</v>
      </c>
      <c r="R40" s="13" t="s">
        <v>12</v>
      </c>
      <c r="S40" s="100" t="s">
        <v>655</v>
      </c>
      <c r="T40" s="17" t="s">
        <v>12</v>
      </c>
      <c r="U40" s="55">
        <v>44769</v>
      </c>
      <c r="V40" s="45" t="e">
        <f>MONTH(T:T)</f>
        <v>#VALUE!</v>
      </c>
      <c r="W40" s="17">
        <f>WEEKNUM(Tabela1[[#This Row],[Data da melhoria]])</f>
        <v>31</v>
      </c>
      <c r="X40" s="17" t="s">
        <v>13</v>
      </c>
      <c r="Y40" s="57" t="str">
        <f>IF(Tabela1[[#This Row],[Severidade]]&lt;100, "Baixa",IF(Tabela1[[#This Row],[Severidade]]&gt;=500, "Alta","Média"))</f>
        <v>Baixa</v>
      </c>
      <c r="Z40" s="57" t="str">
        <f>IF(Tabela1[[#This Row],[Severidade]]&gt;499, "+500",IF(Tabela1[[#This Row],[Severidade]]&lt;=500, "-500"))</f>
        <v>-500</v>
      </c>
      <c r="AA40" s="30" t="s">
        <v>12</v>
      </c>
      <c r="AB40" s="30" t="s">
        <v>17</v>
      </c>
      <c r="AC40" s="57">
        <f>MONTH(Tabela1[[#This Row],[Data]])</f>
        <v>7</v>
      </c>
      <c r="AD40" s="46">
        <f>HOUR(Tabela1[[#This Row],[Hora]])</f>
        <v>23</v>
      </c>
      <c r="AE40" s="46" t="str">
        <f t="shared" si="3"/>
        <v>Noite</v>
      </c>
    </row>
    <row r="41" spans="1:31" ht="29" x14ac:dyDescent="0.35">
      <c r="A41" s="55">
        <v>44750</v>
      </c>
      <c r="B41" s="214">
        <f t="shared" si="2"/>
        <v>6</v>
      </c>
      <c r="C41" s="47">
        <v>0.46527777777777773</v>
      </c>
      <c r="D41" s="45">
        <v>91</v>
      </c>
      <c r="E41" s="48">
        <v>50</v>
      </c>
      <c r="F41" s="323">
        <v>15</v>
      </c>
      <c r="G41" s="17" t="s">
        <v>8</v>
      </c>
      <c r="H41" s="104" t="s">
        <v>694</v>
      </c>
      <c r="I41" s="104" t="s">
        <v>85</v>
      </c>
      <c r="J41" s="108" t="s">
        <v>93</v>
      </c>
      <c r="K41" s="24" t="s">
        <v>467</v>
      </c>
      <c r="L41" s="24">
        <v>1</v>
      </c>
      <c r="M41" s="24" t="s">
        <v>500</v>
      </c>
      <c r="N41" s="24"/>
      <c r="O41" s="24">
        <v>53</v>
      </c>
      <c r="P41" s="24" t="s">
        <v>382</v>
      </c>
      <c r="Q41" s="296" t="s">
        <v>664</v>
      </c>
      <c r="R41" s="13" t="s">
        <v>12</v>
      </c>
      <c r="S41" s="100" t="s">
        <v>866</v>
      </c>
      <c r="T41" s="17" t="s">
        <v>12</v>
      </c>
      <c r="U41" s="55">
        <v>44768</v>
      </c>
      <c r="V41" s="45" t="e">
        <f>MONTH(T:T)</f>
        <v>#VALUE!</v>
      </c>
      <c r="W41" s="17">
        <f>WEEKNUM(Tabela1[[#This Row],[Data da melhoria]])</f>
        <v>31</v>
      </c>
      <c r="X41" s="17" t="s">
        <v>13</v>
      </c>
      <c r="Y41" s="57" t="str">
        <f>IF(Tabela1[[#This Row],[Severidade]]&lt;100, "Baixa",IF(Tabela1[[#This Row],[Severidade]]&gt;=500, "Alta","Média"))</f>
        <v>Baixa</v>
      </c>
      <c r="Z41" s="57" t="str">
        <f>IF(Tabela1[[#This Row],[Severidade]]&gt;499, "+500",IF(Tabela1[[#This Row],[Severidade]]&lt;=500, "-500"))</f>
        <v>-500</v>
      </c>
      <c r="AA41" s="30" t="s">
        <v>12</v>
      </c>
      <c r="AB41" s="30" t="s">
        <v>17</v>
      </c>
      <c r="AC41" s="57">
        <f>MONTH(Tabela1[[#This Row],[Data]])</f>
        <v>7</v>
      </c>
      <c r="AD41" s="46">
        <f>HOUR(Tabela1[[#This Row],[Hora]])</f>
        <v>11</v>
      </c>
      <c r="AE41" s="46" t="str">
        <f t="shared" si="3"/>
        <v>Tarde</v>
      </c>
    </row>
    <row r="42" spans="1:31" ht="29" x14ac:dyDescent="0.35">
      <c r="A42" s="55">
        <v>44750</v>
      </c>
      <c r="B42" s="214">
        <f t="shared" si="2"/>
        <v>6</v>
      </c>
      <c r="C42" s="47">
        <v>0.80972222222222223</v>
      </c>
      <c r="D42" s="45">
        <v>57</v>
      </c>
      <c r="E42" s="48">
        <v>72</v>
      </c>
      <c r="F42" s="323">
        <v>15</v>
      </c>
      <c r="G42" s="17" t="s">
        <v>8</v>
      </c>
      <c r="H42" s="104" t="s">
        <v>650</v>
      </c>
      <c r="I42" s="104" t="s">
        <v>87</v>
      </c>
      <c r="J42" s="108" t="s">
        <v>93</v>
      </c>
      <c r="K42" s="24" t="s">
        <v>491</v>
      </c>
      <c r="L42" s="24">
        <v>1</v>
      </c>
      <c r="M42" s="24" t="s">
        <v>640</v>
      </c>
      <c r="N42" s="24"/>
      <c r="O42" s="24">
        <v>43</v>
      </c>
      <c r="P42" s="24" t="s">
        <v>446</v>
      </c>
      <c r="Q42" s="296" t="s">
        <v>664</v>
      </c>
      <c r="R42" s="13" t="s">
        <v>12</v>
      </c>
      <c r="S42" s="100" t="s">
        <v>103</v>
      </c>
      <c r="T42" s="17" t="s">
        <v>12</v>
      </c>
      <c r="U42" s="55">
        <v>44767</v>
      </c>
      <c r="V42" s="45" t="e">
        <f>MONTH(T:T)</f>
        <v>#VALUE!</v>
      </c>
      <c r="W42" s="17">
        <f>WEEKNUM(Tabela1[[#This Row],[Data da melhoria]])</f>
        <v>31</v>
      </c>
      <c r="X42" s="17" t="s">
        <v>13</v>
      </c>
      <c r="Y42" s="57" t="str">
        <f>IF(Tabela1[[#This Row],[Severidade]]&lt;100, "Baixa",IF(Tabela1[[#This Row],[Severidade]]&gt;=500, "Alta","Média"))</f>
        <v>Baixa</v>
      </c>
      <c r="Z42" s="57" t="str">
        <f>IF(Tabela1[[#This Row],[Severidade]]&gt;499, "+500",IF(Tabela1[[#This Row],[Severidade]]&lt;=500, "-500"))</f>
        <v>-500</v>
      </c>
      <c r="AA42" s="30" t="s">
        <v>12</v>
      </c>
      <c r="AB42" s="30" t="s">
        <v>15</v>
      </c>
      <c r="AC42" s="57">
        <f>MONTH(Tabela1[[#This Row],[Data]])</f>
        <v>7</v>
      </c>
      <c r="AD42" s="46">
        <f>HOUR(Tabela1[[#This Row],[Hora]])</f>
        <v>19</v>
      </c>
      <c r="AE42" s="46" t="str">
        <f t="shared" si="3"/>
        <v>Noite</v>
      </c>
    </row>
    <row r="43" spans="1:31" ht="29" x14ac:dyDescent="0.35">
      <c r="A43" s="55">
        <v>44751</v>
      </c>
      <c r="B43" s="214">
        <f t="shared" si="2"/>
        <v>7</v>
      </c>
      <c r="C43" s="47">
        <v>0.29652777777777778</v>
      </c>
      <c r="D43" s="45">
        <v>112</v>
      </c>
      <c r="E43" s="48">
        <v>63</v>
      </c>
      <c r="F43" s="323">
        <v>17</v>
      </c>
      <c r="G43" s="17" t="s">
        <v>8</v>
      </c>
      <c r="H43" s="104" t="s">
        <v>90</v>
      </c>
      <c r="I43" s="104" t="s">
        <v>91</v>
      </c>
      <c r="J43" s="108" t="s">
        <v>93</v>
      </c>
      <c r="K43" s="24" t="s">
        <v>461</v>
      </c>
      <c r="L43" s="24">
        <v>2</v>
      </c>
      <c r="M43" s="24" t="s">
        <v>513</v>
      </c>
      <c r="N43" s="24">
        <v>1</v>
      </c>
      <c r="O43" s="24">
        <v>32</v>
      </c>
      <c r="P43" s="24" t="s">
        <v>440</v>
      </c>
      <c r="Q43" s="296" t="s">
        <v>664</v>
      </c>
      <c r="R43" s="13" t="s">
        <v>12</v>
      </c>
      <c r="S43" s="100" t="s">
        <v>655</v>
      </c>
      <c r="T43" s="17" t="s">
        <v>7</v>
      </c>
      <c r="U43" s="55"/>
      <c r="V43" s="45" t="e">
        <f>MONTH(T:T)</f>
        <v>#VALUE!</v>
      </c>
      <c r="W43" s="17">
        <f>WEEKNUM(Tabela1[[#This Row],[Data da melhoria]])</f>
        <v>0</v>
      </c>
      <c r="X43" s="45" t="s">
        <v>416</v>
      </c>
      <c r="Y43" s="57" t="str">
        <f>IF(Tabela1[[#This Row],[Severidade]]&lt;100, "Baixa",IF(Tabela1[[#This Row],[Severidade]]&gt;=500, "Alta","Média"))</f>
        <v>Média</v>
      </c>
      <c r="Z43" s="57" t="str">
        <f>IF(Tabela1[[#This Row],[Severidade]]&gt;499, "+500",IF(Tabela1[[#This Row],[Severidade]]&lt;=500, "-500"))</f>
        <v>-500</v>
      </c>
      <c r="AA43" s="30" t="s">
        <v>7</v>
      </c>
      <c r="AB43" s="30"/>
      <c r="AC43" s="57">
        <f>MONTH(Tabela1[[#This Row],[Data]])</f>
        <v>7</v>
      </c>
      <c r="AD43" s="46">
        <f>HOUR(Tabela1[[#This Row],[Hora]])</f>
        <v>7</v>
      </c>
      <c r="AE43" s="46" t="str">
        <f t="shared" si="3"/>
        <v>Tarde</v>
      </c>
    </row>
    <row r="44" spans="1:31" ht="40.5" customHeight="1" x14ac:dyDescent="0.35">
      <c r="A44" s="55">
        <v>44753</v>
      </c>
      <c r="B44" s="214">
        <f t="shared" si="2"/>
        <v>2</v>
      </c>
      <c r="C44" s="47">
        <v>0.84722222222222221</v>
      </c>
      <c r="D44" s="45">
        <v>466</v>
      </c>
      <c r="E44" s="48">
        <v>73</v>
      </c>
      <c r="F44" s="323">
        <v>17</v>
      </c>
      <c r="G44" s="17" t="s">
        <v>8</v>
      </c>
      <c r="H44" s="104" t="s">
        <v>100</v>
      </c>
      <c r="I44" s="104" t="s">
        <v>101</v>
      </c>
      <c r="J44" s="108" t="s">
        <v>93</v>
      </c>
      <c r="K44" s="24" t="s">
        <v>467</v>
      </c>
      <c r="L44" s="24">
        <v>1</v>
      </c>
      <c r="M44" s="24" t="s">
        <v>524</v>
      </c>
      <c r="N44" s="24"/>
      <c r="O44" s="24">
        <v>53</v>
      </c>
      <c r="P44" s="24" t="s">
        <v>382</v>
      </c>
      <c r="Q44" s="296" t="s">
        <v>664</v>
      </c>
      <c r="R44" s="13" t="s">
        <v>12</v>
      </c>
      <c r="S44" s="100" t="s">
        <v>447</v>
      </c>
      <c r="T44" s="17" t="s">
        <v>12</v>
      </c>
      <c r="U44" s="55">
        <v>44754</v>
      </c>
      <c r="V44" s="45" t="e">
        <f>MONTH(T:T)</f>
        <v>#VALUE!</v>
      </c>
      <c r="W44" s="17">
        <f>WEEKNUM(Tabela1[[#This Row],[Data da melhoria]])</f>
        <v>29</v>
      </c>
      <c r="X44" s="17" t="s">
        <v>13</v>
      </c>
      <c r="Y44" s="57" t="str">
        <f>IF(Tabela1[[#This Row],[Severidade]]&lt;100, "Baixa",IF(Tabela1[[#This Row],[Severidade]]&gt;=500, "Alta","Média"))</f>
        <v>Média</v>
      </c>
      <c r="Z44" s="57" t="str">
        <f>IF(Tabela1[[#This Row],[Severidade]]&gt;499, "+500",IF(Tabela1[[#This Row],[Severidade]]&lt;=500, "-500"))</f>
        <v>-500</v>
      </c>
      <c r="AA44" s="30" t="s">
        <v>12</v>
      </c>
      <c r="AB44" s="30" t="s">
        <v>17</v>
      </c>
      <c r="AC44" s="57">
        <f>MONTH(Tabela1[[#This Row],[Data]])</f>
        <v>7</v>
      </c>
      <c r="AD44" s="46">
        <f>HOUR(Tabela1[[#This Row],[Hora]])</f>
        <v>20</v>
      </c>
      <c r="AE44" s="46" t="str">
        <f t="shared" si="3"/>
        <v>Noite</v>
      </c>
    </row>
    <row r="45" spans="1:31" ht="29" x14ac:dyDescent="0.35">
      <c r="A45" s="55">
        <v>44754</v>
      </c>
      <c r="B45" s="214">
        <f t="shared" si="2"/>
        <v>3</v>
      </c>
      <c r="C45" s="47">
        <v>0.43124999999999997</v>
      </c>
      <c r="D45" s="45">
        <v>235</v>
      </c>
      <c r="E45" s="48">
        <v>78</v>
      </c>
      <c r="F45" s="323">
        <v>17</v>
      </c>
      <c r="G45" s="17" t="s">
        <v>8</v>
      </c>
      <c r="H45" s="104" t="s">
        <v>106</v>
      </c>
      <c r="I45" s="104" t="s">
        <v>107</v>
      </c>
      <c r="J45" s="104" t="s">
        <v>94</v>
      </c>
      <c r="K45" s="24" t="s">
        <v>486</v>
      </c>
      <c r="L45" s="24">
        <v>3</v>
      </c>
      <c r="M45" s="24" t="s">
        <v>528</v>
      </c>
      <c r="N45" s="24"/>
      <c r="O45" s="24">
        <v>11</v>
      </c>
      <c r="P45" s="24" t="s">
        <v>430</v>
      </c>
      <c r="Q45" s="296" t="s">
        <v>664</v>
      </c>
      <c r="R45" s="13" t="s">
        <v>12</v>
      </c>
      <c r="S45" s="100" t="s">
        <v>435</v>
      </c>
      <c r="T45" s="17" t="s">
        <v>12</v>
      </c>
      <c r="U45" s="55">
        <v>44769</v>
      </c>
      <c r="V45" s="45" t="e">
        <f>MONTH(T:T)</f>
        <v>#VALUE!</v>
      </c>
      <c r="W45" s="17">
        <f>WEEKNUM(Tabela1[[#This Row],[Data da melhoria]])</f>
        <v>31</v>
      </c>
      <c r="X45" s="45" t="s">
        <v>416</v>
      </c>
      <c r="Y45" s="57" t="str">
        <f>IF(Tabela1[[#This Row],[Severidade]]&lt;100, "Baixa",IF(Tabela1[[#This Row],[Severidade]]&gt;=500, "Alta","Média"))</f>
        <v>Média</v>
      </c>
      <c r="Z45" s="57" t="str">
        <f>IF(Tabela1[[#This Row],[Severidade]]&gt;499, "+500",IF(Tabela1[[#This Row],[Severidade]]&lt;=500, "-500"))</f>
        <v>-500</v>
      </c>
      <c r="AA45" s="30" t="s">
        <v>12</v>
      </c>
      <c r="AB45" s="30" t="s">
        <v>16</v>
      </c>
      <c r="AC45" s="57">
        <f>MONTH(Tabela1[[#This Row],[Data]])</f>
        <v>7</v>
      </c>
      <c r="AD45" s="46">
        <f>HOUR(Tabela1[[#This Row],[Hora]])</f>
        <v>10</v>
      </c>
      <c r="AE45" s="46" t="str">
        <f t="shared" si="3"/>
        <v>Tarde</v>
      </c>
    </row>
    <row r="46" spans="1:31" ht="29" x14ac:dyDescent="0.35">
      <c r="A46" s="55">
        <v>44754</v>
      </c>
      <c r="B46" s="214">
        <f t="shared" si="2"/>
        <v>3</v>
      </c>
      <c r="C46" s="47">
        <v>0.62291666666666667</v>
      </c>
      <c r="D46" s="45">
        <v>91</v>
      </c>
      <c r="E46" s="48">
        <v>80</v>
      </c>
      <c r="F46" s="323">
        <v>31</v>
      </c>
      <c r="G46" s="17" t="s">
        <v>8</v>
      </c>
      <c r="H46" s="104" t="s">
        <v>108</v>
      </c>
      <c r="I46" s="104" t="s">
        <v>109</v>
      </c>
      <c r="J46" s="108" t="s">
        <v>93</v>
      </c>
      <c r="K46" s="24" t="s">
        <v>487</v>
      </c>
      <c r="L46" s="24">
        <v>2</v>
      </c>
      <c r="M46" s="24" t="s">
        <v>649</v>
      </c>
      <c r="N46" s="24">
        <v>1</v>
      </c>
      <c r="O46" s="24">
        <v>42</v>
      </c>
      <c r="P46" s="24" t="s">
        <v>225</v>
      </c>
      <c r="Q46" s="296" t="s">
        <v>664</v>
      </c>
      <c r="R46" s="103" t="s">
        <v>877</v>
      </c>
      <c r="S46" s="102" t="s">
        <v>43</v>
      </c>
      <c r="T46" s="17" t="s">
        <v>7</v>
      </c>
      <c r="U46" s="55"/>
      <c r="V46" s="45" t="e">
        <f>MONTH(T:T)</f>
        <v>#VALUE!</v>
      </c>
      <c r="W46" s="17">
        <f>WEEKNUM(Tabela1[[#This Row],[Data da melhoria]])</f>
        <v>0</v>
      </c>
      <c r="X46" s="45"/>
      <c r="Y46" s="57" t="str">
        <f>IF(Tabela1[[#This Row],[Severidade]]&lt;100, "Baixa",IF(Tabela1[[#This Row],[Severidade]]&gt;=500, "Alta","Média"))</f>
        <v>Baixa</v>
      </c>
      <c r="Z46" s="57" t="str">
        <f>IF(Tabela1[[#This Row],[Severidade]]&gt;499, "+500",IF(Tabela1[[#This Row],[Severidade]]&lt;=500, "-500"))</f>
        <v>-500</v>
      </c>
      <c r="AA46" s="30" t="s">
        <v>7</v>
      </c>
      <c r="AB46" s="30"/>
      <c r="AC46" s="57">
        <f>MONTH(Tabela1[[#This Row],[Data]])</f>
        <v>7</v>
      </c>
      <c r="AD46" s="46">
        <f>HOUR(Tabela1[[#This Row],[Hora]])</f>
        <v>14</v>
      </c>
      <c r="AE46" s="46" t="str">
        <f t="shared" si="3"/>
        <v>Tarde</v>
      </c>
    </row>
    <row r="47" spans="1:31" ht="29" x14ac:dyDescent="0.35">
      <c r="A47" s="55">
        <v>44754</v>
      </c>
      <c r="B47" s="214">
        <f t="shared" si="2"/>
        <v>3</v>
      </c>
      <c r="C47" s="47">
        <v>0.58958333333333335</v>
      </c>
      <c r="D47" s="45">
        <v>127</v>
      </c>
      <c r="E47" s="48">
        <v>80</v>
      </c>
      <c r="F47" s="323">
        <v>31</v>
      </c>
      <c r="G47" s="17" t="s">
        <v>8</v>
      </c>
      <c r="H47" s="104" t="s">
        <v>106</v>
      </c>
      <c r="I47" s="104" t="s">
        <v>107</v>
      </c>
      <c r="J47" s="104" t="s">
        <v>94</v>
      </c>
      <c r="K47" s="24" t="s">
        <v>486</v>
      </c>
      <c r="L47" s="54">
        <v>5</v>
      </c>
      <c r="M47" s="54" t="s">
        <v>399</v>
      </c>
      <c r="N47" s="54">
        <v>1</v>
      </c>
      <c r="O47" s="54">
        <v>11</v>
      </c>
      <c r="P47" s="24" t="s">
        <v>225</v>
      </c>
      <c r="Q47" s="296" t="s">
        <v>664</v>
      </c>
      <c r="R47" s="103" t="s">
        <v>877</v>
      </c>
      <c r="S47" s="102" t="s">
        <v>43</v>
      </c>
      <c r="T47" s="17" t="s">
        <v>7</v>
      </c>
      <c r="U47" s="55"/>
      <c r="V47" s="45" t="e">
        <f>MONTH(T:T)</f>
        <v>#VALUE!</v>
      </c>
      <c r="W47" s="17">
        <f>WEEKNUM(Tabela1[[#This Row],[Data da melhoria]])</f>
        <v>0</v>
      </c>
      <c r="X47" s="45"/>
      <c r="Y47" s="57" t="str">
        <f>IF(Tabela1[[#This Row],[Severidade]]&lt;100, "Baixa",IF(Tabela1[[#This Row],[Severidade]]&gt;=500, "Alta","Média"))</f>
        <v>Média</v>
      </c>
      <c r="Z47" s="57" t="str">
        <f>IF(Tabela1[[#This Row],[Severidade]]&gt;499, "+500",IF(Tabela1[[#This Row],[Severidade]]&lt;=500, "-500"))</f>
        <v>-500</v>
      </c>
      <c r="AA47" s="30" t="s">
        <v>7</v>
      </c>
      <c r="AB47" s="30"/>
      <c r="AC47" s="57">
        <f>MONTH(Tabela1[[#This Row],[Data]])</f>
        <v>7</v>
      </c>
      <c r="AD47" s="46">
        <f>HOUR(Tabela1[[#This Row],[Hora]])</f>
        <v>14</v>
      </c>
      <c r="AE47" s="46" t="str">
        <f t="shared" si="3"/>
        <v>Tarde</v>
      </c>
    </row>
    <row r="48" spans="1:31" ht="29" x14ac:dyDescent="0.35">
      <c r="A48" s="55">
        <v>44755</v>
      </c>
      <c r="B48" s="214">
        <f t="shared" si="2"/>
        <v>4</v>
      </c>
      <c r="C48" s="47">
        <v>0.81805555555555554</v>
      </c>
      <c r="D48" s="45">
        <v>105</v>
      </c>
      <c r="E48" s="48">
        <v>68</v>
      </c>
      <c r="F48" s="323">
        <v>19</v>
      </c>
      <c r="G48" s="17" t="s">
        <v>8</v>
      </c>
      <c r="H48" s="104" t="s">
        <v>113</v>
      </c>
      <c r="I48" s="104" t="s">
        <v>114</v>
      </c>
      <c r="J48" s="108" t="s">
        <v>93</v>
      </c>
      <c r="K48" s="24" t="s">
        <v>493</v>
      </c>
      <c r="L48" s="24">
        <v>2</v>
      </c>
      <c r="M48" s="24" t="s">
        <v>519</v>
      </c>
      <c r="N48" s="24">
        <v>1</v>
      </c>
      <c r="O48" s="24">
        <v>48</v>
      </c>
      <c r="P48" s="24" t="s">
        <v>373</v>
      </c>
      <c r="Q48" s="296" t="s">
        <v>664</v>
      </c>
      <c r="R48" s="13" t="s">
        <v>12</v>
      </c>
      <c r="S48" s="100" t="s">
        <v>374</v>
      </c>
      <c r="T48" s="17" t="s">
        <v>7</v>
      </c>
      <c r="U48" s="55"/>
      <c r="V48" s="45" t="e">
        <f>MONTH(T:T)</f>
        <v>#VALUE!</v>
      </c>
      <c r="W48" s="17">
        <f>WEEKNUM(Tabela1[[#This Row],[Data da melhoria]])</f>
        <v>0</v>
      </c>
      <c r="X48" s="45"/>
      <c r="Y48" s="57" t="str">
        <f>IF(Tabela1[[#This Row],[Severidade]]&lt;100, "Baixa",IF(Tabela1[[#This Row],[Severidade]]&gt;=500, "Alta","Média"))</f>
        <v>Média</v>
      </c>
      <c r="Z48" s="57" t="str">
        <f>IF(Tabela1[[#This Row],[Severidade]]&gt;499, "+500",IF(Tabela1[[#This Row],[Severidade]]&lt;=500, "-500"))</f>
        <v>-500</v>
      </c>
      <c r="AA48" s="30" t="s">
        <v>7</v>
      </c>
      <c r="AB48" s="30"/>
      <c r="AC48" s="57">
        <f>MONTH(Tabela1[[#This Row],[Data]])</f>
        <v>7</v>
      </c>
      <c r="AD48" s="46">
        <f>HOUR(Tabela1[[#This Row],[Hora]])</f>
        <v>19</v>
      </c>
      <c r="AE48" s="46" t="str">
        <f t="shared" si="3"/>
        <v>Noite</v>
      </c>
    </row>
    <row r="49" spans="1:31" ht="43.5" x14ac:dyDescent="0.35">
      <c r="A49" s="55">
        <v>44756</v>
      </c>
      <c r="B49" s="214">
        <f t="shared" si="2"/>
        <v>5</v>
      </c>
      <c r="C49" s="47">
        <v>0.32847222222222222</v>
      </c>
      <c r="D49" s="45">
        <v>144</v>
      </c>
      <c r="E49" s="48">
        <v>45</v>
      </c>
      <c r="F49" s="323">
        <v>19</v>
      </c>
      <c r="G49" s="17" t="s">
        <v>8</v>
      </c>
      <c r="H49" s="104" t="s">
        <v>115</v>
      </c>
      <c r="I49" s="104" t="s">
        <v>116</v>
      </c>
      <c r="J49" s="108" t="s">
        <v>93</v>
      </c>
      <c r="K49" s="24" t="s">
        <v>455</v>
      </c>
      <c r="L49" s="24">
        <v>2</v>
      </c>
      <c r="M49" s="123" t="s">
        <v>619</v>
      </c>
      <c r="N49" s="24" t="s">
        <v>702</v>
      </c>
      <c r="O49" s="24">
        <v>38</v>
      </c>
      <c r="P49" s="24" t="s">
        <v>225</v>
      </c>
      <c r="Q49" s="296" t="s">
        <v>664</v>
      </c>
      <c r="R49" s="103" t="s">
        <v>877</v>
      </c>
      <c r="S49" s="102" t="s">
        <v>43</v>
      </c>
      <c r="T49" s="17" t="s">
        <v>7</v>
      </c>
      <c r="U49" s="55"/>
      <c r="V49" s="45" t="e">
        <f>MONTH(T:T)</f>
        <v>#VALUE!</v>
      </c>
      <c r="W49" s="17">
        <f>WEEKNUM(Tabela1[[#This Row],[Data da melhoria]])</f>
        <v>0</v>
      </c>
      <c r="X49" s="45"/>
      <c r="Y49" s="57" t="str">
        <f>IF(Tabela1[[#This Row],[Severidade]]&lt;100, "Baixa",IF(Tabela1[[#This Row],[Severidade]]&gt;=500, "Alta","Média"))</f>
        <v>Média</v>
      </c>
      <c r="Z49" s="57" t="str">
        <f>IF(Tabela1[[#This Row],[Severidade]]&gt;499, "+500",IF(Tabela1[[#This Row],[Severidade]]&lt;=500, "-500"))</f>
        <v>-500</v>
      </c>
      <c r="AA49" s="30" t="s">
        <v>7</v>
      </c>
      <c r="AB49" s="30"/>
      <c r="AC49" s="57">
        <f>MONTH(Tabela1[[#This Row],[Data]])</f>
        <v>7</v>
      </c>
      <c r="AD49" s="46">
        <f>HOUR(Tabela1[[#This Row],[Hora]])</f>
        <v>7</v>
      </c>
      <c r="AE49" s="46" t="str">
        <f t="shared" si="3"/>
        <v>Tarde</v>
      </c>
    </row>
    <row r="50" spans="1:31" ht="29" x14ac:dyDescent="0.35">
      <c r="A50" s="55">
        <v>44760</v>
      </c>
      <c r="B50" s="214">
        <f t="shared" si="2"/>
        <v>2</v>
      </c>
      <c r="C50" s="47">
        <v>0.31527777777777777</v>
      </c>
      <c r="D50" s="45">
        <v>66</v>
      </c>
      <c r="E50" s="48">
        <v>76</v>
      </c>
      <c r="F50" s="323">
        <v>22</v>
      </c>
      <c r="G50" s="17" t="s">
        <v>8</v>
      </c>
      <c r="H50" s="104" t="s">
        <v>117</v>
      </c>
      <c r="I50" s="104" t="s">
        <v>118</v>
      </c>
      <c r="J50" s="104" t="s">
        <v>95</v>
      </c>
      <c r="K50" s="24" t="s">
        <v>452</v>
      </c>
      <c r="L50" s="24">
        <v>1</v>
      </c>
      <c r="M50" s="24" t="s">
        <v>624</v>
      </c>
      <c r="N50" s="24">
        <v>3</v>
      </c>
      <c r="O50" s="24">
        <v>59</v>
      </c>
      <c r="P50" s="24" t="s">
        <v>225</v>
      </c>
      <c r="Q50" s="296" t="s">
        <v>664</v>
      </c>
      <c r="R50" s="103" t="s">
        <v>12</v>
      </c>
      <c r="S50" s="102" t="s">
        <v>345</v>
      </c>
      <c r="T50" s="17" t="s">
        <v>7</v>
      </c>
      <c r="U50" s="55"/>
      <c r="V50" s="45" t="e">
        <f>MONTH(T:T)</f>
        <v>#VALUE!</v>
      </c>
      <c r="W50" s="17">
        <f>WEEKNUM(Tabela1[[#This Row],[Data da melhoria]])</f>
        <v>0</v>
      </c>
      <c r="X50" s="45"/>
      <c r="Y50" s="57" t="str">
        <f>IF(Tabela1[[#This Row],[Severidade]]&lt;100, "Baixa",IF(Tabela1[[#This Row],[Severidade]]&gt;=500, "Alta","Média"))</f>
        <v>Baixa</v>
      </c>
      <c r="Z50" s="57" t="str">
        <f>IF(Tabela1[[#This Row],[Severidade]]&gt;499, "+500",IF(Tabela1[[#This Row],[Severidade]]&lt;=500, "-500"))</f>
        <v>-500</v>
      </c>
      <c r="AA50" s="30" t="s">
        <v>7</v>
      </c>
      <c r="AB50" s="30"/>
      <c r="AC50" s="57">
        <f>MONTH(Tabela1[[#This Row],[Data]])</f>
        <v>7</v>
      </c>
      <c r="AD50" s="46">
        <f>HOUR(Tabela1[[#This Row],[Hora]])</f>
        <v>7</v>
      </c>
      <c r="AE50" s="46" t="str">
        <f t="shared" si="3"/>
        <v>Tarde</v>
      </c>
    </row>
    <row r="51" spans="1:31" ht="29" x14ac:dyDescent="0.35">
      <c r="A51" s="55">
        <v>44761</v>
      </c>
      <c r="B51" s="214">
        <f t="shared" si="2"/>
        <v>3</v>
      </c>
      <c r="C51" s="47">
        <v>0.56944444444444442</v>
      </c>
      <c r="D51" s="45">
        <v>60</v>
      </c>
      <c r="E51" s="48">
        <v>52</v>
      </c>
      <c r="F51" s="323">
        <v>29</v>
      </c>
      <c r="G51" s="17" t="s">
        <v>8</v>
      </c>
      <c r="H51" s="104" t="s">
        <v>119</v>
      </c>
      <c r="I51" s="104" t="s">
        <v>120</v>
      </c>
      <c r="J51" s="108" t="s">
        <v>93</v>
      </c>
      <c r="K51" s="24" t="s">
        <v>400</v>
      </c>
      <c r="L51" s="24">
        <v>1</v>
      </c>
      <c r="M51" s="24" t="s">
        <v>504</v>
      </c>
      <c r="N51" s="24">
        <v>1</v>
      </c>
      <c r="O51" s="24">
        <v>50</v>
      </c>
      <c r="P51" s="24" t="s">
        <v>375</v>
      </c>
      <c r="Q51" s="296" t="s">
        <v>664</v>
      </c>
      <c r="R51" s="13" t="s">
        <v>12</v>
      </c>
      <c r="S51" s="100" t="s">
        <v>655</v>
      </c>
      <c r="T51" s="17" t="s">
        <v>12</v>
      </c>
      <c r="U51" s="55"/>
      <c r="V51" s="45" t="e">
        <f>MONTH(T:T)</f>
        <v>#VALUE!</v>
      </c>
      <c r="W51" s="17">
        <f>WEEKNUM(Tabela1[[#This Row],[Data da melhoria]])</f>
        <v>0</v>
      </c>
      <c r="X51" s="45"/>
      <c r="Y51" s="57" t="str">
        <f>IF(Tabela1[[#This Row],[Severidade]]&lt;100, "Baixa",IF(Tabela1[[#This Row],[Severidade]]&gt;=500, "Alta","Média"))</f>
        <v>Baixa</v>
      </c>
      <c r="Z51" s="57" t="str">
        <f>IF(Tabela1[[#This Row],[Severidade]]&gt;499, "+500",IF(Tabela1[[#This Row],[Severidade]]&lt;=500, "-500"))</f>
        <v>-500</v>
      </c>
      <c r="AA51" s="30" t="s">
        <v>7</v>
      </c>
      <c r="AB51" s="30"/>
      <c r="AC51" s="57">
        <f>MONTH(Tabela1[[#This Row],[Data]])</f>
        <v>7</v>
      </c>
      <c r="AD51" s="46">
        <f>HOUR(Tabela1[[#This Row],[Hora]])</f>
        <v>13</v>
      </c>
      <c r="AE51" s="46" t="str">
        <f t="shared" si="3"/>
        <v>Tarde</v>
      </c>
    </row>
    <row r="52" spans="1:31" ht="29" x14ac:dyDescent="0.35">
      <c r="A52" s="40">
        <v>44761</v>
      </c>
      <c r="B52" s="215">
        <f t="shared" si="2"/>
        <v>3</v>
      </c>
      <c r="C52" s="34">
        <v>0.76111111111111107</v>
      </c>
      <c r="D52" s="17">
        <v>55</v>
      </c>
      <c r="E52" s="23">
        <v>69</v>
      </c>
      <c r="F52" s="321">
        <v>21</v>
      </c>
      <c r="G52" s="17" t="s">
        <v>8</v>
      </c>
      <c r="H52" s="104" t="s">
        <v>121</v>
      </c>
      <c r="I52" s="104" t="s">
        <v>122</v>
      </c>
      <c r="J52" s="104" t="s">
        <v>95</v>
      </c>
      <c r="K52" s="24" t="s">
        <v>468</v>
      </c>
      <c r="L52" s="24">
        <v>2</v>
      </c>
      <c r="M52" s="24" t="s">
        <v>520</v>
      </c>
      <c r="N52" s="24">
        <v>1</v>
      </c>
      <c r="O52" s="24">
        <v>36</v>
      </c>
      <c r="P52" s="24" t="s">
        <v>380</v>
      </c>
      <c r="Q52" s="296" t="s">
        <v>664</v>
      </c>
      <c r="R52" s="13" t="s">
        <v>12</v>
      </c>
      <c r="S52" s="100" t="s">
        <v>381</v>
      </c>
      <c r="T52" s="17" t="s">
        <v>7</v>
      </c>
      <c r="U52" s="40"/>
      <c r="V52" s="17" t="e">
        <f>MONTH(T:T)</f>
        <v>#VALUE!</v>
      </c>
      <c r="W52" s="17">
        <f>WEEKNUM(Tabela1[[#This Row],[Data da melhoria]])</f>
        <v>0</v>
      </c>
      <c r="X52" s="17"/>
      <c r="Y52" s="57" t="str">
        <f>IF(Tabela1[[#This Row],[Severidade]]&lt;100, "Baixa",IF(Tabela1[[#This Row],[Severidade]]&gt;=500, "Alta","Média"))</f>
        <v>Baixa</v>
      </c>
      <c r="Z52" s="57" t="str">
        <f>IF(Tabela1[[#This Row],[Severidade]]&gt;499, "+500",IF(Tabela1[[#This Row],[Severidade]]&lt;=500, "-500"))</f>
        <v>-500</v>
      </c>
      <c r="AA52" s="30" t="s">
        <v>7</v>
      </c>
      <c r="AB52" s="30"/>
      <c r="AC52" s="30">
        <f>MONTH(Tabela1[[#This Row],[Data]])</f>
        <v>7</v>
      </c>
      <c r="AD52" s="12">
        <f>HOUR(Tabela1[[#This Row],[Hora]])</f>
        <v>18</v>
      </c>
      <c r="AE52" s="12" t="str">
        <f t="shared" si="3"/>
        <v>Noite</v>
      </c>
    </row>
    <row r="53" spans="1:31" ht="29" x14ac:dyDescent="0.35">
      <c r="A53" s="40">
        <v>44761</v>
      </c>
      <c r="B53" s="215">
        <f t="shared" si="2"/>
        <v>3</v>
      </c>
      <c r="C53" s="34">
        <v>0.88611111111111107</v>
      </c>
      <c r="D53" s="17">
        <v>89</v>
      </c>
      <c r="E53" s="23">
        <v>74</v>
      </c>
      <c r="F53" s="321">
        <v>21</v>
      </c>
      <c r="G53" s="17" t="s">
        <v>8</v>
      </c>
      <c r="H53" s="104" t="s">
        <v>123</v>
      </c>
      <c r="I53" s="104" t="s">
        <v>124</v>
      </c>
      <c r="J53" s="104" t="s">
        <v>95</v>
      </c>
      <c r="K53" s="24" t="s">
        <v>452</v>
      </c>
      <c r="L53" s="24">
        <v>2</v>
      </c>
      <c r="M53" s="24" t="s">
        <v>525</v>
      </c>
      <c r="N53" s="24">
        <v>1</v>
      </c>
      <c r="O53" s="24">
        <v>60</v>
      </c>
      <c r="P53" s="24" t="s">
        <v>344</v>
      </c>
      <c r="Q53" s="296" t="s">
        <v>664</v>
      </c>
      <c r="R53" s="13" t="s">
        <v>12</v>
      </c>
      <c r="S53" s="100" t="s">
        <v>43</v>
      </c>
      <c r="T53" s="17" t="s">
        <v>7</v>
      </c>
      <c r="U53" s="40"/>
      <c r="V53" s="17" t="e">
        <f>MONTH(T:T)</f>
        <v>#VALUE!</v>
      </c>
      <c r="W53" s="17">
        <f>WEEKNUM(Tabela1[[#This Row],[Data da melhoria]])</f>
        <v>0</v>
      </c>
      <c r="X53" s="17"/>
      <c r="Y53" s="57" t="str">
        <f>IF(Tabela1[[#This Row],[Severidade]]&lt;100, "Baixa",IF(Tabela1[[#This Row],[Severidade]]&gt;=500, "Alta","Média"))</f>
        <v>Baixa</v>
      </c>
      <c r="Z53" s="57" t="str">
        <f>IF(Tabela1[[#This Row],[Severidade]]&gt;499, "+500",IF(Tabela1[[#This Row],[Severidade]]&lt;=500, "-500"))</f>
        <v>-500</v>
      </c>
      <c r="AA53" s="30" t="s">
        <v>7</v>
      </c>
      <c r="AB53" s="30"/>
      <c r="AC53" s="30">
        <f>MONTH(Tabela1[[#This Row],[Data]])</f>
        <v>7</v>
      </c>
      <c r="AD53" s="12">
        <f>HOUR(Tabela1[[#This Row],[Hora]])</f>
        <v>21</v>
      </c>
      <c r="AE53" s="12" t="str">
        <f t="shared" si="3"/>
        <v>Noite</v>
      </c>
    </row>
    <row r="54" spans="1:31" ht="29" x14ac:dyDescent="0.35">
      <c r="A54" s="40">
        <v>44762</v>
      </c>
      <c r="B54" s="215">
        <f t="shared" si="2"/>
        <v>4</v>
      </c>
      <c r="C54" s="34">
        <v>0.2638888888888889</v>
      </c>
      <c r="D54" s="17">
        <v>66</v>
      </c>
      <c r="E54" s="23">
        <v>58</v>
      </c>
      <c r="F54" s="321">
        <v>19</v>
      </c>
      <c r="G54" s="17" t="s">
        <v>8</v>
      </c>
      <c r="H54" s="104" t="s">
        <v>125</v>
      </c>
      <c r="I54" s="104" t="s">
        <v>126</v>
      </c>
      <c r="J54" s="104" t="s">
        <v>95</v>
      </c>
      <c r="K54" s="24" t="s">
        <v>452</v>
      </c>
      <c r="L54" s="24">
        <v>1</v>
      </c>
      <c r="M54" s="24" t="s">
        <v>509</v>
      </c>
      <c r="N54" s="24">
        <v>1</v>
      </c>
      <c r="O54" s="24">
        <v>60</v>
      </c>
      <c r="P54" s="24" t="s">
        <v>344</v>
      </c>
      <c r="Q54" s="296" t="s">
        <v>664</v>
      </c>
      <c r="R54" s="13" t="s">
        <v>12</v>
      </c>
      <c r="S54" s="100" t="s">
        <v>655</v>
      </c>
      <c r="T54" s="17" t="s">
        <v>7</v>
      </c>
      <c r="U54" s="40"/>
      <c r="V54" s="17" t="e">
        <f>MONTH(T:T)</f>
        <v>#VALUE!</v>
      </c>
      <c r="W54" s="17">
        <f>WEEKNUM(Tabela1[[#This Row],[Data da melhoria]])</f>
        <v>0</v>
      </c>
      <c r="X54" s="17"/>
      <c r="Y54" s="57" t="str">
        <f>IF(Tabela1[[#This Row],[Severidade]]&lt;100, "Baixa",IF(Tabela1[[#This Row],[Severidade]]&gt;=500, "Alta","Média"))</f>
        <v>Baixa</v>
      </c>
      <c r="Z54" s="57" t="str">
        <f>IF(Tabela1[[#This Row],[Severidade]]&gt;499, "+500",IF(Tabela1[[#This Row],[Severidade]]&lt;=500, "-500"))</f>
        <v>-500</v>
      </c>
      <c r="AA54" s="30" t="s">
        <v>7</v>
      </c>
      <c r="AB54" s="30"/>
      <c r="AC54" s="30">
        <f>MONTH(Tabela1[[#This Row],[Data]])</f>
        <v>7</v>
      </c>
      <c r="AD54" s="12">
        <f>HOUR(Tabela1[[#This Row],[Hora]])</f>
        <v>6</v>
      </c>
      <c r="AE54" s="12" t="str">
        <f t="shared" si="3"/>
        <v>Tarde</v>
      </c>
    </row>
    <row r="55" spans="1:31" ht="29" x14ac:dyDescent="0.35">
      <c r="A55" s="55">
        <v>44765</v>
      </c>
      <c r="B55" s="214">
        <f t="shared" si="2"/>
        <v>7</v>
      </c>
      <c r="C55" s="47">
        <v>0.51944444444444449</v>
      </c>
      <c r="D55" s="45">
        <v>106</v>
      </c>
      <c r="E55" s="48">
        <v>73</v>
      </c>
      <c r="F55" s="323">
        <v>30</v>
      </c>
      <c r="G55" s="17" t="s">
        <v>8</v>
      </c>
      <c r="H55" s="104" t="s">
        <v>128</v>
      </c>
      <c r="I55" s="104" t="s">
        <v>129</v>
      </c>
      <c r="J55" s="104" t="s">
        <v>95</v>
      </c>
      <c r="K55" s="24" t="s">
        <v>469</v>
      </c>
      <c r="L55" s="24">
        <v>1</v>
      </c>
      <c r="M55" s="150" t="s">
        <v>870</v>
      </c>
      <c r="N55" s="150">
        <v>1</v>
      </c>
      <c r="O55" s="24">
        <v>40</v>
      </c>
      <c r="P55" s="24" t="s">
        <v>342</v>
      </c>
      <c r="Q55" s="296" t="s">
        <v>664</v>
      </c>
      <c r="R55" s="13" t="s">
        <v>12</v>
      </c>
      <c r="S55" s="100" t="s">
        <v>343</v>
      </c>
      <c r="T55" s="17" t="s">
        <v>7</v>
      </c>
      <c r="U55" s="55"/>
      <c r="V55" s="45" t="e">
        <f>MONTH(T:T)</f>
        <v>#VALUE!</v>
      </c>
      <c r="W55" s="17">
        <f>WEEKNUM(Tabela1[[#This Row],[Data da melhoria]])</f>
        <v>0</v>
      </c>
      <c r="X55" s="45"/>
      <c r="Y55" s="57" t="str">
        <f>IF(Tabela1[[#This Row],[Severidade]]&lt;100, "Baixa",IF(Tabela1[[#This Row],[Severidade]]&gt;=500, "Alta","Média"))</f>
        <v>Média</v>
      </c>
      <c r="Z55" s="57" t="str">
        <f>IF(Tabela1[[#This Row],[Severidade]]&gt;499, "+500",IF(Tabela1[[#This Row],[Severidade]]&lt;=500, "-500"))</f>
        <v>-500</v>
      </c>
      <c r="AA55" s="30" t="s">
        <v>7</v>
      </c>
      <c r="AB55" s="30"/>
      <c r="AC55" s="57">
        <f>MONTH(Tabela1[[#This Row],[Data]])</f>
        <v>7</v>
      </c>
      <c r="AD55" s="46">
        <f>HOUR(Tabela1[[#This Row],[Hora]])</f>
        <v>12</v>
      </c>
      <c r="AE55" s="46" t="str">
        <f t="shared" si="3"/>
        <v>Tarde</v>
      </c>
    </row>
    <row r="56" spans="1:31" ht="29" x14ac:dyDescent="0.35">
      <c r="A56" s="55">
        <v>44765</v>
      </c>
      <c r="B56" s="214">
        <f t="shared" si="2"/>
        <v>7</v>
      </c>
      <c r="C56" s="47">
        <v>0.79236111111111107</v>
      </c>
      <c r="D56" s="45">
        <v>164</v>
      </c>
      <c r="E56" s="48">
        <v>80</v>
      </c>
      <c r="F56" s="323">
        <v>17</v>
      </c>
      <c r="G56" s="17" t="s">
        <v>8</v>
      </c>
      <c r="H56" s="104" t="s">
        <v>130</v>
      </c>
      <c r="I56" s="104" t="s">
        <v>131</v>
      </c>
      <c r="J56" s="104" t="s">
        <v>95</v>
      </c>
      <c r="K56" s="24" t="s">
        <v>853</v>
      </c>
      <c r="L56" s="24">
        <v>2</v>
      </c>
      <c r="M56" s="123" t="s">
        <v>632</v>
      </c>
      <c r="N56" s="24" t="s">
        <v>807</v>
      </c>
      <c r="O56" s="24">
        <v>41</v>
      </c>
      <c r="P56" s="24" t="s">
        <v>225</v>
      </c>
      <c r="Q56" s="296" t="s">
        <v>664</v>
      </c>
      <c r="R56" s="103" t="s">
        <v>7</v>
      </c>
      <c r="S56" s="102" t="s">
        <v>43</v>
      </c>
      <c r="T56" s="17" t="s">
        <v>7</v>
      </c>
      <c r="U56" s="55"/>
      <c r="V56" s="45" t="e">
        <f>MONTH(T:T)</f>
        <v>#VALUE!</v>
      </c>
      <c r="W56" s="17">
        <f>WEEKNUM(Tabela1[[#This Row],[Data da melhoria]])</f>
        <v>0</v>
      </c>
      <c r="X56" s="45"/>
      <c r="Y56" s="57" t="str">
        <f>IF(Tabela1[[#This Row],[Severidade]]&lt;100, "Baixa",IF(Tabela1[[#This Row],[Severidade]]&gt;=500, "Alta","Média"))</f>
        <v>Média</v>
      </c>
      <c r="Z56" s="57" t="str">
        <f>IF(Tabela1[[#This Row],[Severidade]]&gt;499, "+500",IF(Tabela1[[#This Row],[Severidade]]&lt;=500, "-500"))</f>
        <v>-500</v>
      </c>
      <c r="AA56" s="30" t="s">
        <v>7</v>
      </c>
      <c r="AB56" s="30"/>
      <c r="AC56" s="57">
        <f>MONTH(Tabela1[[#This Row],[Data]])</f>
        <v>7</v>
      </c>
      <c r="AD56" s="46">
        <f>HOUR(Tabela1[[#This Row],[Hora]])</f>
        <v>19</v>
      </c>
      <c r="AE56" s="46" t="str">
        <f t="shared" si="3"/>
        <v>Noite</v>
      </c>
    </row>
    <row r="57" spans="1:31" ht="29" x14ac:dyDescent="0.35">
      <c r="A57" s="55">
        <v>44768</v>
      </c>
      <c r="B57" s="214">
        <f t="shared" si="2"/>
        <v>3</v>
      </c>
      <c r="C57" s="47">
        <v>0.65486111111111112</v>
      </c>
      <c r="D57" s="45">
        <v>94</v>
      </c>
      <c r="E57" s="48">
        <v>51</v>
      </c>
      <c r="F57" s="323">
        <v>26</v>
      </c>
      <c r="G57" s="17" t="s">
        <v>8</v>
      </c>
      <c r="H57" s="104" t="s">
        <v>136</v>
      </c>
      <c r="I57" s="104" t="s">
        <v>137</v>
      </c>
      <c r="J57" s="104" t="s">
        <v>95</v>
      </c>
      <c r="K57" s="24" t="s">
        <v>452</v>
      </c>
      <c r="L57" s="24">
        <v>2</v>
      </c>
      <c r="M57" s="123" t="s">
        <v>630</v>
      </c>
      <c r="N57" s="24" t="s">
        <v>808</v>
      </c>
      <c r="O57" s="24">
        <v>60</v>
      </c>
      <c r="P57" s="24" t="s">
        <v>225</v>
      </c>
      <c r="Q57" s="296" t="s">
        <v>664</v>
      </c>
      <c r="R57" s="103" t="s">
        <v>12</v>
      </c>
      <c r="S57" s="100" t="s">
        <v>43</v>
      </c>
      <c r="T57" s="17" t="s">
        <v>7</v>
      </c>
      <c r="U57" s="55"/>
      <c r="V57" s="45" t="e">
        <f>MONTH(T:T)</f>
        <v>#VALUE!</v>
      </c>
      <c r="W57" s="17">
        <f>WEEKNUM(Tabela1[[#This Row],[Data da melhoria]])</f>
        <v>0</v>
      </c>
      <c r="X57" s="45"/>
      <c r="Y57" s="57" t="str">
        <f>IF(Tabela1[[#This Row],[Severidade]]&lt;100, "Baixa",IF(Tabela1[[#This Row],[Severidade]]&gt;=500, "Alta","Média"))</f>
        <v>Baixa</v>
      </c>
      <c r="Z57" s="57" t="str">
        <f>IF(Tabela1[[#This Row],[Severidade]]&gt;499, "+500",IF(Tabela1[[#This Row],[Severidade]]&lt;=500, "-500"))</f>
        <v>-500</v>
      </c>
      <c r="AA57" s="30" t="s">
        <v>7</v>
      </c>
      <c r="AB57" s="30"/>
      <c r="AC57" s="57">
        <f>MONTH(Tabela1[[#This Row],[Data]])</f>
        <v>7</v>
      </c>
      <c r="AD57" s="46">
        <f>HOUR(Tabela1[[#This Row],[Hora]])</f>
        <v>15</v>
      </c>
      <c r="AE57" s="46" t="str">
        <f t="shared" si="3"/>
        <v>Tarde</v>
      </c>
    </row>
    <row r="58" spans="1:31" ht="29" x14ac:dyDescent="0.35">
      <c r="A58" s="55">
        <v>44768</v>
      </c>
      <c r="B58" s="214">
        <f t="shared" si="2"/>
        <v>3</v>
      </c>
      <c r="C58" s="47">
        <v>0.83472222222222225</v>
      </c>
      <c r="D58" s="45">
        <v>59</v>
      </c>
      <c r="E58" s="48">
        <v>55</v>
      </c>
      <c r="F58" s="323">
        <v>17</v>
      </c>
      <c r="G58" s="17" t="s">
        <v>8</v>
      </c>
      <c r="H58" s="104" t="s">
        <v>138</v>
      </c>
      <c r="I58" s="104" t="s">
        <v>139</v>
      </c>
      <c r="J58" s="104" t="s">
        <v>94</v>
      </c>
      <c r="K58" s="24" t="s">
        <v>409</v>
      </c>
      <c r="L58" s="24">
        <v>2</v>
      </c>
      <c r="M58" s="24" t="s">
        <v>507</v>
      </c>
      <c r="N58" s="24">
        <v>1</v>
      </c>
      <c r="O58" s="24">
        <v>9</v>
      </c>
      <c r="P58" s="24" t="s">
        <v>333</v>
      </c>
      <c r="Q58" s="296" t="s">
        <v>664</v>
      </c>
      <c r="R58" s="13" t="s">
        <v>12</v>
      </c>
      <c r="S58" s="100" t="s">
        <v>772</v>
      </c>
      <c r="T58" s="17" t="s">
        <v>7</v>
      </c>
      <c r="U58" s="55"/>
      <c r="V58" s="45" t="e">
        <f>MONTH(T:T)</f>
        <v>#VALUE!</v>
      </c>
      <c r="W58" s="17">
        <f>WEEKNUM(Tabela1[[#This Row],[Data da melhoria]])</f>
        <v>0</v>
      </c>
      <c r="X58" s="45"/>
      <c r="Y58" s="57" t="str">
        <f>IF(Tabela1[[#This Row],[Severidade]]&lt;100, "Baixa",IF(Tabela1[[#This Row],[Severidade]]&gt;=500, "Alta","Média"))</f>
        <v>Baixa</v>
      </c>
      <c r="Z58" s="57" t="str">
        <f>IF(Tabela1[[#This Row],[Severidade]]&gt;499, "+500",IF(Tabela1[[#This Row],[Severidade]]&lt;=500, "-500"))</f>
        <v>-500</v>
      </c>
      <c r="AA58" s="30" t="s">
        <v>7</v>
      </c>
      <c r="AB58" s="30"/>
      <c r="AC58" s="57">
        <f>MONTH(Tabela1[[#This Row],[Data]])</f>
        <v>7</v>
      </c>
      <c r="AD58" s="46">
        <f>HOUR(Tabela1[[#This Row],[Hora]])</f>
        <v>20</v>
      </c>
      <c r="AE58" s="46" t="str">
        <f t="shared" si="3"/>
        <v>Noite</v>
      </c>
    </row>
    <row r="59" spans="1:31" ht="29" x14ac:dyDescent="0.35">
      <c r="A59" s="55">
        <v>44768</v>
      </c>
      <c r="B59" s="214">
        <f t="shared" si="2"/>
        <v>3</v>
      </c>
      <c r="C59" s="47">
        <v>0.64652777777777781</v>
      </c>
      <c r="D59" s="45">
        <v>54</v>
      </c>
      <c r="E59" s="48">
        <v>74</v>
      </c>
      <c r="F59" s="323">
        <v>26</v>
      </c>
      <c r="G59" s="17" t="s">
        <v>8</v>
      </c>
      <c r="H59" s="104" t="s">
        <v>134</v>
      </c>
      <c r="I59" s="104" t="s">
        <v>135</v>
      </c>
      <c r="J59" s="104" t="s">
        <v>95</v>
      </c>
      <c r="K59" s="24" t="s">
        <v>452</v>
      </c>
      <c r="L59" s="24">
        <v>1</v>
      </c>
      <c r="M59" s="24" t="s">
        <v>505</v>
      </c>
      <c r="N59" s="56">
        <v>6</v>
      </c>
      <c r="O59" s="24">
        <v>59</v>
      </c>
      <c r="P59" s="24" t="s">
        <v>344</v>
      </c>
      <c r="Q59" s="296" t="s">
        <v>664</v>
      </c>
      <c r="R59" s="103" t="s">
        <v>12</v>
      </c>
      <c r="S59" s="102" t="s">
        <v>127</v>
      </c>
      <c r="T59" s="17" t="s">
        <v>7</v>
      </c>
      <c r="U59" s="55"/>
      <c r="V59" s="45" t="e">
        <f>MONTH(T:T)</f>
        <v>#VALUE!</v>
      </c>
      <c r="W59" s="17">
        <f>WEEKNUM(Tabela1[[#This Row],[Data da melhoria]])</f>
        <v>0</v>
      </c>
      <c r="X59" s="45"/>
      <c r="Y59" s="57" t="str">
        <f>IF(Tabela1[[#This Row],[Severidade]]&lt;100, "Baixa",IF(Tabela1[[#This Row],[Severidade]]&gt;=500, "Alta","Média"))</f>
        <v>Baixa</v>
      </c>
      <c r="Z59" s="57" t="str">
        <f>IF(Tabela1[[#This Row],[Severidade]]&gt;499, "+500",IF(Tabela1[[#This Row],[Severidade]]&lt;=500, "-500"))</f>
        <v>-500</v>
      </c>
      <c r="AA59" s="30" t="s">
        <v>7</v>
      </c>
      <c r="AB59" s="30"/>
      <c r="AC59" s="57">
        <f>MONTH(Tabela1[[#This Row],[Data]])</f>
        <v>7</v>
      </c>
      <c r="AD59" s="46">
        <f>HOUR(Tabela1[[#This Row],[Hora]])</f>
        <v>15</v>
      </c>
      <c r="AE59" s="46" t="str">
        <f t="shared" si="3"/>
        <v>Tarde</v>
      </c>
    </row>
    <row r="60" spans="1:31" ht="29" x14ac:dyDescent="0.35">
      <c r="A60" s="55">
        <v>44768</v>
      </c>
      <c r="B60" s="214">
        <f t="shared" si="2"/>
        <v>3</v>
      </c>
      <c r="C60" s="47">
        <v>0.47500000000000003</v>
      </c>
      <c r="D60" s="45">
        <v>177</v>
      </c>
      <c r="E60" s="48">
        <v>74</v>
      </c>
      <c r="F60" s="323">
        <v>26</v>
      </c>
      <c r="G60" s="17" t="s">
        <v>8</v>
      </c>
      <c r="H60" s="104" t="s">
        <v>132</v>
      </c>
      <c r="I60" s="104" t="s">
        <v>133</v>
      </c>
      <c r="J60" s="104" t="s">
        <v>95</v>
      </c>
      <c r="K60" s="24" t="s">
        <v>452</v>
      </c>
      <c r="L60" s="24">
        <v>1</v>
      </c>
      <c r="M60" s="24" t="s">
        <v>505</v>
      </c>
      <c r="N60" s="56">
        <v>6</v>
      </c>
      <c r="O60" s="24">
        <v>59</v>
      </c>
      <c r="P60" s="24" t="s">
        <v>225</v>
      </c>
      <c r="Q60" s="296" t="s">
        <v>664</v>
      </c>
      <c r="R60" s="103" t="s">
        <v>7</v>
      </c>
      <c r="S60" s="102" t="s">
        <v>43</v>
      </c>
      <c r="T60" s="17" t="s">
        <v>7</v>
      </c>
      <c r="U60" s="55"/>
      <c r="V60" s="45" t="e">
        <f>MONTH(T:T)</f>
        <v>#VALUE!</v>
      </c>
      <c r="W60" s="17">
        <f>WEEKNUM(Tabela1[[#This Row],[Data da melhoria]])</f>
        <v>0</v>
      </c>
      <c r="X60" s="45"/>
      <c r="Y60" s="57" t="str">
        <f>IF(Tabela1[[#This Row],[Severidade]]&lt;100, "Baixa",IF(Tabela1[[#This Row],[Severidade]]&gt;=500, "Alta","Média"))</f>
        <v>Média</v>
      </c>
      <c r="Z60" s="57" t="str">
        <f>IF(Tabela1[[#This Row],[Severidade]]&gt;499, "+500",IF(Tabela1[[#This Row],[Severidade]]&lt;=500, "-500"))</f>
        <v>-500</v>
      </c>
      <c r="AA60" s="30" t="s">
        <v>7</v>
      </c>
      <c r="AB60" s="30"/>
      <c r="AC60" s="57">
        <f>MONTH(Tabela1[[#This Row],[Data]])</f>
        <v>7</v>
      </c>
      <c r="AD60" s="46">
        <f>HOUR(Tabela1[[#This Row],[Hora]])</f>
        <v>11</v>
      </c>
      <c r="AE60" s="46" t="str">
        <f t="shared" si="3"/>
        <v>Tarde</v>
      </c>
    </row>
    <row r="61" spans="1:31" ht="29" x14ac:dyDescent="0.35">
      <c r="A61" s="55">
        <v>44769</v>
      </c>
      <c r="B61" s="214">
        <f t="shared" si="2"/>
        <v>4</v>
      </c>
      <c r="C61" s="47">
        <v>0.77847222222222223</v>
      </c>
      <c r="D61" s="45">
        <v>120</v>
      </c>
      <c r="E61" s="48">
        <v>78</v>
      </c>
      <c r="F61" s="323">
        <v>18</v>
      </c>
      <c r="G61" s="17" t="s">
        <v>8</v>
      </c>
      <c r="H61" s="104" t="s">
        <v>142</v>
      </c>
      <c r="I61" s="104" t="s">
        <v>143</v>
      </c>
      <c r="J61" s="104" t="s">
        <v>94</v>
      </c>
      <c r="K61" s="24" t="s">
        <v>470</v>
      </c>
      <c r="L61" s="24">
        <v>4</v>
      </c>
      <c r="M61" s="24" t="s">
        <v>529</v>
      </c>
      <c r="N61" s="24">
        <v>2</v>
      </c>
      <c r="O61" s="24">
        <v>18</v>
      </c>
      <c r="P61" s="24" t="s">
        <v>334</v>
      </c>
      <c r="Q61" s="296" t="s">
        <v>664</v>
      </c>
      <c r="R61" s="13" t="s">
        <v>12</v>
      </c>
      <c r="S61" s="100" t="s">
        <v>335</v>
      </c>
      <c r="T61" s="17" t="s">
        <v>7</v>
      </c>
      <c r="U61" s="55"/>
      <c r="V61" s="45" t="e">
        <f>MONTH(T:T)</f>
        <v>#VALUE!</v>
      </c>
      <c r="W61" s="17">
        <f>WEEKNUM(Tabela1[[#This Row],[Data da melhoria]])</f>
        <v>0</v>
      </c>
      <c r="X61" s="45"/>
      <c r="Y61" s="57" t="str">
        <f>IF(Tabela1[[#This Row],[Severidade]]&lt;100, "Baixa",IF(Tabela1[[#This Row],[Severidade]]&gt;=500, "Alta","Média"))</f>
        <v>Média</v>
      </c>
      <c r="Z61" s="57" t="str">
        <f>IF(Tabela1[[#This Row],[Severidade]]&gt;499, "+500",IF(Tabela1[[#This Row],[Severidade]]&lt;=500, "-500"))</f>
        <v>-500</v>
      </c>
      <c r="AA61" s="30" t="s">
        <v>7</v>
      </c>
      <c r="AB61" s="30"/>
      <c r="AC61" s="57">
        <f>MONTH(Tabela1[[#This Row],[Data]])</f>
        <v>7</v>
      </c>
      <c r="AD61" s="46">
        <f>HOUR(Tabela1[[#This Row],[Hora]])</f>
        <v>18</v>
      </c>
      <c r="AE61" s="46" t="str">
        <f t="shared" si="3"/>
        <v>Noite</v>
      </c>
    </row>
    <row r="62" spans="1:31" ht="29" x14ac:dyDescent="0.35">
      <c r="A62" s="55">
        <v>44769</v>
      </c>
      <c r="B62" s="214">
        <f t="shared" si="2"/>
        <v>4</v>
      </c>
      <c r="C62" s="47">
        <v>0.2673611111111111</v>
      </c>
      <c r="D62" s="45">
        <v>145</v>
      </c>
      <c r="E62" s="48">
        <v>78</v>
      </c>
      <c r="F62" s="323">
        <v>18</v>
      </c>
      <c r="G62" s="17" t="s">
        <v>8</v>
      </c>
      <c r="H62" s="104" t="s">
        <v>140</v>
      </c>
      <c r="I62" s="104" t="s">
        <v>141</v>
      </c>
      <c r="J62" s="104" t="s">
        <v>95</v>
      </c>
      <c r="K62" s="24" t="s">
        <v>452</v>
      </c>
      <c r="L62" s="24">
        <v>1</v>
      </c>
      <c r="M62" s="123" t="s">
        <v>637</v>
      </c>
      <c r="N62" s="24" t="s">
        <v>807</v>
      </c>
      <c r="O62" s="24">
        <v>60</v>
      </c>
      <c r="P62" s="24" t="s">
        <v>344</v>
      </c>
      <c r="Q62" s="296" t="s">
        <v>664</v>
      </c>
      <c r="R62" s="13" t="s">
        <v>12</v>
      </c>
      <c r="S62" s="100" t="s">
        <v>345</v>
      </c>
      <c r="T62" s="17" t="s">
        <v>7</v>
      </c>
      <c r="U62" s="55"/>
      <c r="V62" s="45" t="e">
        <f>MONTH(T:T)</f>
        <v>#VALUE!</v>
      </c>
      <c r="W62" s="17">
        <f>WEEKNUM(Tabela1[[#This Row],[Data da melhoria]])</f>
        <v>0</v>
      </c>
      <c r="X62" s="45"/>
      <c r="Y62" s="57" t="str">
        <f>IF(Tabela1[[#This Row],[Severidade]]&lt;100, "Baixa",IF(Tabela1[[#This Row],[Severidade]]&gt;=500, "Alta","Média"))</f>
        <v>Média</v>
      </c>
      <c r="Z62" s="57" t="str">
        <f>IF(Tabela1[[#This Row],[Severidade]]&gt;499, "+500",IF(Tabela1[[#This Row],[Severidade]]&lt;=500, "-500"))</f>
        <v>-500</v>
      </c>
      <c r="AA62" s="30" t="s">
        <v>7</v>
      </c>
      <c r="AB62" s="30"/>
      <c r="AC62" s="57">
        <f>MONTH(Tabela1[[#This Row],[Data]])</f>
        <v>7</v>
      </c>
      <c r="AD62" s="46">
        <f>HOUR(Tabela1[[#This Row],[Hora]])</f>
        <v>6</v>
      </c>
      <c r="AE62" s="46" t="str">
        <f t="shared" si="3"/>
        <v>Tarde</v>
      </c>
    </row>
    <row r="63" spans="1:31" ht="29" x14ac:dyDescent="0.35">
      <c r="A63" s="55">
        <v>44774</v>
      </c>
      <c r="B63" s="214">
        <f t="shared" si="2"/>
        <v>2</v>
      </c>
      <c r="C63" s="47">
        <v>0.7715277777777777</v>
      </c>
      <c r="D63" s="45">
        <v>97</v>
      </c>
      <c r="E63" s="48">
        <v>31</v>
      </c>
      <c r="F63" s="323">
        <v>15</v>
      </c>
      <c r="G63" s="17" t="s">
        <v>8</v>
      </c>
      <c r="H63" s="104" t="s">
        <v>144</v>
      </c>
      <c r="I63" s="104" t="s">
        <v>145</v>
      </c>
      <c r="J63" s="104" t="s">
        <v>95</v>
      </c>
      <c r="K63" s="24" t="s">
        <v>452</v>
      </c>
      <c r="L63" s="24">
        <v>2</v>
      </c>
      <c r="M63" s="24" t="s">
        <v>636</v>
      </c>
      <c r="N63" s="24">
        <v>2</v>
      </c>
      <c r="O63" s="24">
        <v>60</v>
      </c>
      <c r="P63" s="24" t="s">
        <v>383</v>
      </c>
      <c r="Q63" s="296" t="s">
        <v>664</v>
      </c>
      <c r="R63" s="13" t="s">
        <v>12</v>
      </c>
      <c r="S63" s="100" t="s">
        <v>384</v>
      </c>
      <c r="T63" s="17" t="s">
        <v>7</v>
      </c>
      <c r="U63" s="55"/>
      <c r="V63" s="45" t="e">
        <f>MONTH(T:T)</f>
        <v>#VALUE!</v>
      </c>
      <c r="W63" s="17">
        <f>WEEKNUM(Tabela1[[#This Row],[Data da melhoria]])</f>
        <v>0</v>
      </c>
      <c r="X63" s="45"/>
      <c r="Y63" s="57" t="str">
        <f>IF(Tabela1[[#This Row],[Severidade]]&lt;100, "Baixa",IF(Tabela1[[#This Row],[Severidade]]&gt;=500, "Alta","Média"))</f>
        <v>Baixa</v>
      </c>
      <c r="Z63" s="57" t="str">
        <f>IF(Tabela1[[#This Row],[Severidade]]&gt;499, "+500",IF(Tabela1[[#This Row],[Severidade]]&lt;=500, "-500"))</f>
        <v>-500</v>
      </c>
      <c r="AA63" s="30" t="s">
        <v>7</v>
      </c>
      <c r="AB63" s="30"/>
      <c r="AC63" s="57">
        <f>MONTH(Tabela1[[#This Row],[Data]])</f>
        <v>8</v>
      </c>
      <c r="AD63" s="46">
        <f>HOUR(Tabela1[[#This Row],[Hora]])</f>
        <v>18</v>
      </c>
      <c r="AE63" s="46" t="str">
        <f t="shared" si="3"/>
        <v>Noite</v>
      </c>
    </row>
    <row r="64" spans="1:31" ht="43.5" x14ac:dyDescent="0.35">
      <c r="A64" s="55">
        <v>44775</v>
      </c>
      <c r="B64" s="214">
        <f t="shared" si="2"/>
        <v>3</v>
      </c>
      <c r="C64" s="47">
        <v>0.6875</v>
      </c>
      <c r="D64" s="45">
        <v>97</v>
      </c>
      <c r="E64" s="48">
        <v>52</v>
      </c>
      <c r="F64" s="323">
        <v>27</v>
      </c>
      <c r="G64" s="17" t="s">
        <v>8</v>
      </c>
      <c r="H64" s="104" t="s">
        <v>159</v>
      </c>
      <c r="I64" s="104" t="s">
        <v>160</v>
      </c>
      <c r="J64" s="104" t="s">
        <v>94</v>
      </c>
      <c r="K64" s="24" t="s">
        <v>471</v>
      </c>
      <c r="L64" s="24">
        <v>4</v>
      </c>
      <c r="M64" s="123" t="s">
        <v>605</v>
      </c>
      <c r="N64" s="24" t="s">
        <v>702</v>
      </c>
      <c r="O64" s="24">
        <v>2</v>
      </c>
      <c r="P64" s="24" t="s">
        <v>436</v>
      </c>
      <c r="Q64" s="296" t="s">
        <v>664</v>
      </c>
      <c r="R64" s="13" t="s">
        <v>12</v>
      </c>
      <c r="S64" s="100" t="s">
        <v>339</v>
      </c>
      <c r="T64" s="17" t="s">
        <v>7</v>
      </c>
      <c r="U64" s="55"/>
      <c r="V64" s="45" t="e">
        <f>MONTH(T:T)</f>
        <v>#VALUE!</v>
      </c>
      <c r="W64" s="17">
        <f>WEEKNUM(Tabela1[[#This Row],[Data da melhoria]])</f>
        <v>0</v>
      </c>
      <c r="X64" s="45"/>
      <c r="Y64" s="57" t="str">
        <f>IF(Tabela1[[#This Row],[Severidade]]&lt;100, "Baixa",IF(Tabela1[[#This Row],[Severidade]]&gt;=500, "Alta","Média"))</f>
        <v>Baixa</v>
      </c>
      <c r="Z64" s="57" t="str">
        <f>IF(Tabela1[[#This Row],[Severidade]]&gt;499, "+500",IF(Tabela1[[#This Row],[Severidade]]&lt;=500, "-500"))</f>
        <v>-500</v>
      </c>
      <c r="AA64" s="30" t="s">
        <v>7</v>
      </c>
      <c r="AB64" s="30"/>
      <c r="AC64" s="57">
        <f>MONTH(Tabela1[[#This Row],[Data]])</f>
        <v>8</v>
      </c>
      <c r="AD64" s="46">
        <f>HOUR(Tabela1[[#This Row],[Hora]])</f>
        <v>16</v>
      </c>
      <c r="AE64" s="46" t="str">
        <f t="shared" si="3"/>
        <v>Tarde</v>
      </c>
    </row>
    <row r="65" spans="1:31" ht="29" x14ac:dyDescent="0.35">
      <c r="A65" s="55">
        <v>44775</v>
      </c>
      <c r="B65" s="214">
        <f t="shared" si="2"/>
        <v>3</v>
      </c>
      <c r="C65" s="47">
        <v>0.7006944444444444</v>
      </c>
      <c r="D65" s="45">
        <v>122</v>
      </c>
      <c r="E65" s="48">
        <v>79</v>
      </c>
      <c r="F65" s="323">
        <v>27</v>
      </c>
      <c r="G65" s="17" t="s">
        <v>8</v>
      </c>
      <c r="H65" s="104" t="s">
        <v>161</v>
      </c>
      <c r="I65" s="104" t="s">
        <v>162</v>
      </c>
      <c r="J65" s="104" t="s">
        <v>94</v>
      </c>
      <c r="K65" s="44" t="s">
        <v>472</v>
      </c>
      <c r="L65" s="44">
        <v>4</v>
      </c>
      <c r="M65" s="44" t="s">
        <v>531</v>
      </c>
      <c r="N65" s="44">
        <v>1</v>
      </c>
      <c r="O65" s="44">
        <v>14</v>
      </c>
      <c r="P65" s="44" t="s">
        <v>340</v>
      </c>
      <c r="Q65" s="296" t="s">
        <v>664</v>
      </c>
      <c r="R65" s="13" t="s">
        <v>12</v>
      </c>
      <c r="S65" s="100" t="s">
        <v>341</v>
      </c>
      <c r="T65" s="17" t="s">
        <v>7</v>
      </c>
      <c r="U65" s="55"/>
      <c r="V65" s="45" t="e">
        <f>MONTH(T:T)</f>
        <v>#VALUE!</v>
      </c>
      <c r="W65" s="17">
        <f>WEEKNUM(Tabela1[[#This Row],[Data da melhoria]])</f>
        <v>0</v>
      </c>
      <c r="X65" s="45"/>
      <c r="Y65" s="57" t="str">
        <f>IF(Tabela1[[#This Row],[Severidade]]&lt;100, "Baixa",IF(Tabela1[[#This Row],[Severidade]]&gt;=500, "Alta","Média"))</f>
        <v>Média</v>
      </c>
      <c r="Z65" s="57" t="str">
        <f>IF(Tabela1[[#This Row],[Severidade]]&gt;499, "+500",IF(Tabela1[[#This Row],[Severidade]]&lt;=500, "-500"))</f>
        <v>-500</v>
      </c>
      <c r="AA65" s="30" t="s">
        <v>7</v>
      </c>
      <c r="AB65" s="30"/>
      <c r="AC65" s="57">
        <f>MONTH(Tabela1[[#This Row],[Data]])</f>
        <v>8</v>
      </c>
      <c r="AD65" s="46">
        <f>HOUR(Tabela1[[#This Row],[Hora]])</f>
        <v>16</v>
      </c>
      <c r="AE65" s="46" t="str">
        <f t="shared" si="3"/>
        <v>Tarde</v>
      </c>
    </row>
    <row r="66" spans="1:31" ht="29" x14ac:dyDescent="0.35">
      <c r="A66" s="55">
        <v>44776</v>
      </c>
      <c r="B66" s="214">
        <f t="shared" si="2"/>
        <v>4</v>
      </c>
      <c r="C66" s="47">
        <v>0.31875000000000003</v>
      </c>
      <c r="D66" s="45">
        <v>85</v>
      </c>
      <c r="E66" s="48">
        <v>56</v>
      </c>
      <c r="F66" s="323">
        <v>18</v>
      </c>
      <c r="G66" s="17" t="s">
        <v>8</v>
      </c>
      <c r="H66" s="104" t="s">
        <v>163</v>
      </c>
      <c r="I66" s="104" t="s">
        <v>164</v>
      </c>
      <c r="J66" s="104" t="s">
        <v>95</v>
      </c>
      <c r="K66" s="24" t="s">
        <v>452</v>
      </c>
      <c r="L66" s="24">
        <v>1</v>
      </c>
      <c r="M66" s="123" t="s">
        <v>631</v>
      </c>
      <c r="N66" s="24" t="s">
        <v>807</v>
      </c>
      <c r="O66" s="24">
        <v>60</v>
      </c>
      <c r="P66" s="24" t="s">
        <v>344</v>
      </c>
      <c r="Q66" s="296" t="s">
        <v>664</v>
      </c>
      <c r="R66" s="13" t="s">
        <v>12</v>
      </c>
      <c r="S66" s="100" t="s">
        <v>43</v>
      </c>
      <c r="T66" s="17" t="s">
        <v>7</v>
      </c>
      <c r="U66" s="55"/>
      <c r="V66" s="45" t="e">
        <f>MONTH(T:T)</f>
        <v>#VALUE!</v>
      </c>
      <c r="W66" s="17">
        <f>WEEKNUM(Tabela1[[#This Row],[Data da melhoria]])</f>
        <v>0</v>
      </c>
      <c r="X66" s="45"/>
      <c r="Y66" s="57" t="str">
        <f>IF(Tabela1[[#This Row],[Severidade]]&lt;100, "Baixa",IF(Tabela1[[#This Row],[Severidade]]&gt;=500, "Alta","Média"))</f>
        <v>Baixa</v>
      </c>
      <c r="Z66" s="57" t="str">
        <f>IF(Tabela1[[#This Row],[Severidade]]&gt;499, "+500",IF(Tabela1[[#This Row],[Severidade]]&lt;=500, "-500"))</f>
        <v>-500</v>
      </c>
      <c r="AA66" s="30" t="s">
        <v>7</v>
      </c>
      <c r="AB66" s="30"/>
      <c r="AC66" s="57">
        <f>MONTH(Tabela1[[#This Row],[Data]])</f>
        <v>8</v>
      </c>
      <c r="AD66" s="46">
        <f>HOUR(Tabela1[[#This Row],[Hora]])</f>
        <v>7</v>
      </c>
      <c r="AE66" s="46" t="str">
        <f t="shared" si="3"/>
        <v>Tarde</v>
      </c>
    </row>
    <row r="67" spans="1:31" ht="29" x14ac:dyDescent="0.35">
      <c r="A67" s="55">
        <v>44776</v>
      </c>
      <c r="B67" s="214">
        <f t="shared" si="2"/>
        <v>4</v>
      </c>
      <c r="C67" s="47">
        <v>0.84236111111111101</v>
      </c>
      <c r="D67" s="45">
        <v>61</v>
      </c>
      <c r="E67" s="48">
        <v>60</v>
      </c>
      <c r="F67" s="323">
        <v>18</v>
      </c>
      <c r="G67" s="17" t="s">
        <v>8</v>
      </c>
      <c r="H67" s="104" t="s">
        <v>167</v>
      </c>
      <c r="I67" s="104" t="s">
        <v>168</v>
      </c>
      <c r="J67" s="104" t="s">
        <v>94</v>
      </c>
      <c r="K67" s="24" t="s">
        <v>473</v>
      </c>
      <c r="L67" s="24">
        <v>4</v>
      </c>
      <c r="M67" s="24" t="s">
        <v>704</v>
      </c>
      <c r="N67" s="24">
        <v>1</v>
      </c>
      <c r="O67" s="24">
        <v>7</v>
      </c>
      <c r="P67" s="24" t="s">
        <v>336</v>
      </c>
      <c r="Q67" s="296" t="s">
        <v>664</v>
      </c>
      <c r="R67" s="13" t="s">
        <v>12</v>
      </c>
      <c r="S67" s="100" t="s">
        <v>339</v>
      </c>
      <c r="T67" s="17" t="s">
        <v>7</v>
      </c>
      <c r="U67" s="55"/>
      <c r="V67" s="45" t="e">
        <f>MONTH(T:T)</f>
        <v>#VALUE!</v>
      </c>
      <c r="W67" s="17">
        <f>WEEKNUM(Tabela1[[#This Row],[Data da melhoria]])</f>
        <v>0</v>
      </c>
      <c r="X67" s="45"/>
      <c r="Y67" s="57" t="str">
        <f>IF(Tabela1[[#This Row],[Severidade]]&lt;100, "Baixa",IF(Tabela1[[#This Row],[Severidade]]&gt;=500, "Alta","Média"))</f>
        <v>Baixa</v>
      </c>
      <c r="Z67" s="57" t="str">
        <f>IF(Tabela1[[#This Row],[Severidade]]&gt;499, "+500",IF(Tabela1[[#This Row],[Severidade]]&lt;=500, "-500"))</f>
        <v>-500</v>
      </c>
      <c r="AA67" s="30" t="s">
        <v>7</v>
      </c>
      <c r="AB67" s="30"/>
      <c r="AC67" s="57">
        <f>MONTH(Tabela1[[#This Row],[Data]])</f>
        <v>8</v>
      </c>
      <c r="AD67" s="46">
        <f>HOUR(Tabela1[[#This Row],[Hora]])</f>
        <v>20</v>
      </c>
      <c r="AE67" s="46" t="str">
        <f t="shared" si="3"/>
        <v>Noite</v>
      </c>
    </row>
    <row r="68" spans="1:31" ht="29" x14ac:dyDescent="0.35">
      <c r="A68" s="55">
        <v>44776</v>
      </c>
      <c r="B68" s="214">
        <f t="shared" si="2"/>
        <v>4</v>
      </c>
      <c r="C68" s="47">
        <v>0.88402777777777775</v>
      </c>
      <c r="D68" s="45">
        <v>52</v>
      </c>
      <c r="E68" s="48">
        <v>63</v>
      </c>
      <c r="F68" s="323">
        <v>18</v>
      </c>
      <c r="G68" s="17" t="s">
        <v>8</v>
      </c>
      <c r="H68" s="104" t="s">
        <v>169</v>
      </c>
      <c r="I68" s="104" t="s">
        <v>170</v>
      </c>
      <c r="J68" s="104" t="s">
        <v>95</v>
      </c>
      <c r="K68" s="24" t="s">
        <v>483</v>
      </c>
      <c r="L68" s="24">
        <v>1</v>
      </c>
      <c r="M68" s="24" t="s">
        <v>514</v>
      </c>
      <c r="N68" s="24"/>
      <c r="O68" s="24">
        <v>45</v>
      </c>
      <c r="P68" s="24" t="s">
        <v>385</v>
      </c>
      <c r="Q68" s="296" t="s">
        <v>664</v>
      </c>
      <c r="R68" s="13" t="s">
        <v>12</v>
      </c>
      <c r="S68" s="100" t="s">
        <v>339</v>
      </c>
      <c r="T68" s="17" t="s">
        <v>12</v>
      </c>
      <c r="U68" s="55">
        <v>44821</v>
      </c>
      <c r="V68" s="45" t="e">
        <f>MONTH(T:T)</f>
        <v>#VALUE!</v>
      </c>
      <c r="W68" s="17">
        <f>WEEKNUM(Tabela1[[#This Row],[Data da melhoria]])</f>
        <v>38</v>
      </c>
      <c r="X68" s="17" t="s">
        <v>416</v>
      </c>
      <c r="Y68" s="57" t="str">
        <f>IF(Tabela1[[#This Row],[Severidade]]&lt;100, "Baixa",IF(Tabela1[[#This Row],[Severidade]]&gt;=500, "Alta","Média"))</f>
        <v>Baixa</v>
      </c>
      <c r="Z68" s="57" t="str">
        <f>IF(Tabela1[[#This Row],[Severidade]]&gt;499, "+500",IF(Tabela1[[#This Row],[Severidade]]&lt;=500, "-500"))</f>
        <v>-500</v>
      </c>
      <c r="AA68" s="30" t="s">
        <v>12</v>
      </c>
      <c r="AB68" s="30" t="s">
        <v>15</v>
      </c>
      <c r="AC68" s="57">
        <f>MONTH(Tabela1[[#This Row],[Data]])</f>
        <v>8</v>
      </c>
      <c r="AD68" s="46">
        <f>HOUR(Tabela1[[#This Row],[Hora]])</f>
        <v>21</v>
      </c>
      <c r="AE68" s="46" t="str">
        <f t="shared" si="3"/>
        <v>Noite</v>
      </c>
    </row>
    <row r="69" spans="1:31" ht="29" x14ac:dyDescent="0.35">
      <c r="A69" s="55">
        <v>44776</v>
      </c>
      <c r="B69" s="214">
        <f t="shared" si="2"/>
        <v>4</v>
      </c>
      <c r="C69" s="47">
        <v>0.3576388888888889</v>
      </c>
      <c r="D69" s="45">
        <v>82</v>
      </c>
      <c r="E69" s="48">
        <v>65</v>
      </c>
      <c r="F69" s="323">
        <v>18</v>
      </c>
      <c r="G69" s="17" t="s">
        <v>8</v>
      </c>
      <c r="H69" s="104" t="s">
        <v>165</v>
      </c>
      <c r="I69" s="104" t="s">
        <v>166</v>
      </c>
      <c r="J69" s="104" t="s">
        <v>95</v>
      </c>
      <c r="K69" s="24" t="s">
        <v>453</v>
      </c>
      <c r="L69" s="24">
        <v>2</v>
      </c>
      <c r="M69" s="24" t="s">
        <v>515</v>
      </c>
      <c r="N69" s="24">
        <v>1</v>
      </c>
      <c r="O69" s="24">
        <v>31</v>
      </c>
      <c r="P69" s="24" t="s">
        <v>439</v>
      </c>
      <c r="Q69" s="296" t="s">
        <v>664</v>
      </c>
      <c r="R69" s="103" t="s">
        <v>12</v>
      </c>
      <c r="S69" s="100" t="s">
        <v>339</v>
      </c>
      <c r="T69" s="17" t="s">
        <v>7</v>
      </c>
      <c r="U69" s="55"/>
      <c r="V69" s="45" t="e">
        <f>MONTH(T:T)</f>
        <v>#VALUE!</v>
      </c>
      <c r="W69" s="17">
        <f>WEEKNUM(Tabela1[[#This Row],[Data da melhoria]])</f>
        <v>0</v>
      </c>
      <c r="X69" s="45" t="s">
        <v>416</v>
      </c>
      <c r="Y69" s="57" t="str">
        <f>IF(Tabela1[[#This Row],[Severidade]]&lt;100, "Baixa",IF(Tabela1[[#This Row],[Severidade]]&gt;=500, "Alta","Média"))</f>
        <v>Baixa</v>
      </c>
      <c r="Z69" s="57" t="str">
        <f>IF(Tabela1[[#This Row],[Severidade]]&gt;499, "+500",IF(Tabela1[[#This Row],[Severidade]]&lt;=500, "-500"))</f>
        <v>-500</v>
      </c>
      <c r="AA69" s="30" t="s">
        <v>7</v>
      </c>
      <c r="AB69" s="30"/>
      <c r="AC69" s="57">
        <f>MONTH(Tabela1[[#This Row],[Data]])</f>
        <v>8</v>
      </c>
      <c r="AD69" s="46">
        <f>HOUR(Tabela1[[#This Row],[Hora]])</f>
        <v>8</v>
      </c>
      <c r="AE69" s="46" t="str">
        <f t="shared" si="3"/>
        <v>Tarde</v>
      </c>
    </row>
    <row r="70" spans="1:31" ht="29" x14ac:dyDescent="0.35">
      <c r="A70" s="55">
        <v>44778</v>
      </c>
      <c r="B70" s="214">
        <f t="shared" ref="B70:B101" si="4">WEEKDAY(A70)</f>
        <v>6</v>
      </c>
      <c r="C70" s="47">
        <v>0.49652777777777773</v>
      </c>
      <c r="D70" s="45">
        <v>60</v>
      </c>
      <c r="E70" s="48">
        <v>49</v>
      </c>
      <c r="F70" s="323">
        <v>36</v>
      </c>
      <c r="G70" s="17" t="s">
        <v>8</v>
      </c>
      <c r="H70" s="104" t="s">
        <v>173</v>
      </c>
      <c r="I70" s="104" t="s">
        <v>174</v>
      </c>
      <c r="J70" s="104" t="s">
        <v>95</v>
      </c>
      <c r="K70" s="24" t="s">
        <v>452</v>
      </c>
      <c r="L70" s="24">
        <v>2</v>
      </c>
      <c r="M70" s="123" t="s">
        <v>623</v>
      </c>
      <c r="N70" s="24" t="s">
        <v>807</v>
      </c>
      <c r="O70" s="24">
        <v>57</v>
      </c>
      <c r="P70" s="24" t="s">
        <v>225</v>
      </c>
      <c r="Q70" s="296" t="s">
        <v>664</v>
      </c>
      <c r="R70" s="103" t="s">
        <v>7</v>
      </c>
      <c r="S70" s="102" t="s">
        <v>43</v>
      </c>
      <c r="T70" s="17" t="s">
        <v>7</v>
      </c>
      <c r="U70" s="55"/>
      <c r="V70" s="45" t="e">
        <f>MONTH(T:T)</f>
        <v>#VALUE!</v>
      </c>
      <c r="W70" s="17">
        <f>WEEKNUM(Tabela1[[#This Row],[Data da melhoria]])</f>
        <v>0</v>
      </c>
      <c r="X70" s="45"/>
      <c r="Y70" s="57" t="str">
        <f>IF(Tabela1[[#This Row],[Severidade]]&lt;100, "Baixa",IF(Tabela1[[#This Row],[Severidade]]&gt;=500, "Alta","Média"))</f>
        <v>Baixa</v>
      </c>
      <c r="Z70" s="57" t="str">
        <f>IF(Tabela1[[#This Row],[Severidade]]&gt;499, "+500",IF(Tabela1[[#This Row],[Severidade]]&lt;=500, "-500"))</f>
        <v>-500</v>
      </c>
      <c r="AA70" s="30" t="s">
        <v>7</v>
      </c>
      <c r="AB70" s="30"/>
      <c r="AC70" s="57">
        <f>MONTH(Tabela1[[#This Row],[Data]])</f>
        <v>8</v>
      </c>
      <c r="AD70" s="46">
        <f>HOUR(Tabela1[[#This Row],[Hora]])</f>
        <v>11</v>
      </c>
      <c r="AE70" s="46" t="str">
        <f t="shared" ref="AE70:AE101" si="5">IF(AND(AD70&gt;=6,AD70&lt;18),"Tarde","Noite")</f>
        <v>Tarde</v>
      </c>
    </row>
    <row r="71" spans="1:31" ht="29" x14ac:dyDescent="0.35">
      <c r="A71" s="55">
        <v>44778</v>
      </c>
      <c r="B71" s="214">
        <f t="shared" si="4"/>
        <v>6</v>
      </c>
      <c r="C71" s="47">
        <v>0.72152777777777777</v>
      </c>
      <c r="D71" s="45">
        <v>51</v>
      </c>
      <c r="E71" s="48">
        <v>50</v>
      </c>
      <c r="F71" s="323">
        <v>20</v>
      </c>
      <c r="G71" s="17" t="s">
        <v>8</v>
      </c>
      <c r="H71" s="104" t="s">
        <v>177</v>
      </c>
      <c r="I71" s="104" t="s">
        <v>178</v>
      </c>
      <c r="J71" s="104" t="s">
        <v>95</v>
      </c>
      <c r="K71" s="24" t="s">
        <v>468</v>
      </c>
      <c r="L71" s="24">
        <v>1</v>
      </c>
      <c r="M71" s="24" t="s">
        <v>503</v>
      </c>
      <c r="N71" s="24">
        <v>1</v>
      </c>
      <c r="O71" s="24">
        <v>36</v>
      </c>
      <c r="P71" s="24" t="s">
        <v>386</v>
      </c>
      <c r="Q71" s="296" t="s">
        <v>664</v>
      </c>
      <c r="R71" s="103" t="s">
        <v>7</v>
      </c>
      <c r="S71" s="100" t="s">
        <v>736</v>
      </c>
      <c r="T71" s="17" t="s">
        <v>7</v>
      </c>
      <c r="U71" s="55"/>
      <c r="V71" s="45" t="e">
        <f>MONTH(T:T)</f>
        <v>#VALUE!</v>
      </c>
      <c r="W71" s="17">
        <f>WEEKNUM(Tabela1[[#This Row],[Data da melhoria]])</f>
        <v>0</v>
      </c>
      <c r="X71" s="45"/>
      <c r="Y71" s="57" t="str">
        <f>IF(Tabela1[[#This Row],[Severidade]]&lt;100, "Baixa",IF(Tabela1[[#This Row],[Severidade]]&gt;=500, "Alta","Média"))</f>
        <v>Baixa</v>
      </c>
      <c r="Z71" s="57" t="str">
        <f>IF(Tabela1[[#This Row],[Severidade]]&gt;499, "+500",IF(Tabela1[[#This Row],[Severidade]]&lt;=500, "-500"))</f>
        <v>-500</v>
      </c>
      <c r="AA71" s="30" t="s">
        <v>7</v>
      </c>
      <c r="AB71" s="30"/>
      <c r="AC71" s="57">
        <f>MONTH(Tabela1[[#This Row],[Data]])</f>
        <v>8</v>
      </c>
      <c r="AD71" s="46">
        <f>HOUR(Tabela1[[#This Row],[Hora]])</f>
        <v>17</v>
      </c>
      <c r="AE71" s="46" t="str">
        <f t="shared" si="5"/>
        <v>Tarde</v>
      </c>
    </row>
    <row r="72" spans="1:31" ht="29" x14ac:dyDescent="0.35">
      <c r="A72" s="55">
        <v>44778</v>
      </c>
      <c r="B72" s="214">
        <f t="shared" si="4"/>
        <v>6</v>
      </c>
      <c r="C72" s="47">
        <v>0.45208333333333334</v>
      </c>
      <c r="D72" s="45">
        <v>85</v>
      </c>
      <c r="E72" s="48">
        <v>76</v>
      </c>
      <c r="F72" s="323">
        <v>20</v>
      </c>
      <c r="G72" s="17" t="s">
        <v>8</v>
      </c>
      <c r="H72" s="104" t="s">
        <v>171</v>
      </c>
      <c r="I72" s="104" t="s">
        <v>172</v>
      </c>
      <c r="J72" s="104" t="s">
        <v>95</v>
      </c>
      <c r="K72" s="24" t="s">
        <v>480</v>
      </c>
      <c r="L72" s="24">
        <v>1</v>
      </c>
      <c r="M72" s="24" t="s">
        <v>869</v>
      </c>
      <c r="N72" s="24">
        <v>1</v>
      </c>
      <c r="O72" s="24">
        <v>33</v>
      </c>
      <c r="P72" s="24" t="s">
        <v>371</v>
      </c>
      <c r="Q72" s="296" t="s">
        <v>664</v>
      </c>
      <c r="R72" s="13" t="s">
        <v>12</v>
      </c>
      <c r="S72" s="100" t="s">
        <v>372</v>
      </c>
      <c r="T72" s="17" t="s">
        <v>7</v>
      </c>
      <c r="U72" s="55"/>
      <c r="V72" s="45" t="e">
        <f>MONTH(T:T)</f>
        <v>#VALUE!</v>
      </c>
      <c r="W72" s="17">
        <f>WEEKNUM(Tabela1[[#This Row],[Data da melhoria]])</f>
        <v>0</v>
      </c>
      <c r="X72" s="45"/>
      <c r="Y72" s="57" t="str">
        <f>IF(Tabela1[[#This Row],[Severidade]]&lt;100, "Baixa",IF(Tabela1[[#This Row],[Severidade]]&gt;=500, "Alta","Média"))</f>
        <v>Baixa</v>
      </c>
      <c r="Z72" s="57" t="str">
        <f>IF(Tabela1[[#This Row],[Severidade]]&gt;499, "+500",IF(Tabela1[[#This Row],[Severidade]]&lt;=500, "-500"))</f>
        <v>-500</v>
      </c>
      <c r="AA72" s="30" t="s">
        <v>7</v>
      </c>
      <c r="AB72" s="30"/>
      <c r="AC72" s="57">
        <f>MONTH(Tabela1[[#This Row],[Data]])</f>
        <v>8</v>
      </c>
      <c r="AD72" s="46">
        <f>HOUR(Tabela1[[#This Row],[Hora]])</f>
        <v>10</v>
      </c>
      <c r="AE72" s="46" t="str">
        <f t="shared" si="5"/>
        <v>Tarde</v>
      </c>
    </row>
    <row r="73" spans="1:31" ht="29" x14ac:dyDescent="0.35">
      <c r="A73" s="55">
        <v>44778</v>
      </c>
      <c r="B73" s="214">
        <f t="shared" si="4"/>
        <v>6</v>
      </c>
      <c r="C73" s="47">
        <v>0.5395833333333333</v>
      </c>
      <c r="D73" s="45">
        <v>53</v>
      </c>
      <c r="E73" s="48">
        <v>78</v>
      </c>
      <c r="F73" s="323">
        <v>36</v>
      </c>
      <c r="G73" s="17" t="s">
        <v>8</v>
      </c>
      <c r="H73" s="104" t="s">
        <v>175</v>
      </c>
      <c r="I73" s="104" t="s">
        <v>176</v>
      </c>
      <c r="J73" s="104" t="s">
        <v>94</v>
      </c>
      <c r="K73" s="24" t="s">
        <v>868</v>
      </c>
      <c r="L73" s="24">
        <v>4</v>
      </c>
      <c r="M73" s="24" t="s">
        <v>530</v>
      </c>
      <c r="N73" s="24">
        <v>1</v>
      </c>
      <c r="O73" s="24">
        <v>19</v>
      </c>
      <c r="P73" s="24" t="s">
        <v>337</v>
      </c>
      <c r="Q73" s="296" t="s">
        <v>664</v>
      </c>
      <c r="R73" s="13" t="s">
        <v>12</v>
      </c>
      <c r="S73" s="100" t="s">
        <v>339</v>
      </c>
      <c r="T73" s="17" t="s">
        <v>7</v>
      </c>
      <c r="U73" s="55"/>
      <c r="V73" s="45" t="e">
        <f>MONTH(T:T)</f>
        <v>#VALUE!</v>
      </c>
      <c r="W73" s="17">
        <f>WEEKNUM(Tabela1[[#This Row],[Data da melhoria]])</f>
        <v>0</v>
      </c>
      <c r="X73" s="45"/>
      <c r="Y73" s="57" t="str">
        <f>IF(Tabela1[[#This Row],[Severidade]]&lt;100, "Baixa",IF(Tabela1[[#This Row],[Severidade]]&gt;=500, "Alta","Média"))</f>
        <v>Baixa</v>
      </c>
      <c r="Z73" s="57" t="str">
        <f>IF(Tabela1[[#This Row],[Severidade]]&gt;499, "+500",IF(Tabela1[[#This Row],[Severidade]]&lt;=500, "-500"))</f>
        <v>-500</v>
      </c>
      <c r="AA73" s="30" t="s">
        <v>7</v>
      </c>
      <c r="AB73" s="30"/>
      <c r="AC73" s="57">
        <f>MONTH(Tabela1[[#This Row],[Data]])</f>
        <v>8</v>
      </c>
      <c r="AD73" s="46">
        <f>HOUR(Tabela1[[#This Row],[Hora]])</f>
        <v>12</v>
      </c>
      <c r="AE73" s="46" t="str">
        <f t="shared" si="5"/>
        <v>Tarde</v>
      </c>
    </row>
    <row r="74" spans="1:31" ht="43.5" x14ac:dyDescent="0.35">
      <c r="A74" s="55">
        <v>44779</v>
      </c>
      <c r="B74" s="214">
        <f t="shared" si="4"/>
        <v>7</v>
      </c>
      <c r="C74" s="47">
        <v>0.33055555555555555</v>
      </c>
      <c r="D74" s="45">
        <v>54</v>
      </c>
      <c r="E74" s="48">
        <v>48</v>
      </c>
      <c r="F74" s="323">
        <v>19</v>
      </c>
      <c r="G74" s="17" t="s">
        <v>8</v>
      </c>
      <c r="H74" s="104" t="s">
        <v>179</v>
      </c>
      <c r="I74" s="104" t="s">
        <v>180</v>
      </c>
      <c r="J74" s="104" t="s">
        <v>96</v>
      </c>
      <c r="K74" s="24" t="s">
        <v>656</v>
      </c>
      <c r="L74" s="24" t="s">
        <v>329</v>
      </c>
      <c r="M74" s="24" t="s">
        <v>499</v>
      </c>
      <c r="N74" s="24"/>
      <c r="O74" s="24">
        <v>26</v>
      </c>
      <c r="P74" s="24" t="s">
        <v>225</v>
      </c>
      <c r="Q74" s="296" t="s">
        <v>664</v>
      </c>
      <c r="R74" s="13" t="s">
        <v>12</v>
      </c>
      <c r="S74" s="100" t="s">
        <v>339</v>
      </c>
      <c r="T74" s="17" t="s">
        <v>12</v>
      </c>
      <c r="U74" s="55">
        <v>44829</v>
      </c>
      <c r="V74" s="45" t="e">
        <f>MONTH(T:T)</f>
        <v>#VALUE!</v>
      </c>
      <c r="W74" s="17">
        <f>WEEKNUM(Tabela1[[#This Row],[Data da melhoria]])</f>
        <v>40</v>
      </c>
      <c r="X74" s="45" t="s">
        <v>416</v>
      </c>
      <c r="Y74" s="57" t="str">
        <f>IF(Tabela1[[#This Row],[Severidade]]&lt;100, "Baixa",IF(Tabela1[[#This Row],[Severidade]]&gt;=500, "Alta","Média"))</f>
        <v>Baixa</v>
      </c>
      <c r="Z74" s="57" t="str">
        <f>IF(Tabela1[[#This Row],[Severidade]]&gt;499, "+500",IF(Tabela1[[#This Row],[Severidade]]&lt;=500, "-500"))</f>
        <v>-500</v>
      </c>
      <c r="AA74" s="30" t="s">
        <v>12</v>
      </c>
      <c r="AB74" s="30" t="s">
        <v>15</v>
      </c>
      <c r="AC74" s="57">
        <f>MONTH(Tabela1[[#This Row],[Data]])</f>
        <v>8</v>
      </c>
      <c r="AD74" s="46">
        <f>HOUR(Tabela1[[#This Row],[Hora]])</f>
        <v>7</v>
      </c>
      <c r="AE74" s="46" t="str">
        <f t="shared" si="5"/>
        <v>Tarde</v>
      </c>
    </row>
    <row r="75" spans="1:31" ht="29" x14ac:dyDescent="0.35">
      <c r="A75" s="55">
        <v>44779</v>
      </c>
      <c r="B75" s="214">
        <f t="shared" si="4"/>
        <v>7</v>
      </c>
      <c r="C75" s="47">
        <v>0.51458333333333328</v>
      </c>
      <c r="D75" s="45">
        <v>171</v>
      </c>
      <c r="E75" s="48">
        <v>60</v>
      </c>
      <c r="F75" s="323">
        <v>22</v>
      </c>
      <c r="G75" s="17" t="s">
        <v>8</v>
      </c>
      <c r="H75" s="104" t="s">
        <v>183</v>
      </c>
      <c r="I75" s="104" t="s">
        <v>184</v>
      </c>
      <c r="J75" s="108" t="s">
        <v>93</v>
      </c>
      <c r="K75" s="24" t="s">
        <v>490</v>
      </c>
      <c r="L75" s="24">
        <v>2</v>
      </c>
      <c r="M75" s="24" t="s">
        <v>511</v>
      </c>
      <c r="N75" s="24">
        <v>2</v>
      </c>
      <c r="O75" s="24">
        <v>34</v>
      </c>
      <c r="P75" s="24" t="s">
        <v>376</v>
      </c>
      <c r="Q75" s="296" t="s">
        <v>664</v>
      </c>
      <c r="R75" s="13" t="s">
        <v>12</v>
      </c>
      <c r="S75" s="100" t="s">
        <v>339</v>
      </c>
      <c r="T75" s="17" t="s">
        <v>7</v>
      </c>
      <c r="U75" s="55"/>
      <c r="V75" s="45" t="e">
        <f>MONTH(T:T)</f>
        <v>#VALUE!</v>
      </c>
      <c r="W75" s="17">
        <f>WEEKNUM(Tabela1[[#This Row],[Data da melhoria]])</f>
        <v>0</v>
      </c>
      <c r="X75" s="45" t="s">
        <v>416</v>
      </c>
      <c r="Y75" s="57" t="str">
        <f>IF(Tabela1[[#This Row],[Severidade]]&lt;100, "Baixa",IF(Tabela1[[#This Row],[Severidade]]&gt;=500, "Alta","Média"))</f>
        <v>Média</v>
      </c>
      <c r="Z75" s="57" t="str">
        <f>IF(Tabela1[[#This Row],[Severidade]]&gt;499, "+500",IF(Tabela1[[#This Row],[Severidade]]&lt;=500, "-500"))</f>
        <v>-500</v>
      </c>
      <c r="AA75" s="30" t="s">
        <v>7</v>
      </c>
      <c r="AB75" s="30"/>
      <c r="AC75" s="57">
        <f>MONTH(Tabela1[[#This Row],[Data]])</f>
        <v>8</v>
      </c>
      <c r="AD75" s="46">
        <f>HOUR(Tabela1[[#This Row],[Hora]])</f>
        <v>12</v>
      </c>
      <c r="AE75" s="46" t="str">
        <f t="shared" si="5"/>
        <v>Tarde</v>
      </c>
    </row>
    <row r="76" spans="1:31" ht="43.5" x14ac:dyDescent="0.35">
      <c r="A76" s="55">
        <v>44779</v>
      </c>
      <c r="B76" s="214">
        <f t="shared" si="4"/>
        <v>7</v>
      </c>
      <c r="C76" s="47">
        <v>0.5131944444444444</v>
      </c>
      <c r="D76" s="45">
        <v>460</v>
      </c>
      <c r="E76" s="48">
        <v>65</v>
      </c>
      <c r="F76" s="323">
        <v>22</v>
      </c>
      <c r="G76" s="17" t="s">
        <v>8</v>
      </c>
      <c r="H76" s="104" t="s">
        <v>181</v>
      </c>
      <c r="I76" s="104" t="s">
        <v>182</v>
      </c>
      <c r="J76" s="104" t="s">
        <v>96</v>
      </c>
      <c r="K76" s="24" t="s">
        <v>656</v>
      </c>
      <c r="L76" s="24" t="s">
        <v>329</v>
      </c>
      <c r="M76" s="24" t="s">
        <v>499</v>
      </c>
      <c r="N76" s="24"/>
      <c r="O76" s="24">
        <v>26</v>
      </c>
      <c r="P76" s="24" t="s">
        <v>225</v>
      </c>
      <c r="Q76" s="296" t="s">
        <v>664</v>
      </c>
      <c r="R76" s="13" t="s">
        <v>12</v>
      </c>
      <c r="S76" s="100" t="s">
        <v>339</v>
      </c>
      <c r="T76" s="17" t="s">
        <v>12</v>
      </c>
      <c r="U76" s="55">
        <v>44829</v>
      </c>
      <c r="V76" s="45" t="e">
        <f>MONTH(T:T)</f>
        <v>#VALUE!</v>
      </c>
      <c r="W76" s="17">
        <f>WEEKNUM(Tabela1[[#This Row],[Data da melhoria]])</f>
        <v>40</v>
      </c>
      <c r="X76" s="24" t="s">
        <v>416</v>
      </c>
      <c r="Y76" s="57" t="str">
        <f>IF(Tabela1[[#This Row],[Severidade]]&lt;100, "Baixa",IF(Tabela1[[#This Row],[Severidade]]&gt;=500, "Alta","Média"))</f>
        <v>Média</v>
      </c>
      <c r="Z76" s="57" t="str">
        <f>IF(Tabela1[[#This Row],[Severidade]]&gt;499, "+500",IF(Tabela1[[#This Row],[Severidade]]&lt;=500, "-500"))</f>
        <v>-500</v>
      </c>
      <c r="AA76" s="30" t="s">
        <v>12</v>
      </c>
      <c r="AB76" s="30" t="s">
        <v>15</v>
      </c>
      <c r="AC76" s="57">
        <f>MONTH(Tabela1[[#This Row],[Data]])</f>
        <v>8</v>
      </c>
      <c r="AD76" s="46">
        <f>HOUR(Tabela1[[#This Row],[Hora]])</f>
        <v>12</v>
      </c>
      <c r="AE76" s="46" t="str">
        <f t="shared" si="5"/>
        <v>Tarde</v>
      </c>
    </row>
    <row r="77" spans="1:31" ht="29" x14ac:dyDescent="0.35">
      <c r="A77" s="55">
        <v>44779</v>
      </c>
      <c r="B77" s="214">
        <f t="shared" si="4"/>
        <v>7</v>
      </c>
      <c r="C77" s="47">
        <v>0.62569444444444444</v>
      </c>
      <c r="D77" s="45">
        <v>273</v>
      </c>
      <c r="E77" s="48">
        <v>71</v>
      </c>
      <c r="F77" s="323">
        <v>22</v>
      </c>
      <c r="G77" s="17" t="s">
        <v>8</v>
      </c>
      <c r="H77" s="104" t="s">
        <v>185</v>
      </c>
      <c r="I77" s="104" t="s">
        <v>186</v>
      </c>
      <c r="J77" s="108" t="s">
        <v>93</v>
      </c>
      <c r="K77" s="24" t="s">
        <v>490</v>
      </c>
      <c r="L77" s="24">
        <v>1</v>
      </c>
      <c r="M77" s="24" t="s">
        <v>523</v>
      </c>
      <c r="N77" s="24">
        <v>1</v>
      </c>
      <c r="O77" s="24">
        <v>33</v>
      </c>
      <c r="P77" s="24" t="s">
        <v>378</v>
      </c>
      <c r="Q77" s="296" t="s">
        <v>664</v>
      </c>
      <c r="R77" s="13" t="s">
        <v>12</v>
      </c>
      <c r="S77" s="100" t="s">
        <v>339</v>
      </c>
      <c r="T77" s="17" t="s">
        <v>7</v>
      </c>
      <c r="U77" s="55"/>
      <c r="V77" s="45" t="e">
        <f>MONTH(T:T)</f>
        <v>#VALUE!</v>
      </c>
      <c r="W77" s="17">
        <f>WEEKNUM(Tabela1[[#This Row],[Data da melhoria]])</f>
        <v>0</v>
      </c>
      <c r="X77" s="45"/>
      <c r="Y77" s="57" t="str">
        <f>IF(Tabela1[[#This Row],[Severidade]]&lt;100, "Baixa",IF(Tabela1[[#This Row],[Severidade]]&gt;=500, "Alta","Média"))</f>
        <v>Média</v>
      </c>
      <c r="Z77" s="57" t="str">
        <f>IF(Tabela1[[#This Row],[Severidade]]&gt;499, "+500",IF(Tabela1[[#This Row],[Severidade]]&lt;=500, "-500"))</f>
        <v>-500</v>
      </c>
      <c r="AA77" s="30" t="s">
        <v>7</v>
      </c>
      <c r="AB77" s="30"/>
      <c r="AC77" s="57">
        <f>MONTH(Tabela1[[#This Row],[Data]])</f>
        <v>8</v>
      </c>
      <c r="AD77" s="46">
        <f>HOUR(Tabela1[[#This Row],[Hora]])</f>
        <v>15</v>
      </c>
      <c r="AE77" s="46" t="str">
        <f t="shared" si="5"/>
        <v>Tarde</v>
      </c>
    </row>
    <row r="78" spans="1:31" ht="29" x14ac:dyDescent="0.35">
      <c r="A78" s="55">
        <v>44779</v>
      </c>
      <c r="B78" s="214">
        <f t="shared" si="4"/>
        <v>7</v>
      </c>
      <c r="C78" s="47">
        <v>0.69791666666666663</v>
      </c>
      <c r="D78" s="45">
        <v>60</v>
      </c>
      <c r="E78" s="48">
        <v>71</v>
      </c>
      <c r="F78" s="323">
        <v>22</v>
      </c>
      <c r="G78" s="17" t="s">
        <v>8</v>
      </c>
      <c r="H78" s="104" t="s">
        <v>187</v>
      </c>
      <c r="I78" s="104" t="s">
        <v>188</v>
      </c>
      <c r="J78" s="108" t="s">
        <v>93</v>
      </c>
      <c r="K78" s="24" t="s">
        <v>454</v>
      </c>
      <c r="L78" s="24">
        <v>2</v>
      </c>
      <c r="M78" s="24" t="s">
        <v>511</v>
      </c>
      <c r="N78" s="24">
        <v>2</v>
      </c>
      <c r="O78" s="24">
        <v>34</v>
      </c>
      <c r="P78" s="24" t="s">
        <v>376</v>
      </c>
      <c r="Q78" s="296" t="s">
        <v>664</v>
      </c>
      <c r="R78" s="13" t="s">
        <v>12</v>
      </c>
      <c r="S78" s="100" t="s">
        <v>339</v>
      </c>
      <c r="T78" s="17" t="s">
        <v>7</v>
      </c>
      <c r="U78" s="55"/>
      <c r="V78" s="45" t="e">
        <f>MONTH(T:T)</f>
        <v>#VALUE!</v>
      </c>
      <c r="W78" s="17">
        <f>WEEKNUM(Tabela1[[#This Row],[Data da melhoria]])</f>
        <v>0</v>
      </c>
      <c r="X78" s="45"/>
      <c r="Y78" s="57" t="str">
        <f>IF(Tabela1[[#This Row],[Severidade]]&lt;100, "Baixa",IF(Tabela1[[#This Row],[Severidade]]&gt;=500, "Alta","Média"))</f>
        <v>Baixa</v>
      </c>
      <c r="Z78" s="57" t="str">
        <f>IF(Tabela1[[#This Row],[Severidade]]&gt;499, "+500",IF(Tabela1[[#This Row],[Severidade]]&lt;=500, "-500"))</f>
        <v>-500</v>
      </c>
      <c r="AA78" s="30" t="s">
        <v>7</v>
      </c>
      <c r="AB78" s="30"/>
      <c r="AC78" s="57">
        <f>MONTH(Tabela1[[#This Row],[Data]])</f>
        <v>8</v>
      </c>
      <c r="AD78" s="46">
        <f>HOUR(Tabela1[[#This Row],[Hora]])</f>
        <v>16</v>
      </c>
      <c r="AE78" s="46" t="str">
        <f t="shared" si="5"/>
        <v>Tarde</v>
      </c>
    </row>
    <row r="79" spans="1:31" ht="29" x14ac:dyDescent="0.35">
      <c r="A79" s="55">
        <v>44781</v>
      </c>
      <c r="B79" s="214">
        <f t="shared" si="4"/>
        <v>2</v>
      </c>
      <c r="C79" s="47">
        <v>0.75902777777777775</v>
      </c>
      <c r="D79" s="45">
        <v>64</v>
      </c>
      <c r="E79" s="48">
        <v>81</v>
      </c>
      <c r="F79" s="323">
        <v>21</v>
      </c>
      <c r="G79" s="17" t="s">
        <v>8</v>
      </c>
      <c r="H79" s="104" t="s">
        <v>189</v>
      </c>
      <c r="I79" s="104" t="s">
        <v>190</v>
      </c>
      <c r="J79" s="104" t="s">
        <v>94</v>
      </c>
      <c r="K79" s="24" t="s">
        <v>474</v>
      </c>
      <c r="L79" s="24">
        <v>4</v>
      </c>
      <c r="M79" s="24" t="s">
        <v>529</v>
      </c>
      <c r="N79" s="24">
        <v>2</v>
      </c>
      <c r="O79" s="24">
        <v>18</v>
      </c>
      <c r="P79" s="24" t="s">
        <v>334</v>
      </c>
      <c r="Q79" s="296" t="s">
        <v>664</v>
      </c>
      <c r="R79" s="13" t="s">
        <v>12</v>
      </c>
      <c r="S79" s="100" t="s">
        <v>339</v>
      </c>
      <c r="T79" s="17" t="s">
        <v>7</v>
      </c>
      <c r="U79" s="55"/>
      <c r="V79" s="45" t="e">
        <f>MONTH(T:T)</f>
        <v>#VALUE!</v>
      </c>
      <c r="W79" s="17">
        <f>WEEKNUM(Tabela1[[#This Row],[Data da melhoria]])</f>
        <v>0</v>
      </c>
      <c r="X79" s="45"/>
      <c r="Y79" s="57" t="str">
        <f>IF(Tabela1[[#This Row],[Severidade]]&lt;100, "Baixa",IF(Tabela1[[#This Row],[Severidade]]&gt;=500, "Alta","Média"))</f>
        <v>Baixa</v>
      </c>
      <c r="Z79" s="57" t="str">
        <f>IF(Tabela1[[#This Row],[Severidade]]&gt;499, "+500",IF(Tabela1[[#This Row],[Severidade]]&lt;=500, "-500"))</f>
        <v>-500</v>
      </c>
      <c r="AA79" s="30" t="s">
        <v>7</v>
      </c>
      <c r="AB79" s="30"/>
      <c r="AC79" s="57">
        <f>MONTH(Tabela1[[#This Row],[Data]])</f>
        <v>8</v>
      </c>
      <c r="AD79" s="46">
        <f>HOUR(Tabela1[[#This Row],[Hora]])</f>
        <v>18</v>
      </c>
      <c r="AE79" s="46" t="str">
        <f t="shared" si="5"/>
        <v>Noite</v>
      </c>
    </row>
    <row r="80" spans="1:31" ht="43.5" x14ac:dyDescent="0.35">
      <c r="A80" s="55">
        <v>44788</v>
      </c>
      <c r="B80" s="214">
        <f t="shared" si="4"/>
        <v>2</v>
      </c>
      <c r="C80" s="47">
        <v>0.81597222222222221</v>
      </c>
      <c r="D80" s="45">
        <v>91</v>
      </c>
      <c r="E80" s="48">
        <v>44</v>
      </c>
      <c r="F80" s="323">
        <v>15</v>
      </c>
      <c r="G80" s="17" t="s">
        <v>8</v>
      </c>
      <c r="H80" s="104" t="s">
        <v>192</v>
      </c>
      <c r="I80" s="104" t="s">
        <v>193</v>
      </c>
      <c r="J80" s="108" t="s">
        <v>93</v>
      </c>
      <c r="K80" s="24" t="s">
        <v>455</v>
      </c>
      <c r="L80" s="54">
        <v>2</v>
      </c>
      <c r="M80" s="123" t="s">
        <v>619</v>
      </c>
      <c r="N80" s="24" t="s">
        <v>702</v>
      </c>
      <c r="O80" s="24">
        <v>38</v>
      </c>
      <c r="P80" s="24" t="s">
        <v>225</v>
      </c>
      <c r="Q80" s="296" t="s">
        <v>664</v>
      </c>
      <c r="R80" s="103" t="s">
        <v>877</v>
      </c>
      <c r="S80" s="102" t="s">
        <v>339</v>
      </c>
      <c r="T80" s="17" t="s">
        <v>7</v>
      </c>
      <c r="U80" s="55"/>
      <c r="V80" s="45" t="e">
        <f>MONTH(T:T)</f>
        <v>#VALUE!</v>
      </c>
      <c r="W80" s="17">
        <f>WEEKNUM(Tabela1[[#This Row],[Data da melhoria]])</f>
        <v>0</v>
      </c>
      <c r="X80" s="45"/>
      <c r="Y80" s="57" t="str">
        <f>IF(Tabela1[[#This Row],[Severidade]]&lt;100, "Baixa",IF(Tabela1[[#This Row],[Severidade]]&gt;=500, "Alta","Média"))</f>
        <v>Baixa</v>
      </c>
      <c r="Z80" s="57" t="str">
        <f>IF(Tabela1[[#This Row],[Severidade]]&gt;499, "+500",IF(Tabela1[[#This Row],[Severidade]]&lt;=500, "-500"))</f>
        <v>-500</v>
      </c>
      <c r="AA80" s="30" t="s">
        <v>7</v>
      </c>
      <c r="AB80" s="30"/>
      <c r="AC80" s="57">
        <f>MONTH(Tabela1[[#This Row],[Data]])</f>
        <v>8</v>
      </c>
      <c r="AD80" s="46">
        <f>HOUR(Tabela1[[#This Row],[Hora]])</f>
        <v>19</v>
      </c>
      <c r="AE80" s="46" t="str">
        <f t="shared" si="5"/>
        <v>Noite</v>
      </c>
    </row>
    <row r="81" spans="1:31" ht="43.5" x14ac:dyDescent="0.35">
      <c r="A81" s="55">
        <v>44793</v>
      </c>
      <c r="B81" s="214">
        <f t="shared" si="4"/>
        <v>7</v>
      </c>
      <c r="C81" s="47">
        <v>0.59583333333333333</v>
      </c>
      <c r="D81" s="45">
        <v>52</v>
      </c>
      <c r="E81" s="48">
        <v>53</v>
      </c>
      <c r="F81" s="323">
        <v>18</v>
      </c>
      <c r="G81" s="17" t="s">
        <v>8</v>
      </c>
      <c r="H81" s="104" t="s">
        <v>204</v>
      </c>
      <c r="I81" s="104" t="s">
        <v>205</v>
      </c>
      <c r="J81" s="104" t="s">
        <v>94</v>
      </c>
      <c r="K81" s="24" t="s">
        <v>471</v>
      </c>
      <c r="L81" s="24">
        <v>4</v>
      </c>
      <c r="M81" s="123" t="s">
        <v>605</v>
      </c>
      <c r="N81" s="24" t="s">
        <v>702</v>
      </c>
      <c r="O81" s="24">
        <v>2</v>
      </c>
      <c r="P81" s="24" t="s">
        <v>225</v>
      </c>
      <c r="Q81" s="296" t="s">
        <v>664</v>
      </c>
      <c r="R81" s="103" t="s">
        <v>12</v>
      </c>
      <c r="S81" s="100" t="s">
        <v>339</v>
      </c>
      <c r="T81" s="17" t="s">
        <v>7</v>
      </c>
      <c r="U81" s="55"/>
      <c r="V81" s="45" t="e">
        <f>MONTH(T:T)</f>
        <v>#VALUE!</v>
      </c>
      <c r="W81" s="17">
        <f>WEEKNUM(Tabela1[[#This Row],[Data da melhoria]])</f>
        <v>0</v>
      </c>
      <c r="X81" s="45"/>
      <c r="Y81" s="57" t="str">
        <f>IF(Tabela1[[#This Row],[Severidade]]&lt;100, "Baixa",IF(Tabela1[[#This Row],[Severidade]]&gt;=500, "Alta","Média"))</f>
        <v>Baixa</v>
      </c>
      <c r="Z81" s="57" t="str">
        <f>IF(Tabela1[[#This Row],[Severidade]]&gt;499, "+500",IF(Tabela1[[#This Row],[Severidade]]&lt;=500, "-500"))</f>
        <v>-500</v>
      </c>
      <c r="AA81" s="30" t="s">
        <v>7</v>
      </c>
      <c r="AB81" s="30"/>
      <c r="AC81" s="57">
        <f>MONTH(Tabela1[[#This Row],[Data]])</f>
        <v>8</v>
      </c>
      <c r="AD81" s="46">
        <f>HOUR(Tabela1[[#This Row],[Hora]])</f>
        <v>14</v>
      </c>
      <c r="AE81" s="46" t="str">
        <f t="shared" si="5"/>
        <v>Tarde</v>
      </c>
    </row>
    <row r="82" spans="1:31" ht="43.5" x14ac:dyDescent="0.35">
      <c r="A82" s="55">
        <v>44795</v>
      </c>
      <c r="B82" s="214">
        <f t="shared" si="4"/>
        <v>2</v>
      </c>
      <c r="C82" s="47">
        <v>0.69513888888888886</v>
      </c>
      <c r="D82" s="45">
        <v>50</v>
      </c>
      <c r="E82" s="48">
        <v>45</v>
      </c>
      <c r="F82" s="323">
        <v>16</v>
      </c>
      <c r="G82" s="17" t="s">
        <v>8</v>
      </c>
      <c r="H82" s="104" t="s">
        <v>213</v>
      </c>
      <c r="I82" s="104" t="s">
        <v>214</v>
      </c>
      <c r="J82" s="104" t="s">
        <v>94</v>
      </c>
      <c r="K82" s="24" t="s">
        <v>471</v>
      </c>
      <c r="L82" s="24">
        <v>4</v>
      </c>
      <c r="M82" s="123" t="s">
        <v>605</v>
      </c>
      <c r="N82" s="24" t="s">
        <v>702</v>
      </c>
      <c r="O82" s="24">
        <v>2</v>
      </c>
      <c r="P82" s="24" t="s">
        <v>225</v>
      </c>
      <c r="Q82" s="296" t="s">
        <v>664</v>
      </c>
      <c r="R82" s="103" t="s">
        <v>12</v>
      </c>
      <c r="S82" s="100" t="s">
        <v>339</v>
      </c>
      <c r="T82" s="17" t="s">
        <v>7</v>
      </c>
      <c r="U82" s="55"/>
      <c r="V82" s="45" t="e">
        <f>MONTH(T:T)</f>
        <v>#VALUE!</v>
      </c>
      <c r="W82" s="17">
        <f>WEEKNUM(Tabela1[[#This Row],[Data da melhoria]])</f>
        <v>0</v>
      </c>
      <c r="X82" s="45"/>
      <c r="Y82" s="57" t="str">
        <f>IF(Tabela1[[#This Row],[Severidade]]&lt;100, "Baixa",IF(Tabela1[[#This Row],[Severidade]]&gt;=500, "Alta","Média"))</f>
        <v>Baixa</v>
      </c>
      <c r="Z82" s="57" t="str">
        <f>IF(Tabela1[[#This Row],[Severidade]]&gt;499, "+500",IF(Tabela1[[#This Row],[Severidade]]&lt;=500, "-500"))</f>
        <v>-500</v>
      </c>
      <c r="AA82" s="30" t="s">
        <v>7</v>
      </c>
      <c r="AB82" s="30"/>
      <c r="AC82" s="57">
        <f>MONTH(Tabela1[[#This Row],[Data]])</f>
        <v>8</v>
      </c>
      <c r="AD82" s="46">
        <f>HOUR(Tabela1[[#This Row],[Hora]])</f>
        <v>16</v>
      </c>
      <c r="AE82" s="46" t="str">
        <f t="shared" si="5"/>
        <v>Tarde</v>
      </c>
    </row>
    <row r="83" spans="1:31" ht="29" x14ac:dyDescent="0.35">
      <c r="A83" s="55">
        <v>44795</v>
      </c>
      <c r="B83" s="214">
        <f t="shared" si="4"/>
        <v>2</v>
      </c>
      <c r="C83" s="47">
        <v>0.61249999999999993</v>
      </c>
      <c r="D83" s="45">
        <v>73</v>
      </c>
      <c r="E83" s="48">
        <v>57</v>
      </c>
      <c r="F83" s="323">
        <v>22</v>
      </c>
      <c r="G83" s="17" t="s">
        <v>8</v>
      </c>
      <c r="H83" s="104" t="s">
        <v>209</v>
      </c>
      <c r="I83" s="104" t="s">
        <v>210</v>
      </c>
      <c r="J83" s="104" t="s">
        <v>96</v>
      </c>
      <c r="K83" s="24" t="s">
        <v>478</v>
      </c>
      <c r="L83" s="24" t="s">
        <v>329</v>
      </c>
      <c r="M83" s="123" t="s">
        <v>225</v>
      </c>
      <c r="N83" s="24" t="s">
        <v>807</v>
      </c>
      <c r="O83" s="24" t="s">
        <v>225</v>
      </c>
      <c r="P83" s="24" t="s">
        <v>225</v>
      </c>
      <c r="Q83" s="296" t="s">
        <v>664</v>
      </c>
      <c r="R83" s="103" t="s">
        <v>877</v>
      </c>
      <c r="S83" s="102" t="s">
        <v>655</v>
      </c>
      <c r="T83" s="17" t="s">
        <v>7</v>
      </c>
      <c r="U83" s="55"/>
      <c r="V83" s="45" t="e">
        <f>MONTH(T:T)</f>
        <v>#VALUE!</v>
      </c>
      <c r="W83" s="17">
        <f>WEEKNUM(Tabela1[[#This Row],[Data da melhoria]])</f>
        <v>0</v>
      </c>
      <c r="X83" s="45"/>
      <c r="Y83" s="57" t="str">
        <f>IF(Tabela1[[#This Row],[Severidade]]&lt;100, "Baixa",IF(Tabela1[[#This Row],[Severidade]]&gt;=500, "Alta","Média"))</f>
        <v>Baixa</v>
      </c>
      <c r="Z83" s="57" t="str">
        <f>IF(Tabela1[[#This Row],[Severidade]]&gt;499, "+500",IF(Tabela1[[#This Row],[Severidade]]&lt;=500, "-500"))</f>
        <v>-500</v>
      </c>
      <c r="AA83" s="30" t="s">
        <v>7</v>
      </c>
      <c r="AB83" s="30"/>
      <c r="AC83" s="57">
        <f>MONTH(Tabela1[[#This Row],[Data]])</f>
        <v>8</v>
      </c>
      <c r="AD83" s="46">
        <f>HOUR(Tabela1[[#This Row],[Hora]])</f>
        <v>14</v>
      </c>
      <c r="AE83" s="46" t="str">
        <f t="shared" si="5"/>
        <v>Tarde</v>
      </c>
    </row>
    <row r="84" spans="1:31" ht="43.5" x14ac:dyDescent="0.35">
      <c r="A84" s="121">
        <v>44795</v>
      </c>
      <c r="B84" s="220">
        <f t="shared" si="4"/>
        <v>2</v>
      </c>
      <c r="C84" s="47">
        <v>0.63402777777777775</v>
      </c>
      <c r="D84" s="45">
        <v>185</v>
      </c>
      <c r="E84" s="48">
        <v>58</v>
      </c>
      <c r="F84" s="323">
        <v>22</v>
      </c>
      <c r="G84" s="17" t="s">
        <v>8</v>
      </c>
      <c r="H84" s="104" t="s">
        <v>211</v>
      </c>
      <c r="I84" s="104" t="s">
        <v>212</v>
      </c>
      <c r="J84" s="104" t="s">
        <v>96</v>
      </c>
      <c r="K84" s="24" t="s">
        <v>451</v>
      </c>
      <c r="L84" s="24" t="s">
        <v>329</v>
      </c>
      <c r="M84" s="123" t="s">
        <v>225</v>
      </c>
      <c r="N84" s="24" t="s">
        <v>807</v>
      </c>
      <c r="O84" s="24" t="s">
        <v>225</v>
      </c>
      <c r="P84" s="24" t="s">
        <v>225</v>
      </c>
      <c r="Q84" s="296" t="s">
        <v>664</v>
      </c>
      <c r="R84" s="103" t="s">
        <v>877</v>
      </c>
      <c r="S84" s="102" t="s">
        <v>655</v>
      </c>
      <c r="T84" s="17" t="s">
        <v>7</v>
      </c>
      <c r="U84" s="55"/>
      <c r="V84" s="45" t="e">
        <f>MONTH(T:T)</f>
        <v>#VALUE!</v>
      </c>
      <c r="W84" s="17">
        <f>WEEKNUM(Tabela1[[#This Row],[Data da melhoria]])</f>
        <v>0</v>
      </c>
      <c r="X84" s="45"/>
      <c r="Y84" s="57" t="str">
        <f>IF(Tabela1[[#This Row],[Severidade]]&lt;100, "Baixa",IF(Tabela1[[#This Row],[Severidade]]&gt;=500, "Alta","Média"))</f>
        <v>Média</v>
      </c>
      <c r="Z84" s="57" t="str">
        <f>IF(Tabela1[[#This Row],[Severidade]]&gt;499, "+500",IF(Tabela1[[#This Row],[Severidade]]&lt;=500, "-500"))</f>
        <v>-500</v>
      </c>
      <c r="AA84" s="30" t="s">
        <v>7</v>
      </c>
      <c r="AB84" s="30"/>
      <c r="AC84" s="57">
        <f>MONTH(Tabela1[[#This Row],[Data]])</f>
        <v>8</v>
      </c>
      <c r="AD84" s="46">
        <f>HOUR(Tabela1[[#This Row],[Hora]])</f>
        <v>15</v>
      </c>
      <c r="AE84" s="46" t="str">
        <f t="shared" si="5"/>
        <v>Tarde</v>
      </c>
    </row>
    <row r="85" spans="1:31" ht="29" x14ac:dyDescent="0.35">
      <c r="A85" s="55">
        <v>44795</v>
      </c>
      <c r="B85" s="214">
        <f t="shared" si="4"/>
        <v>2</v>
      </c>
      <c r="C85" s="34">
        <v>0.70833333333333337</v>
      </c>
      <c r="D85" s="17">
        <v>83</v>
      </c>
      <c r="E85" s="23">
        <v>74</v>
      </c>
      <c r="F85" s="321">
        <v>16</v>
      </c>
      <c r="G85" s="17" t="s">
        <v>8</v>
      </c>
      <c r="H85" s="104" t="s">
        <v>215</v>
      </c>
      <c r="I85" s="104" t="s">
        <v>216</v>
      </c>
      <c r="J85" s="104" t="s">
        <v>94</v>
      </c>
      <c r="K85" s="24" t="s">
        <v>456</v>
      </c>
      <c r="L85" s="24">
        <v>4</v>
      </c>
      <c r="M85" s="24" t="s">
        <v>526</v>
      </c>
      <c r="N85" s="24">
        <v>1</v>
      </c>
      <c r="O85" s="24" t="s">
        <v>225</v>
      </c>
      <c r="P85" s="24" t="s">
        <v>225</v>
      </c>
      <c r="Q85" s="296" t="s">
        <v>664</v>
      </c>
      <c r="R85" s="103" t="s">
        <v>877</v>
      </c>
      <c r="S85" s="102" t="s">
        <v>43</v>
      </c>
      <c r="T85" s="17" t="s">
        <v>7</v>
      </c>
      <c r="U85" s="40"/>
      <c r="V85" s="17" t="e">
        <f>MONTH(T:T)</f>
        <v>#VALUE!</v>
      </c>
      <c r="W85" s="17">
        <f>WEEKNUM(Tabela1[[#This Row],[Data da melhoria]])</f>
        <v>0</v>
      </c>
      <c r="X85" s="17"/>
      <c r="Y85" s="30" t="str">
        <f>IF(Tabela1[[#This Row],[Severidade]]&lt;100, "Baixa",IF(Tabela1[[#This Row],[Severidade]]&gt;=500, "Alta","Média"))</f>
        <v>Baixa</v>
      </c>
      <c r="Z85" s="30" t="str">
        <f>IF(Tabela1[[#This Row],[Severidade]]&gt;499, "+500",IF(Tabela1[[#This Row],[Severidade]]&lt;=500, "-500"))</f>
        <v>-500</v>
      </c>
      <c r="AA85" s="30" t="s">
        <v>7</v>
      </c>
      <c r="AB85" s="30"/>
      <c r="AC85" s="30">
        <f>MONTH(Tabela1[[#This Row],[Data]])</f>
        <v>8</v>
      </c>
      <c r="AD85" s="12">
        <f>HOUR(Tabela1[[#This Row],[Hora]])</f>
        <v>17</v>
      </c>
      <c r="AE85" s="12" t="str">
        <f t="shared" si="5"/>
        <v>Tarde</v>
      </c>
    </row>
    <row r="86" spans="1:31" ht="29" x14ac:dyDescent="0.35">
      <c r="A86" s="121">
        <v>44796</v>
      </c>
      <c r="B86" s="220">
        <f t="shared" si="4"/>
        <v>3</v>
      </c>
      <c r="C86" s="34">
        <v>0.72291666666666676</v>
      </c>
      <c r="D86" s="17">
        <v>144</v>
      </c>
      <c r="E86" s="23">
        <v>79</v>
      </c>
      <c r="F86" s="321">
        <v>17</v>
      </c>
      <c r="G86" s="17" t="s">
        <v>8</v>
      </c>
      <c r="H86" s="104" t="s">
        <v>217</v>
      </c>
      <c r="I86" s="104" t="s">
        <v>218</v>
      </c>
      <c r="J86" s="104" t="s">
        <v>94</v>
      </c>
      <c r="K86" s="24" t="s">
        <v>475</v>
      </c>
      <c r="L86" s="24">
        <v>4</v>
      </c>
      <c r="M86" s="24" t="s">
        <v>532</v>
      </c>
      <c r="N86" s="24">
        <v>2</v>
      </c>
      <c r="O86" s="24">
        <v>13</v>
      </c>
      <c r="P86" s="24" t="s">
        <v>225</v>
      </c>
      <c r="Q86" s="296" t="s">
        <v>664</v>
      </c>
      <c r="R86" s="103" t="s">
        <v>877</v>
      </c>
      <c r="S86" s="102" t="s">
        <v>43</v>
      </c>
      <c r="T86" s="17" t="s">
        <v>7</v>
      </c>
      <c r="U86" s="40"/>
      <c r="V86" s="17" t="e">
        <f>MONTH(T:T)</f>
        <v>#VALUE!</v>
      </c>
      <c r="W86" s="17">
        <f>WEEKNUM(Tabela1[[#This Row],[Data da melhoria]])</f>
        <v>0</v>
      </c>
      <c r="X86" s="17"/>
      <c r="Y86" s="30" t="str">
        <f>IF(Tabela1[[#This Row],[Severidade]]&lt;100, "Baixa",IF(Tabela1[[#This Row],[Severidade]]&gt;=500, "Alta","Média"))</f>
        <v>Média</v>
      </c>
      <c r="Z86" s="30" t="str">
        <f>IF(Tabela1[[#This Row],[Severidade]]&gt;499, "+500",IF(Tabela1[[#This Row],[Severidade]]&lt;=500, "-500"))</f>
        <v>-500</v>
      </c>
      <c r="AA86" s="30" t="s">
        <v>7</v>
      </c>
      <c r="AB86" s="30"/>
      <c r="AC86" s="30">
        <f>MONTH(Tabela1[[#This Row],[Data]])</f>
        <v>8</v>
      </c>
      <c r="AD86" s="12">
        <f>HOUR(Tabela1[[#This Row],[Hora]])</f>
        <v>17</v>
      </c>
      <c r="AE86" s="12" t="str">
        <f t="shared" si="5"/>
        <v>Tarde</v>
      </c>
    </row>
    <row r="87" spans="1:31" ht="29" x14ac:dyDescent="0.35">
      <c r="A87" s="55">
        <v>44798</v>
      </c>
      <c r="B87" s="214">
        <f t="shared" si="4"/>
        <v>5</v>
      </c>
      <c r="C87" s="47">
        <v>0.72638888888888886</v>
      </c>
      <c r="D87" s="45">
        <v>100</v>
      </c>
      <c r="E87" s="23" t="s">
        <v>222</v>
      </c>
      <c r="F87" s="321">
        <v>17</v>
      </c>
      <c r="G87" s="17" t="s">
        <v>8</v>
      </c>
      <c r="H87" s="104" t="s">
        <v>223</v>
      </c>
      <c r="I87" s="104" t="s">
        <v>224</v>
      </c>
      <c r="J87" s="104" t="s">
        <v>94</v>
      </c>
      <c r="K87" s="24" t="s">
        <v>476</v>
      </c>
      <c r="L87" s="24">
        <v>4</v>
      </c>
      <c r="M87" s="24" t="s">
        <v>535</v>
      </c>
      <c r="N87" s="24">
        <v>1</v>
      </c>
      <c r="O87" s="24" t="s">
        <v>225</v>
      </c>
      <c r="P87" s="24" t="s">
        <v>225</v>
      </c>
      <c r="Q87" s="296" t="s">
        <v>664</v>
      </c>
      <c r="R87" s="103" t="s">
        <v>877</v>
      </c>
      <c r="S87" s="102" t="s">
        <v>43</v>
      </c>
      <c r="T87" s="17" t="s">
        <v>7</v>
      </c>
      <c r="U87" s="55"/>
      <c r="V87" s="45" t="e">
        <f>MONTH(T:T)</f>
        <v>#VALUE!</v>
      </c>
      <c r="W87" s="17">
        <f>WEEKNUM(Tabela1[[#This Row],[Data da melhoria]])</f>
        <v>0</v>
      </c>
      <c r="X87" s="45"/>
      <c r="Y87" s="57" t="str">
        <f>IF(Tabela1[[#This Row],[Severidade]]&lt;100, "Baixa",IF(Tabela1[[#This Row],[Severidade]]&gt;=500, "Alta","Média"))</f>
        <v>Média</v>
      </c>
      <c r="Z87" s="57" t="str">
        <f>IF(Tabela1[[#This Row],[Severidade]]&gt;499, "+500",IF(Tabela1[[#This Row],[Severidade]]&lt;=500, "-500"))</f>
        <v>-500</v>
      </c>
      <c r="AA87" s="30" t="s">
        <v>7</v>
      </c>
      <c r="AB87" s="30"/>
      <c r="AC87" s="57">
        <f>MONTH(Tabela1[[#This Row],[Data]])</f>
        <v>8</v>
      </c>
      <c r="AD87" s="46">
        <f>HOUR(Tabela1[[#This Row],[Hora]])</f>
        <v>17</v>
      </c>
      <c r="AE87" s="46" t="str">
        <f t="shared" si="5"/>
        <v>Tarde</v>
      </c>
    </row>
    <row r="88" spans="1:31" ht="29" x14ac:dyDescent="0.35">
      <c r="A88" s="55">
        <v>44798</v>
      </c>
      <c r="B88" s="214">
        <f t="shared" si="4"/>
        <v>5</v>
      </c>
      <c r="C88" s="47">
        <v>0.29791666666666666</v>
      </c>
      <c r="D88" s="45">
        <v>53</v>
      </c>
      <c r="E88" s="23" t="s">
        <v>219</v>
      </c>
      <c r="F88" s="321">
        <v>17</v>
      </c>
      <c r="G88" s="17" t="s">
        <v>8</v>
      </c>
      <c r="H88" s="104" t="s">
        <v>220</v>
      </c>
      <c r="I88" s="104" t="s">
        <v>221</v>
      </c>
      <c r="J88" s="104" t="s">
        <v>95</v>
      </c>
      <c r="K88" s="24" t="s">
        <v>452</v>
      </c>
      <c r="L88" s="24">
        <v>1</v>
      </c>
      <c r="M88" s="123" t="s">
        <v>624</v>
      </c>
      <c r="N88" s="24" t="s">
        <v>653</v>
      </c>
      <c r="O88" s="24">
        <v>59</v>
      </c>
      <c r="P88" s="24" t="s">
        <v>225</v>
      </c>
      <c r="Q88" s="296" t="s">
        <v>664</v>
      </c>
      <c r="R88" s="103" t="s">
        <v>877</v>
      </c>
      <c r="S88" s="102" t="s">
        <v>43</v>
      </c>
      <c r="T88" s="17" t="s">
        <v>7</v>
      </c>
      <c r="U88" s="55"/>
      <c r="V88" s="45" t="e">
        <f>MONTH(T:T)</f>
        <v>#VALUE!</v>
      </c>
      <c r="W88" s="17">
        <f>WEEKNUM(Tabela1[[#This Row],[Data da melhoria]])</f>
        <v>0</v>
      </c>
      <c r="X88" s="45"/>
      <c r="Y88" s="57" t="str">
        <f>IF(Tabela1[[#This Row],[Severidade]]&lt;100, "Baixa",IF(Tabela1[[#This Row],[Severidade]]&gt;=500, "Alta","Média"))</f>
        <v>Baixa</v>
      </c>
      <c r="Z88" s="57" t="str">
        <f>IF(Tabela1[[#This Row],[Severidade]]&gt;499, "+500",IF(Tabela1[[#This Row],[Severidade]]&lt;=500, "-500"))</f>
        <v>-500</v>
      </c>
      <c r="AA88" s="30" t="s">
        <v>7</v>
      </c>
      <c r="AB88" s="30"/>
      <c r="AC88" s="57">
        <f>MONTH(Tabela1[[#This Row],[Data]])</f>
        <v>8</v>
      </c>
      <c r="AD88" s="46">
        <f>HOUR(Tabela1[[#This Row],[Hora]])</f>
        <v>7</v>
      </c>
      <c r="AE88" s="46" t="str">
        <f t="shared" si="5"/>
        <v>Tarde</v>
      </c>
    </row>
    <row r="89" spans="1:31" ht="29" x14ac:dyDescent="0.35">
      <c r="A89" s="55">
        <v>44802</v>
      </c>
      <c r="B89" s="214">
        <f t="shared" si="4"/>
        <v>2</v>
      </c>
      <c r="C89" s="47">
        <v>0.59027777777777779</v>
      </c>
      <c r="D89" s="45">
        <v>50</v>
      </c>
      <c r="E89" s="23" t="s">
        <v>227</v>
      </c>
      <c r="F89" s="321">
        <v>21</v>
      </c>
      <c r="G89" s="17" t="s">
        <v>8</v>
      </c>
      <c r="H89" s="104" t="s">
        <v>228</v>
      </c>
      <c r="I89" s="104" t="s">
        <v>229</v>
      </c>
      <c r="J89" s="104" t="s">
        <v>95</v>
      </c>
      <c r="K89" s="24" t="s">
        <v>477</v>
      </c>
      <c r="L89" s="24">
        <v>1</v>
      </c>
      <c r="M89" s="24" t="s">
        <v>625</v>
      </c>
      <c r="N89" s="24">
        <v>1</v>
      </c>
      <c r="O89" s="24">
        <v>55</v>
      </c>
      <c r="P89" s="24" t="s">
        <v>225</v>
      </c>
      <c r="Q89" s="296" t="s">
        <v>664</v>
      </c>
      <c r="R89" s="103" t="s">
        <v>877</v>
      </c>
      <c r="S89" s="102" t="s">
        <v>43</v>
      </c>
      <c r="T89" s="17" t="s">
        <v>7</v>
      </c>
      <c r="U89" s="55"/>
      <c r="V89" s="45" t="e">
        <f>MONTH(T:T)</f>
        <v>#VALUE!</v>
      </c>
      <c r="W89" s="17">
        <f>WEEKNUM(Tabela1[[#This Row],[Data da melhoria]])</f>
        <v>0</v>
      </c>
      <c r="X89" s="45"/>
      <c r="Y89" s="57" t="str">
        <f>IF(Tabela1[[#This Row],[Severidade]]&lt;100, "Baixa",IF(Tabela1[[#This Row],[Severidade]]&gt;=500, "Alta","Média"))</f>
        <v>Baixa</v>
      </c>
      <c r="Z89" s="57" t="str">
        <f>IF(Tabela1[[#This Row],[Severidade]]&gt;499, "+500",IF(Tabela1[[#This Row],[Severidade]]&lt;=500, "-500"))</f>
        <v>-500</v>
      </c>
      <c r="AA89" s="30" t="s">
        <v>7</v>
      </c>
      <c r="AB89" s="30"/>
      <c r="AC89" s="57">
        <f>MONTH(Tabela1[[#This Row],[Data]])</f>
        <v>8</v>
      </c>
      <c r="AD89" s="46">
        <f>HOUR(Tabela1[[#This Row],[Hora]])</f>
        <v>14</v>
      </c>
      <c r="AE89" s="46" t="str">
        <f t="shared" si="5"/>
        <v>Tarde</v>
      </c>
    </row>
    <row r="90" spans="1:31" ht="29" x14ac:dyDescent="0.35">
      <c r="A90" s="55">
        <v>44802</v>
      </c>
      <c r="B90" s="214">
        <f t="shared" si="4"/>
        <v>2</v>
      </c>
      <c r="C90" s="47">
        <v>0.81597222222222221</v>
      </c>
      <c r="D90" s="45">
        <v>151</v>
      </c>
      <c r="E90" s="23" t="s">
        <v>230</v>
      </c>
      <c r="F90" s="321">
        <v>15</v>
      </c>
      <c r="G90" s="17" t="s">
        <v>8</v>
      </c>
      <c r="H90" s="104" t="s">
        <v>231</v>
      </c>
      <c r="I90" s="104" t="s">
        <v>232</v>
      </c>
      <c r="J90" s="104" t="s">
        <v>94</v>
      </c>
      <c r="K90" s="24" t="s">
        <v>410</v>
      </c>
      <c r="L90" s="24">
        <v>4</v>
      </c>
      <c r="M90" s="24" t="s">
        <v>534</v>
      </c>
      <c r="N90" s="24">
        <v>1</v>
      </c>
      <c r="O90" s="24">
        <v>19</v>
      </c>
      <c r="P90" s="24" t="s">
        <v>225</v>
      </c>
      <c r="Q90" s="296" t="s">
        <v>664</v>
      </c>
      <c r="R90" s="103" t="s">
        <v>877</v>
      </c>
      <c r="S90" s="102" t="s">
        <v>43</v>
      </c>
      <c r="T90" s="17" t="s">
        <v>7</v>
      </c>
      <c r="U90" s="55"/>
      <c r="V90" s="45" t="e">
        <f>MONTH(T:T)</f>
        <v>#VALUE!</v>
      </c>
      <c r="W90" s="17">
        <f>WEEKNUM(Tabela1[[#This Row],[Data da melhoria]])</f>
        <v>0</v>
      </c>
      <c r="X90" s="45"/>
      <c r="Y90" s="57" t="str">
        <f>IF(Tabela1[[#This Row],[Severidade]]&lt;100, "Baixa",IF(Tabela1[[#This Row],[Severidade]]&gt;=500, "Alta","Média"))</f>
        <v>Média</v>
      </c>
      <c r="Z90" s="57" t="str">
        <f>IF(Tabela1[[#This Row],[Severidade]]&gt;499, "+500",IF(Tabela1[[#This Row],[Severidade]]&lt;=500, "-500"))</f>
        <v>-500</v>
      </c>
      <c r="AA90" s="30" t="s">
        <v>7</v>
      </c>
      <c r="AB90" s="30"/>
      <c r="AC90" s="57">
        <f>MONTH(Tabela1[[#This Row],[Data]])</f>
        <v>8</v>
      </c>
      <c r="AD90" s="46">
        <f>HOUR(Tabela1[[#This Row],[Hora]])</f>
        <v>19</v>
      </c>
      <c r="AE90" s="46" t="str">
        <f t="shared" si="5"/>
        <v>Noite</v>
      </c>
    </row>
    <row r="91" spans="1:31" ht="43.5" x14ac:dyDescent="0.35">
      <c r="A91" s="55">
        <v>44804</v>
      </c>
      <c r="B91" s="214">
        <f t="shared" si="4"/>
        <v>4</v>
      </c>
      <c r="C91" s="47">
        <v>0.33819444444444446</v>
      </c>
      <c r="D91" s="45">
        <v>108</v>
      </c>
      <c r="E91" s="23" t="s">
        <v>233</v>
      </c>
      <c r="F91" s="321">
        <v>13</v>
      </c>
      <c r="G91" s="17" t="s">
        <v>8</v>
      </c>
      <c r="H91" s="104" t="s">
        <v>234</v>
      </c>
      <c r="I91" s="104" t="s">
        <v>235</v>
      </c>
      <c r="J91" s="108" t="s">
        <v>93</v>
      </c>
      <c r="K91" s="24" t="s">
        <v>455</v>
      </c>
      <c r="L91" s="24">
        <v>2</v>
      </c>
      <c r="M91" s="123" t="s">
        <v>619</v>
      </c>
      <c r="N91" s="24" t="s">
        <v>702</v>
      </c>
      <c r="O91" s="24">
        <v>38</v>
      </c>
      <c r="P91" s="24" t="s">
        <v>225</v>
      </c>
      <c r="Q91" s="296" t="s">
        <v>664</v>
      </c>
      <c r="R91" s="103" t="s">
        <v>877</v>
      </c>
      <c r="S91" s="102" t="s">
        <v>43</v>
      </c>
      <c r="T91" s="17" t="s">
        <v>7</v>
      </c>
      <c r="U91" s="55"/>
      <c r="V91" s="45" t="e">
        <f>MONTH(T:T)</f>
        <v>#VALUE!</v>
      </c>
      <c r="W91" s="17">
        <f>WEEKNUM(Tabela1[[#This Row],[Data da melhoria]])</f>
        <v>0</v>
      </c>
      <c r="X91" s="45"/>
      <c r="Y91" s="57" t="str">
        <f>IF(Tabela1[[#This Row],[Severidade]]&lt;100, "Baixa",IF(Tabela1[[#This Row],[Severidade]]&gt;=500, "Alta","Média"))</f>
        <v>Média</v>
      </c>
      <c r="Z91" s="57" t="str">
        <f>IF(Tabela1[[#This Row],[Severidade]]&gt;499, "+500",IF(Tabela1[[#This Row],[Severidade]]&lt;=500, "-500"))</f>
        <v>-500</v>
      </c>
      <c r="AA91" s="30" t="s">
        <v>7</v>
      </c>
      <c r="AB91" s="30"/>
      <c r="AC91" s="57">
        <f>MONTH(Tabela1[[#This Row],[Data]])</f>
        <v>8</v>
      </c>
      <c r="AD91" s="46">
        <f>HOUR(Tabela1[[#This Row],[Hora]])</f>
        <v>8</v>
      </c>
      <c r="AE91" s="46" t="str">
        <f t="shared" si="5"/>
        <v>Tarde</v>
      </c>
    </row>
    <row r="92" spans="1:31" ht="29" x14ac:dyDescent="0.35">
      <c r="A92" s="55">
        <v>44804</v>
      </c>
      <c r="B92" s="214">
        <f t="shared" si="4"/>
        <v>4</v>
      </c>
      <c r="C92" s="47">
        <v>0.42708333333333331</v>
      </c>
      <c r="D92" s="45">
        <v>63</v>
      </c>
      <c r="E92" s="23" t="s">
        <v>233</v>
      </c>
      <c r="F92" s="321">
        <v>13</v>
      </c>
      <c r="G92" s="17" t="s">
        <v>8</v>
      </c>
      <c r="H92" s="104" t="s">
        <v>236</v>
      </c>
      <c r="I92" s="104" t="s">
        <v>237</v>
      </c>
      <c r="J92" s="104" t="s">
        <v>97</v>
      </c>
      <c r="K92" s="24" t="s">
        <v>462</v>
      </c>
      <c r="L92" s="24">
        <v>7</v>
      </c>
      <c r="M92" s="123" t="s">
        <v>606</v>
      </c>
      <c r="N92" s="24" t="s">
        <v>807</v>
      </c>
      <c r="O92" s="24">
        <v>6</v>
      </c>
      <c r="P92" s="24" t="s">
        <v>609</v>
      </c>
      <c r="Q92" s="296" t="s">
        <v>664</v>
      </c>
      <c r="R92" s="103" t="s">
        <v>12</v>
      </c>
      <c r="S92" s="102" t="s">
        <v>608</v>
      </c>
      <c r="T92" s="17" t="s">
        <v>7</v>
      </c>
      <c r="U92" s="55"/>
      <c r="V92" s="45" t="e">
        <f>MONTH(T:T)</f>
        <v>#VALUE!</v>
      </c>
      <c r="W92" s="17">
        <f>WEEKNUM(Tabela1[[#This Row],[Data da melhoria]])</f>
        <v>0</v>
      </c>
      <c r="X92" s="45"/>
      <c r="Y92" s="57" t="str">
        <f>IF(Tabela1[[#This Row],[Severidade]]&lt;100, "Baixa",IF(Tabela1[[#This Row],[Severidade]]&gt;=500, "Alta","Média"))</f>
        <v>Baixa</v>
      </c>
      <c r="Z92" s="57" t="str">
        <f>IF(Tabela1[[#This Row],[Severidade]]&gt;499, "+500",IF(Tabela1[[#This Row],[Severidade]]&lt;=500, "-500"))</f>
        <v>-500</v>
      </c>
      <c r="AA92" s="30" t="s">
        <v>7</v>
      </c>
      <c r="AB92" s="30"/>
      <c r="AC92" s="57">
        <f>MONTH(Tabela1[[#This Row],[Data]])</f>
        <v>8</v>
      </c>
      <c r="AD92" s="46">
        <f>HOUR(Tabela1[[#This Row],[Hora]])</f>
        <v>10</v>
      </c>
      <c r="AE92" s="46" t="str">
        <f t="shared" si="5"/>
        <v>Tarde</v>
      </c>
    </row>
    <row r="93" spans="1:31" ht="29" x14ac:dyDescent="0.35">
      <c r="A93" s="55">
        <v>44804</v>
      </c>
      <c r="B93" s="214">
        <f t="shared" si="4"/>
        <v>4</v>
      </c>
      <c r="C93" s="47">
        <v>0.7006944444444444</v>
      </c>
      <c r="D93" s="45">
        <v>182</v>
      </c>
      <c r="E93" s="23" t="s">
        <v>238</v>
      </c>
      <c r="F93" s="321">
        <v>21</v>
      </c>
      <c r="G93" s="17" t="s">
        <v>8</v>
      </c>
      <c r="H93" s="104" t="s">
        <v>239</v>
      </c>
      <c r="I93" s="104" t="s">
        <v>240</v>
      </c>
      <c r="J93" s="104" t="s">
        <v>94</v>
      </c>
      <c r="K93" s="24" t="s">
        <v>475</v>
      </c>
      <c r="L93" s="24">
        <v>4</v>
      </c>
      <c r="M93" s="24" t="s">
        <v>532</v>
      </c>
      <c r="N93" s="24">
        <v>2</v>
      </c>
      <c r="O93" s="24">
        <v>13</v>
      </c>
      <c r="P93" s="24" t="s">
        <v>225</v>
      </c>
      <c r="Q93" s="296" t="s">
        <v>664</v>
      </c>
      <c r="R93" s="103" t="s">
        <v>877</v>
      </c>
      <c r="S93" s="102" t="s">
        <v>43</v>
      </c>
      <c r="T93" s="17" t="s">
        <v>7</v>
      </c>
      <c r="U93" s="55"/>
      <c r="V93" s="45" t="e">
        <f>MONTH(T:T)</f>
        <v>#VALUE!</v>
      </c>
      <c r="W93" s="17">
        <f>WEEKNUM(Tabela1[[#This Row],[Data da melhoria]])</f>
        <v>0</v>
      </c>
      <c r="X93" s="45"/>
      <c r="Y93" s="57" t="str">
        <f>IF(Tabela1[[#This Row],[Severidade]]&lt;100, "Baixa",IF(Tabela1[[#This Row],[Severidade]]&gt;=500, "Alta","Média"))</f>
        <v>Média</v>
      </c>
      <c r="Z93" s="57" t="str">
        <f>IF(Tabela1[[#This Row],[Severidade]]&gt;499, "+500",IF(Tabela1[[#This Row],[Severidade]]&lt;=500, "-500"))</f>
        <v>-500</v>
      </c>
      <c r="AA93" s="30" t="s">
        <v>7</v>
      </c>
      <c r="AB93" s="30"/>
      <c r="AC93" s="57">
        <f>MONTH(Tabela1[[#This Row],[Data]])</f>
        <v>8</v>
      </c>
      <c r="AD93" s="46">
        <f>HOUR(Tabela1[[#This Row],[Hora]])</f>
        <v>16</v>
      </c>
      <c r="AE93" s="46" t="str">
        <f t="shared" si="5"/>
        <v>Tarde</v>
      </c>
    </row>
    <row r="94" spans="1:31" ht="29" x14ac:dyDescent="0.35">
      <c r="A94" s="55">
        <v>44804</v>
      </c>
      <c r="B94" s="214">
        <f t="shared" si="4"/>
        <v>4</v>
      </c>
      <c r="C94" s="47">
        <v>0.75069444444444444</v>
      </c>
      <c r="D94" s="45">
        <v>93</v>
      </c>
      <c r="E94" s="23" t="s">
        <v>241</v>
      </c>
      <c r="F94" s="321">
        <v>13</v>
      </c>
      <c r="G94" s="17" t="s">
        <v>8</v>
      </c>
      <c r="H94" s="104" t="s">
        <v>242</v>
      </c>
      <c r="I94" s="104" t="s">
        <v>243</v>
      </c>
      <c r="J94" s="104" t="s">
        <v>95</v>
      </c>
      <c r="K94" s="24" t="s">
        <v>452</v>
      </c>
      <c r="L94" s="24">
        <v>1</v>
      </c>
      <c r="M94" s="24" t="s">
        <v>505</v>
      </c>
      <c r="N94" s="56">
        <v>6</v>
      </c>
      <c r="O94" s="24">
        <v>59</v>
      </c>
      <c r="P94" s="24" t="s">
        <v>225</v>
      </c>
      <c r="Q94" s="296" t="s">
        <v>664</v>
      </c>
      <c r="R94" s="103" t="s">
        <v>877</v>
      </c>
      <c r="S94" s="102" t="s">
        <v>43</v>
      </c>
      <c r="T94" s="17" t="s">
        <v>7</v>
      </c>
      <c r="U94" s="55"/>
      <c r="V94" s="45" t="e">
        <f>MONTH(T:T)</f>
        <v>#VALUE!</v>
      </c>
      <c r="W94" s="17">
        <f>WEEKNUM(Tabela1[[#This Row],[Data da melhoria]])</f>
        <v>0</v>
      </c>
      <c r="X94" s="45"/>
      <c r="Y94" s="57" t="str">
        <f>IF(Tabela1[[#This Row],[Severidade]]&lt;100, "Baixa",IF(Tabela1[[#This Row],[Severidade]]&gt;=500, "Alta","Média"))</f>
        <v>Baixa</v>
      </c>
      <c r="Z94" s="57" t="str">
        <f>IF(Tabela1[[#This Row],[Severidade]]&gt;499, "+500",IF(Tabela1[[#This Row],[Severidade]]&lt;=500, "-500"))</f>
        <v>-500</v>
      </c>
      <c r="AA94" s="30" t="s">
        <v>7</v>
      </c>
      <c r="AB94" s="30"/>
      <c r="AC94" s="57">
        <f>MONTH(Tabela1[[#This Row],[Data]])</f>
        <v>8</v>
      </c>
      <c r="AD94" s="46">
        <f>HOUR(Tabela1[[#This Row],[Hora]])</f>
        <v>18</v>
      </c>
      <c r="AE94" s="46" t="str">
        <f t="shared" si="5"/>
        <v>Noite</v>
      </c>
    </row>
    <row r="95" spans="1:31" ht="29" x14ac:dyDescent="0.35">
      <c r="A95" s="55">
        <v>44805</v>
      </c>
      <c r="B95" s="214">
        <f t="shared" si="4"/>
        <v>5</v>
      </c>
      <c r="C95" s="47">
        <v>0.58472222222222225</v>
      </c>
      <c r="D95" s="45">
        <v>477</v>
      </c>
      <c r="E95" s="23">
        <v>26</v>
      </c>
      <c r="F95" s="321">
        <v>26</v>
      </c>
      <c r="G95" s="17" t="s">
        <v>8</v>
      </c>
      <c r="H95" s="104" t="s">
        <v>310</v>
      </c>
      <c r="I95" s="104" t="s">
        <v>311</v>
      </c>
      <c r="J95" s="104" t="s">
        <v>95</v>
      </c>
      <c r="K95" s="207" t="s">
        <v>411</v>
      </c>
      <c r="L95" s="24" t="s">
        <v>250</v>
      </c>
      <c r="M95" s="123" t="s">
        <v>565</v>
      </c>
      <c r="N95" s="24"/>
      <c r="O95" s="24">
        <v>60</v>
      </c>
      <c r="P95" s="24" t="s">
        <v>383</v>
      </c>
      <c r="Q95" s="350" t="s">
        <v>664</v>
      </c>
      <c r="R95" s="103" t="s">
        <v>12</v>
      </c>
      <c r="S95" s="271" t="s">
        <v>651</v>
      </c>
      <c r="T95" s="204" t="s">
        <v>12</v>
      </c>
      <c r="U95" s="202">
        <v>44851</v>
      </c>
      <c r="V95" s="45" t="e">
        <f>MONTH(T:T)</f>
        <v>#VALUE!</v>
      </c>
      <c r="W95" s="17">
        <f>WEEKNUM(Tabela1[[#This Row],[Data da melhoria]])</f>
        <v>43</v>
      </c>
      <c r="X95" s="204" t="s">
        <v>635</v>
      </c>
      <c r="Y95" s="57" t="str">
        <f>IF(Tabela1[[#This Row],[Severidade]]&lt;100, "Baixa",IF(Tabela1[[#This Row],[Severidade]]&gt;=500, "Alta","Média"))</f>
        <v>Média</v>
      </c>
      <c r="Z95" s="57" t="str">
        <f>IF(Tabela1[[#This Row],[Severidade]]&gt;499, "+500",IF(Tabela1[[#This Row],[Severidade]]&lt;=500, "-500"))</f>
        <v>-500</v>
      </c>
      <c r="AA95" s="30" t="s">
        <v>12</v>
      </c>
      <c r="AB95" s="30" t="s">
        <v>17</v>
      </c>
      <c r="AC95" s="57">
        <f>MONTH(Tabela1[[#This Row],[Data]])</f>
        <v>9</v>
      </c>
      <c r="AD95" s="46">
        <f>HOUR(Tabela1[[#This Row],[Hora]])</f>
        <v>14</v>
      </c>
      <c r="AE95" s="46" t="str">
        <f t="shared" si="5"/>
        <v>Tarde</v>
      </c>
    </row>
    <row r="96" spans="1:31" ht="29" x14ac:dyDescent="0.35">
      <c r="A96" s="55">
        <v>44805</v>
      </c>
      <c r="B96" s="214">
        <f t="shared" si="4"/>
        <v>5</v>
      </c>
      <c r="C96" s="47">
        <v>0.32500000000000001</v>
      </c>
      <c r="D96" s="45">
        <v>54</v>
      </c>
      <c r="E96" s="23">
        <v>36</v>
      </c>
      <c r="F96" s="321">
        <v>12</v>
      </c>
      <c r="G96" s="17" t="s">
        <v>8</v>
      </c>
      <c r="H96" s="104" t="s">
        <v>290</v>
      </c>
      <c r="I96" s="104" t="s">
        <v>291</v>
      </c>
      <c r="J96" s="104" t="s">
        <v>96</v>
      </c>
      <c r="K96" s="24" t="s">
        <v>478</v>
      </c>
      <c r="L96" s="24" t="s">
        <v>329</v>
      </c>
      <c r="M96" s="123" t="s">
        <v>867</v>
      </c>
      <c r="N96" s="24" t="s">
        <v>807</v>
      </c>
      <c r="O96" s="24">
        <v>23</v>
      </c>
      <c r="P96" s="24" t="s">
        <v>225</v>
      </c>
      <c r="Q96" s="296" t="s">
        <v>664</v>
      </c>
      <c r="R96" s="103" t="s">
        <v>7</v>
      </c>
      <c r="S96" s="102" t="s">
        <v>43</v>
      </c>
      <c r="T96" s="17" t="s">
        <v>7</v>
      </c>
      <c r="U96" s="55"/>
      <c r="V96" s="45" t="e">
        <f>MONTH(T:T)</f>
        <v>#VALUE!</v>
      </c>
      <c r="W96" s="17">
        <f>WEEKNUM(Tabela1[[#This Row],[Data da melhoria]])</f>
        <v>0</v>
      </c>
      <c r="X96" s="45"/>
      <c r="Y96" s="57" t="str">
        <f>IF(Tabela1[[#This Row],[Severidade]]&lt;100, "Baixa",IF(Tabela1[[#This Row],[Severidade]]&gt;=500, "Alta","Média"))</f>
        <v>Baixa</v>
      </c>
      <c r="Z96" s="57" t="str">
        <f>IF(Tabela1[[#This Row],[Severidade]]&gt;499, "+500",IF(Tabela1[[#This Row],[Severidade]]&lt;=500, "-500"))</f>
        <v>-500</v>
      </c>
      <c r="AA96" s="30" t="s">
        <v>7</v>
      </c>
      <c r="AB96" s="30"/>
      <c r="AC96" s="57">
        <f>MONTH(Tabela1[[#This Row],[Data]])</f>
        <v>9</v>
      </c>
      <c r="AD96" s="46">
        <f>HOUR(Tabela1[[#This Row],[Hora]])</f>
        <v>7</v>
      </c>
      <c r="AE96" s="46" t="str">
        <f t="shared" si="5"/>
        <v>Tarde</v>
      </c>
    </row>
    <row r="97" spans="1:31" ht="43.5" x14ac:dyDescent="0.35">
      <c r="A97" s="55">
        <v>44805</v>
      </c>
      <c r="B97" s="214">
        <f t="shared" si="4"/>
        <v>5</v>
      </c>
      <c r="C97" s="47">
        <v>0.35416666666666669</v>
      </c>
      <c r="D97" s="45">
        <v>74</v>
      </c>
      <c r="E97" s="23">
        <v>43</v>
      </c>
      <c r="F97" s="321">
        <v>12</v>
      </c>
      <c r="G97" s="17" t="s">
        <v>8</v>
      </c>
      <c r="H97" s="104" t="s">
        <v>296</v>
      </c>
      <c r="I97" s="104" t="s">
        <v>297</v>
      </c>
      <c r="J97" s="104" t="s">
        <v>96</v>
      </c>
      <c r="K97" s="24" t="s">
        <v>479</v>
      </c>
      <c r="L97" s="24" t="s">
        <v>329</v>
      </c>
      <c r="M97" s="123" t="s">
        <v>225</v>
      </c>
      <c r="N97" s="24" t="s">
        <v>807</v>
      </c>
      <c r="O97" s="24" t="s">
        <v>225</v>
      </c>
      <c r="P97" s="24" t="s">
        <v>225</v>
      </c>
      <c r="Q97" s="296" t="s">
        <v>664</v>
      </c>
      <c r="R97" s="103" t="s">
        <v>7</v>
      </c>
      <c r="S97" s="102" t="s">
        <v>43</v>
      </c>
      <c r="T97" s="17" t="s">
        <v>7</v>
      </c>
      <c r="U97" s="55"/>
      <c r="V97" s="45" t="e">
        <f>MONTH(T:T)</f>
        <v>#VALUE!</v>
      </c>
      <c r="W97" s="17">
        <f>WEEKNUM(Tabela1[[#This Row],[Data da melhoria]])</f>
        <v>0</v>
      </c>
      <c r="X97" s="45"/>
      <c r="Y97" s="57" t="str">
        <f>IF(Tabela1[[#This Row],[Severidade]]&lt;100, "Baixa",IF(Tabela1[[#This Row],[Severidade]]&gt;=500, "Alta","Média"))</f>
        <v>Baixa</v>
      </c>
      <c r="Z97" s="57" t="str">
        <f>IF(Tabela1[[#This Row],[Severidade]]&gt;499, "+500",IF(Tabela1[[#This Row],[Severidade]]&lt;=500, "-500"))</f>
        <v>-500</v>
      </c>
      <c r="AA97" s="30" t="s">
        <v>7</v>
      </c>
      <c r="AB97" s="30"/>
      <c r="AC97" s="57">
        <f>MONTH(Tabela1[[#This Row],[Data]])</f>
        <v>9</v>
      </c>
      <c r="AD97" s="46">
        <f>HOUR(Tabela1[[#This Row],[Hora]])</f>
        <v>8</v>
      </c>
      <c r="AE97" s="46" t="str">
        <f t="shared" si="5"/>
        <v>Tarde</v>
      </c>
    </row>
    <row r="98" spans="1:31" ht="29" x14ac:dyDescent="0.35">
      <c r="A98" s="55">
        <v>44805</v>
      </c>
      <c r="B98" s="214">
        <f t="shared" si="4"/>
        <v>5</v>
      </c>
      <c r="C98" s="47">
        <v>0.3611111111111111</v>
      </c>
      <c r="D98" s="45">
        <v>82</v>
      </c>
      <c r="E98" s="23">
        <v>45</v>
      </c>
      <c r="F98" s="321">
        <v>12</v>
      </c>
      <c r="G98" s="17" t="s">
        <v>8</v>
      </c>
      <c r="H98" s="104" t="s">
        <v>298</v>
      </c>
      <c r="I98" s="104" t="s">
        <v>299</v>
      </c>
      <c r="J98" s="104" t="s">
        <v>96</v>
      </c>
      <c r="K98" s="24" t="s">
        <v>478</v>
      </c>
      <c r="L98" s="24" t="s">
        <v>329</v>
      </c>
      <c r="M98" s="123" t="s">
        <v>498</v>
      </c>
      <c r="N98" s="24"/>
      <c r="O98" s="24">
        <v>24</v>
      </c>
      <c r="P98" s="24" t="s">
        <v>331</v>
      </c>
      <c r="Q98" s="296" t="s">
        <v>664</v>
      </c>
      <c r="R98" s="13" t="s">
        <v>12</v>
      </c>
      <c r="S98" s="100" t="s">
        <v>348</v>
      </c>
      <c r="T98" s="17" t="s">
        <v>12</v>
      </c>
      <c r="U98" s="55">
        <v>44829</v>
      </c>
      <c r="V98" s="45" t="e">
        <f>MONTH(T:T)</f>
        <v>#VALUE!</v>
      </c>
      <c r="W98" s="17">
        <f>WEEKNUM(Tabela1[[#This Row],[Data da melhoria]])</f>
        <v>40</v>
      </c>
      <c r="X98" s="45" t="s">
        <v>416</v>
      </c>
      <c r="Y98" s="57" t="str">
        <f>IF(Tabela1[[#This Row],[Severidade]]&lt;100, "Baixa",IF(Tabela1[[#This Row],[Severidade]]&gt;=500, "Alta","Média"))</f>
        <v>Baixa</v>
      </c>
      <c r="Z98" s="57" t="str">
        <f>IF(Tabela1[[#This Row],[Severidade]]&gt;499, "+500",IF(Tabela1[[#This Row],[Severidade]]&lt;=500, "-500"))</f>
        <v>-500</v>
      </c>
      <c r="AA98" s="30" t="s">
        <v>12</v>
      </c>
      <c r="AB98" s="30" t="s">
        <v>17</v>
      </c>
      <c r="AC98" s="57">
        <f>MONTH(Tabela1[[#This Row],[Data]])</f>
        <v>9</v>
      </c>
      <c r="AD98" s="46">
        <f>HOUR(Tabela1[[#This Row],[Hora]])</f>
        <v>8</v>
      </c>
      <c r="AE98" s="46" t="str">
        <f t="shared" si="5"/>
        <v>Tarde</v>
      </c>
    </row>
    <row r="99" spans="1:31" ht="43.5" x14ac:dyDescent="0.35">
      <c r="A99" s="55">
        <v>44805</v>
      </c>
      <c r="B99" s="214">
        <f t="shared" si="4"/>
        <v>5</v>
      </c>
      <c r="C99" s="47">
        <v>0.35347222222222219</v>
      </c>
      <c r="D99" s="45">
        <v>110</v>
      </c>
      <c r="E99" s="23">
        <v>53</v>
      </c>
      <c r="F99" s="321">
        <v>12</v>
      </c>
      <c r="G99" s="17" t="s">
        <v>8</v>
      </c>
      <c r="H99" s="104" t="s">
        <v>294</v>
      </c>
      <c r="I99" s="104" t="s">
        <v>295</v>
      </c>
      <c r="J99" s="104" t="s">
        <v>96</v>
      </c>
      <c r="K99" s="24" t="s">
        <v>451</v>
      </c>
      <c r="L99" s="24" t="s">
        <v>329</v>
      </c>
      <c r="M99" s="123" t="s">
        <v>225</v>
      </c>
      <c r="N99" s="24" t="s">
        <v>807</v>
      </c>
      <c r="O99" s="24" t="s">
        <v>225</v>
      </c>
      <c r="P99" s="24" t="s">
        <v>225</v>
      </c>
      <c r="Q99" s="296" t="s">
        <v>664</v>
      </c>
      <c r="R99" s="103" t="s">
        <v>7</v>
      </c>
      <c r="S99" s="102" t="s">
        <v>655</v>
      </c>
      <c r="T99" s="17" t="s">
        <v>7</v>
      </c>
      <c r="U99" s="55"/>
      <c r="V99" s="45" t="e">
        <f>MONTH(T:T)</f>
        <v>#VALUE!</v>
      </c>
      <c r="W99" s="17">
        <f>WEEKNUM(Tabela1[[#This Row],[Data da melhoria]])</f>
        <v>0</v>
      </c>
      <c r="X99" s="45"/>
      <c r="Y99" s="57" t="str">
        <f>IF(Tabela1[[#This Row],[Severidade]]&lt;100, "Baixa",IF(Tabela1[[#This Row],[Severidade]]&gt;=500, "Alta","Média"))</f>
        <v>Média</v>
      </c>
      <c r="Z99" s="57" t="str">
        <f>IF(Tabela1[[#This Row],[Severidade]]&gt;499, "+500",IF(Tabela1[[#This Row],[Severidade]]&lt;=500, "-500"))</f>
        <v>-500</v>
      </c>
      <c r="AA99" s="30" t="s">
        <v>7</v>
      </c>
      <c r="AB99" s="30"/>
      <c r="AC99" s="57">
        <f>MONTH(Tabela1[[#This Row],[Data]])</f>
        <v>9</v>
      </c>
      <c r="AD99" s="46">
        <f>HOUR(Tabela1[[#This Row],[Hora]])</f>
        <v>8</v>
      </c>
      <c r="AE99" s="46" t="str">
        <f t="shared" si="5"/>
        <v>Tarde</v>
      </c>
    </row>
    <row r="100" spans="1:31" ht="29" x14ac:dyDescent="0.35">
      <c r="A100" s="55">
        <v>44805</v>
      </c>
      <c r="B100" s="214">
        <f t="shared" si="4"/>
        <v>5</v>
      </c>
      <c r="C100" s="47">
        <v>0.45069444444444445</v>
      </c>
      <c r="D100" s="45">
        <v>80</v>
      </c>
      <c r="E100" s="23">
        <v>53</v>
      </c>
      <c r="F100" s="321">
        <v>12</v>
      </c>
      <c r="G100" s="17" t="s">
        <v>8</v>
      </c>
      <c r="H100" s="104" t="s">
        <v>308</v>
      </c>
      <c r="I100" s="104" t="s">
        <v>309</v>
      </c>
      <c r="J100" s="104" t="s">
        <v>96</v>
      </c>
      <c r="K100" s="24" t="s">
        <v>478</v>
      </c>
      <c r="L100" s="24" t="s">
        <v>329</v>
      </c>
      <c r="M100" s="123" t="s">
        <v>498</v>
      </c>
      <c r="N100" s="24"/>
      <c r="O100" s="24">
        <v>24</v>
      </c>
      <c r="P100" s="24" t="s">
        <v>331</v>
      </c>
      <c r="Q100" s="296" t="s">
        <v>664</v>
      </c>
      <c r="R100" s="13" t="s">
        <v>12</v>
      </c>
      <c r="S100" s="100" t="s">
        <v>655</v>
      </c>
      <c r="T100" s="17" t="s">
        <v>12</v>
      </c>
      <c r="U100" s="55">
        <v>44829</v>
      </c>
      <c r="V100" s="45" t="e">
        <f>MONTH(T:T)</f>
        <v>#VALUE!</v>
      </c>
      <c r="W100" s="17">
        <f>WEEKNUM(Tabela1[[#This Row],[Data da melhoria]])</f>
        <v>40</v>
      </c>
      <c r="X100" s="45" t="s">
        <v>416</v>
      </c>
      <c r="Y100" s="57" t="str">
        <f>IF(Tabela1[[#This Row],[Severidade]]&lt;100, "Baixa",IF(Tabela1[[#This Row],[Severidade]]&gt;=500, "Alta","Média"))</f>
        <v>Baixa</v>
      </c>
      <c r="Z100" s="57" t="str">
        <f>IF(Tabela1[[#This Row],[Severidade]]&gt;499, "+500",IF(Tabela1[[#This Row],[Severidade]]&lt;=500, "-500"))</f>
        <v>-500</v>
      </c>
      <c r="AA100" s="30" t="s">
        <v>12</v>
      </c>
      <c r="AB100" s="30" t="s">
        <v>17</v>
      </c>
      <c r="AC100" s="57">
        <f>MONTH(Tabela1[[#This Row],[Data]])</f>
        <v>9</v>
      </c>
      <c r="AD100" s="46">
        <f>HOUR(Tabela1[[#This Row],[Hora]])</f>
        <v>10</v>
      </c>
      <c r="AE100" s="46" t="str">
        <f t="shared" si="5"/>
        <v>Tarde</v>
      </c>
    </row>
    <row r="101" spans="1:31" ht="29" x14ac:dyDescent="0.35">
      <c r="A101" s="55">
        <v>44805</v>
      </c>
      <c r="B101" s="214">
        <f t="shared" si="4"/>
        <v>5</v>
      </c>
      <c r="C101" s="47">
        <v>0.3354166666666667</v>
      </c>
      <c r="D101" s="45">
        <v>71</v>
      </c>
      <c r="E101" s="23">
        <v>56</v>
      </c>
      <c r="F101" s="321">
        <v>12</v>
      </c>
      <c r="G101" s="17" t="s">
        <v>8</v>
      </c>
      <c r="H101" s="104" t="s">
        <v>292</v>
      </c>
      <c r="I101" s="104" t="s">
        <v>293</v>
      </c>
      <c r="J101" s="104" t="s">
        <v>96</v>
      </c>
      <c r="K101" s="24" t="s">
        <v>478</v>
      </c>
      <c r="L101" s="24" t="s">
        <v>329</v>
      </c>
      <c r="M101" s="123" t="s">
        <v>225</v>
      </c>
      <c r="N101" s="24" t="s">
        <v>807</v>
      </c>
      <c r="O101" s="24" t="s">
        <v>225</v>
      </c>
      <c r="P101" s="24" t="s">
        <v>225</v>
      </c>
      <c r="Q101" s="296" t="s">
        <v>664</v>
      </c>
      <c r="R101" s="103" t="s">
        <v>7</v>
      </c>
      <c r="S101" s="102" t="s">
        <v>655</v>
      </c>
      <c r="T101" s="17" t="s">
        <v>7</v>
      </c>
      <c r="U101" s="55"/>
      <c r="V101" s="45" t="e">
        <f>MONTH(T:T)</f>
        <v>#VALUE!</v>
      </c>
      <c r="W101" s="17">
        <f>WEEKNUM(Tabela1[[#This Row],[Data da melhoria]])</f>
        <v>0</v>
      </c>
      <c r="X101" s="45"/>
      <c r="Y101" s="57" t="str">
        <f>IF(Tabela1[[#This Row],[Severidade]]&lt;100, "Baixa",IF(Tabela1[[#This Row],[Severidade]]&gt;=500, "Alta","Média"))</f>
        <v>Baixa</v>
      </c>
      <c r="Z101" s="57" t="str">
        <f>IF(Tabela1[[#This Row],[Severidade]]&gt;499, "+500",IF(Tabela1[[#This Row],[Severidade]]&lt;=500, "-500"))</f>
        <v>-500</v>
      </c>
      <c r="AA101" s="30" t="s">
        <v>7</v>
      </c>
      <c r="AB101" s="30"/>
      <c r="AC101" s="57">
        <f>MONTH(Tabela1[[#This Row],[Data]])</f>
        <v>9</v>
      </c>
      <c r="AD101" s="46">
        <f>HOUR(Tabela1[[#This Row],[Hora]])</f>
        <v>8</v>
      </c>
      <c r="AE101" s="46" t="str">
        <f t="shared" si="5"/>
        <v>Tarde</v>
      </c>
    </row>
    <row r="102" spans="1:31" ht="43.5" x14ac:dyDescent="0.35">
      <c r="A102" s="55">
        <v>44805</v>
      </c>
      <c r="B102" s="214">
        <f t="shared" ref="B102:B133" si="6">WEEKDAY(A102)</f>
        <v>5</v>
      </c>
      <c r="C102" s="47">
        <v>0.38958333333333334</v>
      </c>
      <c r="D102" s="45">
        <v>92</v>
      </c>
      <c r="E102" s="23">
        <v>56</v>
      </c>
      <c r="F102" s="321">
        <v>12</v>
      </c>
      <c r="G102" s="17" t="s">
        <v>8</v>
      </c>
      <c r="H102" s="104" t="s">
        <v>302</v>
      </c>
      <c r="I102" s="104" t="s">
        <v>303</v>
      </c>
      <c r="J102" s="104" t="s">
        <v>96</v>
      </c>
      <c r="K102" s="24" t="s">
        <v>451</v>
      </c>
      <c r="L102" s="24" t="s">
        <v>329</v>
      </c>
      <c r="M102" s="123" t="s">
        <v>225</v>
      </c>
      <c r="N102" s="24" t="s">
        <v>807</v>
      </c>
      <c r="O102" s="24" t="s">
        <v>225</v>
      </c>
      <c r="P102" s="24" t="s">
        <v>225</v>
      </c>
      <c r="Q102" s="296" t="s">
        <v>664</v>
      </c>
      <c r="R102" s="103" t="s">
        <v>7</v>
      </c>
      <c r="S102" s="102" t="s">
        <v>655</v>
      </c>
      <c r="T102" s="17" t="s">
        <v>7</v>
      </c>
      <c r="U102" s="55"/>
      <c r="V102" s="45" t="e">
        <f>MONTH(T:T)</f>
        <v>#VALUE!</v>
      </c>
      <c r="W102" s="17">
        <f>WEEKNUM(Tabela1[[#This Row],[Data da melhoria]])</f>
        <v>0</v>
      </c>
      <c r="X102" s="45"/>
      <c r="Y102" s="57" t="str">
        <f>IF(Tabela1[[#This Row],[Severidade]]&lt;100, "Baixa",IF(Tabela1[[#This Row],[Severidade]]&gt;=500, "Alta","Média"))</f>
        <v>Baixa</v>
      </c>
      <c r="Z102" s="57" t="str">
        <f>IF(Tabela1[[#This Row],[Severidade]]&gt;499, "+500",IF(Tabela1[[#This Row],[Severidade]]&lt;=500, "-500"))</f>
        <v>-500</v>
      </c>
      <c r="AA102" s="30" t="s">
        <v>7</v>
      </c>
      <c r="AB102" s="30"/>
      <c r="AC102" s="57">
        <f>MONTH(Tabela1[[#This Row],[Data]])</f>
        <v>9</v>
      </c>
      <c r="AD102" s="46">
        <f>HOUR(Tabela1[[#This Row],[Hora]])</f>
        <v>9</v>
      </c>
      <c r="AE102" s="46" t="str">
        <f t="shared" ref="AE102:AE133" si="7">IF(AND(AD102&gt;=6,AD102&lt;18),"Tarde","Noite")</f>
        <v>Tarde</v>
      </c>
    </row>
    <row r="103" spans="1:31" ht="29" x14ac:dyDescent="0.35">
      <c r="A103" s="55">
        <v>44805</v>
      </c>
      <c r="B103" s="214">
        <f t="shared" si="6"/>
        <v>5</v>
      </c>
      <c r="C103" s="47">
        <v>0.39583333333333331</v>
      </c>
      <c r="D103" s="45">
        <v>59</v>
      </c>
      <c r="E103" s="23">
        <v>57</v>
      </c>
      <c r="F103" s="321">
        <v>12</v>
      </c>
      <c r="G103" s="17" t="s">
        <v>8</v>
      </c>
      <c r="H103" s="104" t="s">
        <v>304</v>
      </c>
      <c r="I103" s="104" t="s">
        <v>305</v>
      </c>
      <c r="J103" s="104" t="s">
        <v>96</v>
      </c>
      <c r="K103" s="24" t="s">
        <v>478</v>
      </c>
      <c r="L103" s="24" t="s">
        <v>329</v>
      </c>
      <c r="M103" s="123" t="s">
        <v>498</v>
      </c>
      <c r="N103" s="24"/>
      <c r="O103" s="24">
        <v>24</v>
      </c>
      <c r="P103" s="24" t="s">
        <v>331</v>
      </c>
      <c r="Q103" s="296" t="s">
        <v>664</v>
      </c>
      <c r="R103" s="13" t="s">
        <v>12</v>
      </c>
      <c r="S103" s="100" t="s">
        <v>655</v>
      </c>
      <c r="T103" s="17" t="s">
        <v>12</v>
      </c>
      <c r="U103" s="55">
        <v>44829</v>
      </c>
      <c r="V103" s="45" t="e">
        <f>MONTH(T:T)</f>
        <v>#VALUE!</v>
      </c>
      <c r="W103" s="17">
        <f>WEEKNUM(Tabela1[[#This Row],[Data da melhoria]])</f>
        <v>40</v>
      </c>
      <c r="X103" s="45" t="s">
        <v>416</v>
      </c>
      <c r="Y103" s="57" t="str">
        <f>IF(Tabela1[[#This Row],[Severidade]]&lt;100, "Baixa",IF(Tabela1[[#This Row],[Severidade]]&gt;=500, "Alta","Média"))</f>
        <v>Baixa</v>
      </c>
      <c r="Z103" s="57" t="str">
        <f>IF(Tabela1[[#This Row],[Severidade]]&gt;499, "+500",IF(Tabela1[[#This Row],[Severidade]]&lt;=500, "-500"))</f>
        <v>-500</v>
      </c>
      <c r="AA103" s="30" t="s">
        <v>12</v>
      </c>
      <c r="AB103" s="30" t="s">
        <v>17</v>
      </c>
      <c r="AC103" s="57">
        <f>MONTH(Tabela1[[#This Row],[Data]])</f>
        <v>9</v>
      </c>
      <c r="AD103" s="46">
        <f>HOUR(Tabela1[[#This Row],[Hora]])</f>
        <v>9</v>
      </c>
      <c r="AE103" s="46" t="str">
        <f t="shared" si="7"/>
        <v>Tarde</v>
      </c>
    </row>
    <row r="104" spans="1:31" ht="43.5" x14ac:dyDescent="0.35">
      <c r="A104" s="55">
        <v>44805</v>
      </c>
      <c r="B104" s="214">
        <f t="shared" si="6"/>
        <v>5</v>
      </c>
      <c r="C104" s="47">
        <v>0.32291666666666669</v>
      </c>
      <c r="D104" s="45">
        <v>158</v>
      </c>
      <c r="E104" s="23">
        <v>58</v>
      </c>
      <c r="F104" s="321">
        <v>12</v>
      </c>
      <c r="G104" s="17" t="s">
        <v>8</v>
      </c>
      <c r="H104" s="104" t="s">
        <v>286</v>
      </c>
      <c r="I104" s="104" t="s">
        <v>287</v>
      </c>
      <c r="J104" s="104" t="s">
        <v>96</v>
      </c>
      <c r="K104" s="24" t="s">
        <v>656</v>
      </c>
      <c r="L104" s="24" t="s">
        <v>329</v>
      </c>
      <c r="M104" s="24" t="s">
        <v>499</v>
      </c>
      <c r="N104" s="24"/>
      <c r="O104" s="24">
        <v>26</v>
      </c>
      <c r="P104" s="24" t="s">
        <v>225</v>
      </c>
      <c r="Q104" s="296" t="s">
        <v>664</v>
      </c>
      <c r="R104" s="103" t="s">
        <v>12</v>
      </c>
      <c r="S104" s="102" t="s">
        <v>735</v>
      </c>
      <c r="T104" s="17" t="s">
        <v>12</v>
      </c>
      <c r="U104" s="55">
        <v>44829</v>
      </c>
      <c r="V104" s="45" t="e">
        <f>MONTH(T:T)</f>
        <v>#VALUE!</v>
      </c>
      <c r="W104" s="17">
        <f>WEEKNUM(Tabela1[[#This Row],[Data da melhoria]])</f>
        <v>40</v>
      </c>
      <c r="X104" s="24" t="s">
        <v>416</v>
      </c>
      <c r="Y104" s="57" t="str">
        <f>IF(Tabela1[[#This Row],[Severidade]]&lt;100, "Baixa",IF(Tabela1[[#This Row],[Severidade]]&gt;=500, "Alta","Média"))</f>
        <v>Média</v>
      </c>
      <c r="Z104" s="57" t="str">
        <f>IF(Tabela1[[#This Row],[Severidade]]&gt;499, "+500",IF(Tabela1[[#This Row],[Severidade]]&lt;=500, "-500"))</f>
        <v>-500</v>
      </c>
      <c r="AA104" s="30" t="s">
        <v>7</v>
      </c>
      <c r="AB104" s="30" t="s">
        <v>15</v>
      </c>
      <c r="AC104" s="57">
        <f>MONTH(Tabela1[[#This Row],[Data]])</f>
        <v>9</v>
      </c>
      <c r="AD104" s="46">
        <f>HOUR(Tabela1[[#This Row],[Hora]])</f>
        <v>7</v>
      </c>
      <c r="AE104" s="46" t="str">
        <f t="shared" si="7"/>
        <v>Tarde</v>
      </c>
    </row>
    <row r="105" spans="1:31" ht="29" x14ac:dyDescent="0.35">
      <c r="A105" s="55">
        <v>44805</v>
      </c>
      <c r="B105" s="214">
        <f t="shared" si="6"/>
        <v>5</v>
      </c>
      <c r="C105" s="47">
        <v>0.32430555555555557</v>
      </c>
      <c r="D105" s="122">
        <v>167</v>
      </c>
      <c r="E105" s="23">
        <v>58</v>
      </c>
      <c r="F105" s="321">
        <v>12</v>
      </c>
      <c r="G105" s="17" t="s">
        <v>8</v>
      </c>
      <c r="H105" s="104" t="s">
        <v>288</v>
      </c>
      <c r="I105" s="104" t="s">
        <v>289</v>
      </c>
      <c r="J105" s="104" t="s">
        <v>96</v>
      </c>
      <c r="K105" s="24" t="s">
        <v>478</v>
      </c>
      <c r="L105" s="24" t="s">
        <v>329</v>
      </c>
      <c r="M105" s="123" t="s">
        <v>498</v>
      </c>
      <c r="N105" s="24"/>
      <c r="O105" s="24">
        <v>24</v>
      </c>
      <c r="P105" s="24" t="s">
        <v>331</v>
      </c>
      <c r="Q105" s="296" t="s">
        <v>664</v>
      </c>
      <c r="R105" s="13" t="s">
        <v>12</v>
      </c>
      <c r="S105" s="100" t="s">
        <v>655</v>
      </c>
      <c r="T105" s="17" t="s">
        <v>12</v>
      </c>
      <c r="U105" s="55">
        <v>44829</v>
      </c>
      <c r="V105" s="45" t="e">
        <f>MONTH(T:T)</f>
        <v>#VALUE!</v>
      </c>
      <c r="W105" s="17">
        <f>WEEKNUM(Tabela1[[#This Row],[Data da melhoria]])</f>
        <v>40</v>
      </c>
      <c r="X105" s="45" t="s">
        <v>416</v>
      </c>
      <c r="Y105" s="57" t="str">
        <f>IF(Tabela1[[#This Row],[Severidade]]&lt;100, "Baixa",IF(Tabela1[[#This Row],[Severidade]]&gt;=500, "Alta","Média"))</f>
        <v>Média</v>
      </c>
      <c r="Z105" s="57" t="str">
        <f>IF(Tabela1[[#This Row],[Severidade]]&gt;499, "+500",IF(Tabela1[[#This Row],[Severidade]]&lt;=500, "-500"))</f>
        <v>-500</v>
      </c>
      <c r="AA105" s="30" t="s">
        <v>12</v>
      </c>
      <c r="AB105" s="30" t="s">
        <v>17</v>
      </c>
      <c r="AC105" s="57">
        <f>MONTH(Tabela1[[#This Row],[Data]])</f>
        <v>9</v>
      </c>
      <c r="AD105" s="46">
        <f>HOUR(Tabela1[[#This Row],[Hora]])</f>
        <v>7</v>
      </c>
      <c r="AE105" s="46" t="str">
        <f t="shared" si="7"/>
        <v>Tarde</v>
      </c>
    </row>
    <row r="106" spans="1:31" ht="29" x14ac:dyDescent="0.35">
      <c r="A106" s="55">
        <v>44805</v>
      </c>
      <c r="B106" s="214">
        <f t="shared" si="6"/>
        <v>5</v>
      </c>
      <c r="C106" s="47">
        <v>0.36874999999999997</v>
      </c>
      <c r="D106" s="45">
        <v>163</v>
      </c>
      <c r="E106" s="23">
        <v>59</v>
      </c>
      <c r="F106" s="321">
        <v>12</v>
      </c>
      <c r="G106" s="17" t="s">
        <v>8</v>
      </c>
      <c r="H106" s="104" t="s">
        <v>300</v>
      </c>
      <c r="I106" s="104" t="s">
        <v>301</v>
      </c>
      <c r="J106" s="104" t="s">
        <v>96</v>
      </c>
      <c r="K106" s="24" t="s">
        <v>878</v>
      </c>
      <c r="L106" s="24" t="s">
        <v>329</v>
      </c>
      <c r="M106" s="123" t="s">
        <v>875</v>
      </c>
      <c r="N106" s="24" t="s">
        <v>807</v>
      </c>
      <c r="O106" s="24">
        <v>25</v>
      </c>
      <c r="P106" s="24" t="s">
        <v>225</v>
      </c>
      <c r="Q106" s="296" t="s">
        <v>664</v>
      </c>
      <c r="R106" s="103" t="s">
        <v>7</v>
      </c>
      <c r="S106" s="102" t="s">
        <v>655</v>
      </c>
      <c r="T106" s="17" t="s">
        <v>7</v>
      </c>
      <c r="U106" s="55"/>
      <c r="V106" s="45" t="e">
        <f>MONTH(T:T)</f>
        <v>#VALUE!</v>
      </c>
      <c r="W106" s="17">
        <f>WEEKNUM(Tabela1[[#This Row],[Data da melhoria]])</f>
        <v>0</v>
      </c>
      <c r="X106" s="45" t="s">
        <v>416</v>
      </c>
      <c r="Y106" s="57" t="str">
        <f>IF(Tabela1[[#This Row],[Severidade]]&lt;100, "Baixa",IF(Tabela1[[#This Row],[Severidade]]&gt;=500, "Alta","Média"))</f>
        <v>Média</v>
      </c>
      <c r="Z106" s="57" t="str">
        <f>IF(Tabela1[[#This Row],[Severidade]]&gt;499, "+500",IF(Tabela1[[#This Row],[Severidade]]&lt;=500, "-500"))</f>
        <v>-500</v>
      </c>
      <c r="AA106" s="30" t="s">
        <v>7</v>
      </c>
      <c r="AB106" s="30"/>
      <c r="AC106" s="57">
        <f>MONTH(Tabela1[[#This Row],[Data]])</f>
        <v>9</v>
      </c>
      <c r="AD106" s="46">
        <f>HOUR(Tabela1[[#This Row],[Hora]])</f>
        <v>8</v>
      </c>
      <c r="AE106" s="46" t="str">
        <f t="shared" si="7"/>
        <v>Tarde</v>
      </c>
    </row>
    <row r="107" spans="1:31" ht="29" x14ac:dyDescent="0.35">
      <c r="A107" s="55">
        <v>44805</v>
      </c>
      <c r="B107" s="214">
        <f t="shared" si="6"/>
        <v>5</v>
      </c>
      <c r="C107" s="47">
        <v>0.44930555555555557</v>
      </c>
      <c r="D107" s="45">
        <v>102</v>
      </c>
      <c r="E107" s="23">
        <v>59</v>
      </c>
      <c r="F107" s="321">
        <v>12</v>
      </c>
      <c r="G107" s="17" t="s">
        <v>8</v>
      </c>
      <c r="H107" s="104" t="s">
        <v>306</v>
      </c>
      <c r="I107" s="104" t="s">
        <v>307</v>
      </c>
      <c r="J107" s="104" t="s">
        <v>96</v>
      </c>
      <c r="K107" s="24" t="s">
        <v>878</v>
      </c>
      <c r="L107" s="24" t="s">
        <v>329</v>
      </c>
      <c r="M107" s="123" t="s">
        <v>876</v>
      </c>
      <c r="N107" s="24" t="s">
        <v>807</v>
      </c>
      <c r="O107" s="24">
        <v>25</v>
      </c>
      <c r="P107" s="24" t="s">
        <v>225</v>
      </c>
      <c r="Q107" s="296" t="s">
        <v>664</v>
      </c>
      <c r="R107" s="103" t="s">
        <v>7</v>
      </c>
      <c r="S107" s="102" t="s">
        <v>655</v>
      </c>
      <c r="T107" s="17" t="s">
        <v>7</v>
      </c>
      <c r="U107" s="55"/>
      <c r="V107" s="45" t="e">
        <f>MONTH(T:T)</f>
        <v>#VALUE!</v>
      </c>
      <c r="W107" s="17">
        <f>WEEKNUM(Tabela1[[#This Row],[Data da melhoria]])</f>
        <v>0</v>
      </c>
      <c r="X107" s="45" t="s">
        <v>416</v>
      </c>
      <c r="Y107" s="57" t="str">
        <f>IF(Tabela1[[#This Row],[Severidade]]&lt;100, "Baixa",IF(Tabela1[[#This Row],[Severidade]]&gt;=500, "Alta","Média"))</f>
        <v>Média</v>
      </c>
      <c r="Z107" s="57" t="str">
        <f>IF(Tabela1[[#This Row],[Severidade]]&gt;499, "+500",IF(Tabela1[[#This Row],[Severidade]]&lt;=500, "-500"))</f>
        <v>-500</v>
      </c>
      <c r="AA107" s="30" t="s">
        <v>7</v>
      </c>
      <c r="AB107" s="30"/>
      <c r="AC107" s="57">
        <f>MONTH(Tabela1[[#This Row],[Data]])</f>
        <v>9</v>
      </c>
      <c r="AD107" s="46">
        <f>HOUR(Tabela1[[#This Row],[Hora]])</f>
        <v>10</v>
      </c>
      <c r="AE107" s="46" t="str">
        <f t="shared" si="7"/>
        <v>Tarde</v>
      </c>
    </row>
    <row r="108" spans="1:31" ht="29" x14ac:dyDescent="0.35">
      <c r="A108" s="55">
        <v>44805</v>
      </c>
      <c r="B108" s="214">
        <f t="shared" si="6"/>
        <v>5</v>
      </c>
      <c r="C108" s="47">
        <v>0.62986111111111109</v>
      </c>
      <c r="D108" s="45">
        <v>66</v>
      </c>
      <c r="E108" s="23">
        <v>64</v>
      </c>
      <c r="F108" s="321">
        <v>26</v>
      </c>
      <c r="G108" s="17" t="s">
        <v>8</v>
      </c>
      <c r="H108" s="104" t="s">
        <v>312</v>
      </c>
      <c r="I108" s="104" t="s">
        <v>313</v>
      </c>
      <c r="J108" s="104" t="s">
        <v>95</v>
      </c>
      <c r="K108" s="24" t="s">
        <v>480</v>
      </c>
      <c r="L108" s="24">
        <v>2</v>
      </c>
      <c r="M108" s="123" t="s">
        <v>648</v>
      </c>
      <c r="N108" s="24" t="s">
        <v>807</v>
      </c>
      <c r="O108" s="24">
        <v>33</v>
      </c>
      <c r="P108" s="24" t="s">
        <v>225</v>
      </c>
      <c r="Q108" s="296" t="s">
        <v>664</v>
      </c>
      <c r="R108" s="103" t="s">
        <v>7</v>
      </c>
      <c r="S108" s="102" t="s">
        <v>43</v>
      </c>
      <c r="T108" s="17" t="s">
        <v>7</v>
      </c>
      <c r="U108" s="55"/>
      <c r="V108" s="45" t="e">
        <f>MONTH(T:T)</f>
        <v>#VALUE!</v>
      </c>
      <c r="W108" s="17">
        <f>WEEKNUM(Tabela1[[#This Row],[Data da melhoria]])</f>
        <v>0</v>
      </c>
      <c r="X108" s="45" t="s">
        <v>416</v>
      </c>
      <c r="Y108" s="57" t="str">
        <f>IF(Tabela1[[#This Row],[Severidade]]&lt;100, "Baixa",IF(Tabela1[[#This Row],[Severidade]]&gt;=500, "Alta","Média"))</f>
        <v>Baixa</v>
      </c>
      <c r="Z108" s="57" t="str">
        <f>IF(Tabela1[[#This Row],[Severidade]]&gt;499, "+500",IF(Tabela1[[#This Row],[Severidade]]&lt;=500, "-500"))</f>
        <v>-500</v>
      </c>
      <c r="AA108" s="30" t="s">
        <v>7</v>
      </c>
      <c r="AB108" s="30"/>
      <c r="AC108" s="57">
        <f>MONTH(Tabela1[[#This Row],[Data]])</f>
        <v>9</v>
      </c>
      <c r="AD108" s="46">
        <f>HOUR(Tabela1[[#This Row],[Hora]])</f>
        <v>15</v>
      </c>
      <c r="AE108" s="46" t="str">
        <f t="shared" si="7"/>
        <v>Tarde</v>
      </c>
    </row>
    <row r="109" spans="1:31" ht="43.5" x14ac:dyDescent="0.35">
      <c r="A109" s="55">
        <v>44805</v>
      </c>
      <c r="B109" s="214">
        <f t="shared" si="6"/>
        <v>5</v>
      </c>
      <c r="C109" s="47">
        <v>0.31875000000000003</v>
      </c>
      <c r="D109" s="45">
        <v>475</v>
      </c>
      <c r="E109" s="23" t="s">
        <v>283</v>
      </c>
      <c r="F109" s="321">
        <v>26</v>
      </c>
      <c r="G109" s="17" t="s">
        <v>8</v>
      </c>
      <c r="H109" s="104" t="s">
        <v>284</v>
      </c>
      <c r="I109" s="104" t="s">
        <v>285</v>
      </c>
      <c r="J109" s="104" t="s">
        <v>96</v>
      </c>
      <c r="K109" s="24" t="s">
        <v>451</v>
      </c>
      <c r="L109" s="24" t="s">
        <v>329</v>
      </c>
      <c r="M109" s="123" t="s">
        <v>225</v>
      </c>
      <c r="N109" s="24" t="s">
        <v>807</v>
      </c>
      <c r="O109" s="24" t="s">
        <v>225</v>
      </c>
      <c r="P109" s="24" t="s">
        <v>225</v>
      </c>
      <c r="Q109" s="296" t="s">
        <v>664</v>
      </c>
      <c r="R109" s="103" t="s">
        <v>7</v>
      </c>
      <c r="S109" s="102" t="s">
        <v>43</v>
      </c>
      <c r="T109" s="17" t="s">
        <v>7</v>
      </c>
      <c r="U109" s="55"/>
      <c r="V109" s="45" t="e">
        <f>MONTH(T:T)</f>
        <v>#VALUE!</v>
      </c>
      <c r="W109" s="17">
        <f>WEEKNUM(Tabela1[[#This Row],[Data da melhoria]])</f>
        <v>0</v>
      </c>
      <c r="X109" s="45"/>
      <c r="Y109" s="57" t="str">
        <f>IF(Tabela1[[#This Row],[Severidade]]&lt;100, "Baixa",IF(Tabela1[[#This Row],[Severidade]]&gt;=500, "Alta","Média"))</f>
        <v>Média</v>
      </c>
      <c r="Z109" s="57" t="str">
        <f>IF(Tabela1[[#This Row],[Severidade]]&gt;499, "+500",IF(Tabela1[[#This Row],[Severidade]]&lt;=500, "-500"))</f>
        <v>-500</v>
      </c>
      <c r="AA109" s="30" t="s">
        <v>7</v>
      </c>
      <c r="AB109" s="30"/>
      <c r="AC109" s="57">
        <f>MONTH(Tabela1[[#This Row],[Data]])</f>
        <v>9</v>
      </c>
      <c r="AD109" s="46">
        <f>HOUR(Tabela1[[#This Row],[Hora]])</f>
        <v>7</v>
      </c>
      <c r="AE109" s="46" t="str">
        <f t="shared" si="7"/>
        <v>Tarde</v>
      </c>
    </row>
    <row r="110" spans="1:31" ht="29" x14ac:dyDescent="0.35">
      <c r="A110" s="55">
        <v>44805</v>
      </c>
      <c r="B110" s="214">
        <f t="shared" si="6"/>
        <v>5</v>
      </c>
      <c r="C110" s="47">
        <v>0.28541666666666665</v>
      </c>
      <c r="D110" s="45">
        <v>76</v>
      </c>
      <c r="E110" s="23" t="s">
        <v>280</v>
      </c>
      <c r="F110" s="321">
        <v>12</v>
      </c>
      <c r="G110" s="17" t="s">
        <v>8</v>
      </c>
      <c r="H110" s="104" t="s">
        <v>281</v>
      </c>
      <c r="I110" s="104" t="s">
        <v>282</v>
      </c>
      <c r="J110" s="104" t="s">
        <v>96</v>
      </c>
      <c r="K110" s="24" t="s">
        <v>457</v>
      </c>
      <c r="L110" s="24" t="s">
        <v>329</v>
      </c>
      <c r="M110" s="123" t="s">
        <v>225</v>
      </c>
      <c r="N110" s="24" t="s">
        <v>807</v>
      </c>
      <c r="O110" s="24" t="s">
        <v>225</v>
      </c>
      <c r="P110" s="24" t="s">
        <v>225</v>
      </c>
      <c r="Q110" s="296" t="s">
        <v>664</v>
      </c>
      <c r="R110" s="103" t="s">
        <v>7</v>
      </c>
      <c r="S110" s="102" t="s">
        <v>43</v>
      </c>
      <c r="T110" s="17" t="s">
        <v>7</v>
      </c>
      <c r="U110" s="55"/>
      <c r="V110" s="45" t="e">
        <f>MONTH(T:T)</f>
        <v>#VALUE!</v>
      </c>
      <c r="W110" s="17">
        <f>WEEKNUM(Tabela1[[#This Row],[Data da melhoria]])</f>
        <v>0</v>
      </c>
      <c r="X110" s="45"/>
      <c r="Y110" s="57" t="str">
        <f>IF(Tabela1[[#This Row],[Severidade]]&lt;100, "Baixa",IF(Tabela1[[#This Row],[Severidade]]&gt;=500, "Alta","Média"))</f>
        <v>Baixa</v>
      </c>
      <c r="Z110" s="57" t="str">
        <f>IF(Tabela1[[#This Row],[Severidade]]&gt;499, "+500",IF(Tabela1[[#This Row],[Severidade]]&lt;=500, "-500"))</f>
        <v>-500</v>
      </c>
      <c r="AA110" s="30" t="s">
        <v>7</v>
      </c>
      <c r="AB110" s="30"/>
      <c r="AC110" s="57">
        <f>MONTH(Tabela1[[#This Row],[Data]])</f>
        <v>9</v>
      </c>
      <c r="AD110" s="46">
        <f>HOUR(Tabela1[[#This Row],[Hora]])</f>
        <v>6</v>
      </c>
      <c r="AE110" s="46" t="str">
        <f t="shared" si="7"/>
        <v>Tarde</v>
      </c>
    </row>
    <row r="111" spans="1:31" ht="29" x14ac:dyDescent="0.35">
      <c r="A111" s="55">
        <v>44807</v>
      </c>
      <c r="B111" s="214">
        <f t="shared" si="6"/>
        <v>7</v>
      </c>
      <c r="C111" s="47">
        <v>0.48402777777777778</v>
      </c>
      <c r="D111" s="45">
        <v>603</v>
      </c>
      <c r="E111" s="23">
        <v>53</v>
      </c>
      <c r="F111" s="321">
        <v>29</v>
      </c>
      <c r="G111" s="17" t="s">
        <v>8</v>
      </c>
      <c r="H111" s="104" t="s">
        <v>322</v>
      </c>
      <c r="I111" s="104" t="s">
        <v>323</v>
      </c>
      <c r="J111" s="104" t="s">
        <v>96</v>
      </c>
      <c r="K111" s="24" t="s">
        <v>478</v>
      </c>
      <c r="L111" s="24" t="s">
        <v>329</v>
      </c>
      <c r="M111" s="123" t="s">
        <v>498</v>
      </c>
      <c r="N111" s="24"/>
      <c r="O111" s="24">
        <v>24</v>
      </c>
      <c r="P111" s="24" t="s">
        <v>331</v>
      </c>
      <c r="Q111" s="296" t="s">
        <v>664</v>
      </c>
      <c r="R111" s="13" t="s">
        <v>12</v>
      </c>
      <c r="S111" s="100" t="s">
        <v>655</v>
      </c>
      <c r="T111" s="17" t="s">
        <v>12</v>
      </c>
      <c r="U111" s="55">
        <v>44829</v>
      </c>
      <c r="V111" s="45" t="e">
        <f>MONTH(T:T)</f>
        <v>#VALUE!</v>
      </c>
      <c r="W111" s="17">
        <f>WEEKNUM(Tabela1[[#This Row],[Data da melhoria]])</f>
        <v>40</v>
      </c>
      <c r="X111" s="45" t="s">
        <v>416</v>
      </c>
      <c r="Y111" s="57" t="str">
        <f>IF(Tabela1[[#This Row],[Severidade]]&lt;100, "Baixa",IF(Tabela1[[#This Row],[Severidade]]&gt;=500, "Alta","Média"))</f>
        <v>Alta</v>
      </c>
      <c r="Z111" s="57" t="str">
        <f>IF(Tabela1[[#This Row],[Severidade]]&gt;499, "+500",IF(Tabela1[[#This Row],[Severidade]]&lt;=500, "-500"))</f>
        <v>+500</v>
      </c>
      <c r="AA111" s="30" t="s">
        <v>12</v>
      </c>
      <c r="AB111" s="30" t="s">
        <v>17</v>
      </c>
      <c r="AC111" s="57">
        <f>MONTH(Tabela1[[#This Row],[Data]])</f>
        <v>9</v>
      </c>
      <c r="AD111" s="46">
        <f>HOUR(Tabela1[[#This Row],[Hora]])</f>
        <v>11</v>
      </c>
      <c r="AE111" s="46" t="str">
        <f t="shared" si="7"/>
        <v>Tarde</v>
      </c>
    </row>
    <row r="112" spans="1:31" ht="29" x14ac:dyDescent="0.35">
      <c r="A112" s="55">
        <v>44807</v>
      </c>
      <c r="B112" s="214">
        <f t="shared" si="6"/>
        <v>7</v>
      </c>
      <c r="C112" s="47">
        <v>0.4777777777777778</v>
      </c>
      <c r="D112" s="45">
        <v>61</v>
      </c>
      <c r="E112" s="23">
        <v>56</v>
      </c>
      <c r="F112" s="321">
        <v>29</v>
      </c>
      <c r="G112" s="17" t="s">
        <v>8</v>
      </c>
      <c r="H112" s="104" t="s">
        <v>320</v>
      </c>
      <c r="I112" s="104" t="s">
        <v>321</v>
      </c>
      <c r="J112" s="104" t="s">
        <v>96</v>
      </c>
      <c r="K112" s="24" t="s">
        <v>457</v>
      </c>
      <c r="L112" s="24" t="s">
        <v>329</v>
      </c>
      <c r="M112" s="123" t="s">
        <v>225</v>
      </c>
      <c r="N112" s="24" t="s">
        <v>807</v>
      </c>
      <c r="O112" s="24" t="s">
        <v>225</v>
      </c>
      <c r="P112" s="24" t="s">
        <v>225</v>
      </c>
      <c r="Q112" s="296" t="s">
        <v>664</v>
      </c>
      <c r="R112" s="103" t="s">
        <v>7</v>
      </c>
      <c r="S112" s="102" t="s">
        <v>655</v>
      </c>
      <c r="T112" s="17" t="s">
        <v>7</v>
      </c>
      <c r="U112" s="55"/>
      <c r="V112" s="45" t="e">
        <f>MONTH(T:T)</f>
        <v>#VALUE!</v>
      </c>
      <c r="W112" s="17">
        <f>WEEKNUM(Tabela1[[#This Row],[Data da melhoria]])</f>
        <v>0</v>
      </c>
      <c r="X112" s="45"/>
      <c r="Y112" s="57" t="str">
        <f>IF(Tabela1[[#This Row],[Severidade]]&lt;100, "Baixa",IF(Tabela1[[#This Row],[Severidade]]&gt;=500, "Alta","Média"))</f>
        <v>Baixa</v>
      </c>
      <c r="Z112" s="57" t="str">
        <f>IF(Tabela1[[#This Row],[Severidade]]&gt;499, "+500",IF(Tabela1[[#This Row],[Severidade]]&lt;=500, "-500"))</f>
        <v>-500</v>
      </c>
      <c r="AA112" s="30" t="s">
        <v>7</v>
      </c>
      <c r="AB112" s="30"/>
      <c r="AC112" s="57">
        <f>MONTH(Tabela1[[#This Row],[Data]])</f>
        <v>9</v>
      </c>
      <c r="AD112" s="46">
        <f>HOUR(Tabela1[[#This Row],[Hora]])</f>
        <v>11</v>
      </c>
      <c r="AE112" s="46" t="str">
        <f t="shared" si="7"/>
        <v>Tarde</v>
      </c>
    </row>
    <row r="113" spans="1:31" ht="29" x14ac:dyDescent="0.35">
      <c r="A113" s="55">
        <v>44807</v>
      </c>
      <c r="B113" s="214">
        <f t="shared" si="6"/>
        <v>7</v>
      </c>
      <c r="C113" s="47">
        <v>0.64930555555555558</v>
      </c>
      <c r="D113" s="45">
        <v>286</v>
      </c>
      <c r="E113" s="23">
        <v>57</v>
      </c>
      <c r="F113" s="321">
        <v>29</v>
      </c>
      <c r="G113" s="17" t="s">
        <v>8</v>
      </c>
      <c r="H113" s="104" t="s">
        <v>324</v>
      </c>
      <c r="I113" s="104" t="s">
        <v>325</v>
      </c>
      <c r="J113" s="104" t="s">
        <v>96</v>
      </c>
      <c r="K113" s="24" t="s">
        <v>478</v>
      </c>
      <c r="L113" s="24" t="s">
        <v>329</v>
      </c>
      <c r="M113" s="123" t="s">
        <v>498</v>
      </c>
      <c r="N113" s="24"/>
      <c r="O113" s="24">
        <v>24</v>
      </c>
      <c r="P113" s="24" t="s">
        <v>331</v>
      </c>
      <c r="Q113" s="296" t="s">
        <v>664</v>
      </c>
      <c r="R113" s="13" t="s">
        <v>12</v>
      </c>
      <c r="S113" s="100" t="s">
        <v>655</v>
      </c>
      <c r="T113" s="17" t="s">
        <v>12</v>
      </c>
      <c r="U113" s="55">
        <v>44829</v>
      </c>
      <c r="V113" s="45" t="e">
        <f>MONTH(T:T)</f>
        <v>#VALUE!</v>
      </c>
      <c r="W113" s="17">
        <f>WEEKNUM(Tabela1[[#This Row],[Data da melhoria]])</f>
        <v>40</v>
      </c>
      <c r="X113" s="45" t="s">
        <v>416</v>
      </c>
      <c r="Y113" s="57" t="str">
        <f>IF(Tabela1[[#This Row],[Severidade]]&lt;100, "Baixa",IF(Tabela1[[#This Row],[Severidade]]&gt;=500, "Alta","Média"))</f>
        <v>Média</v>
      </c>
      <c r="Z113" s="57" t="str">
        <f>IF(Tabela1[[#This Row],[Severidade]]&gt;499, "+500",IF(Tabela1[[#This Row],[Severidade]]&lt;=500, "-500"))</f>
        <v>-500</v>
      </c>
      <c r="AA113" s="30" t="s">
        <v>12</v>
      </c>
      <c r="AB113" s="30" t="s">
        <v>17</v>
      </c>
      <c r="AC113" s="57">
        <f>MONTH(Tabela1[[#This Row],[Data]])</f>
        <v>9</v>
      </c>
      <c r="AD113" s="46">
        <f>HOUR(Tabela1[[#This Row],[Hora]])</f>
        <v>15</v>
      </c>
      <c r="AE113" s="46" t="str">
        <f t="shared" si="7"/>
        <v>Tarde</v>
      </c>
    </row>
    <row r="114" spans="1:31" ht="29" x14ac:dyDescent="0.35">
      <c r="A114" s="55">
        <v>44807</v>
      </c>
      <c r="B114" s="214">
        <f t="shared" si="6"/>
        <v>7</v>
      </c>
      <c r="C114" s="47">
        <v>0.31666666666666665</v>
      </c>
      <c r="D114" s="45">
        <v>54</v>
      </c>
      <c r="E114" s="23">
        <v>58</v>
      </c>
      <c r="F114" s="321">
        <v>15</v>
      </c>
      <c r="G114" s="17" t="s">
        <v>8</v>
      </c>
      <c r="H114" s="104" t="s">
        <v>318</v>
      </c>
      <c r="I114" s="104" t="s">
        <v>319</v>
      </c>
      <c r="J114" s="104" t="s">
        <v>96</v>
      </c>
      <c r="K114" s="24" t="s">
        <v>478</v>
      </c>
      <c r="L114" s="24" t="s">
        <v>329</v>
      </c>
      <c r="M114" s="123" t="s">
        <v>498</v>
      </c>
      <c r="N114" s="24"/>
      <c r="O114" s="24">
        <v>24</v>
      </c>
      <c r="P114" s="24" t="s">
        <v>331</v>
      </c>
      <c r="Q114" s="296" t="s">
        <v>664</v>
      </c>
      <c r="R114" s="13" t="s">
        <v>12</v>
      </c>
      <c r="S114" s="100" t="s">
        <v>655</v>
      </c>
      <c r="T114" s="17" t="s">
        <v>12</v>
      </c>
      <c r="U114" s="55">
        <v>44829</v>
      </c>
      <c r="V114" s="45" t="e">
        <f>MONTH(T:T)</f>
        <v>#VALUE!</v>
      </c>
      <c r="W114" s="17">
        <f>WEEKNUM(Tabela1[[#This Row],[Data da melhoria]])</f>
        <v>40</v>
      </c>
      <c r="X114" s="45" t="s">
        <v>416</v>
      </c>
      <c r="Y114" s="57" t="str">
        <f>IF(Tabela1[[#This Row],[Severidade]]&lt;100, "Baixa",IF(Tabela1[[#This Row],[Severidade]]&gt;=500, "Alta","Média"))</f>
        <v>Baixa</v>
      </c>
      <c r="Z114" s="57" t="str">
        <f>IF(Tabela1[[#This Row],[Severidade]]&gt;499, "+500",IF(Tabela1[[#This Row],[Severidade]]&lt;=500, "-500"))</f>
        <v>-500</v>
      </c>
      <c r="AA114" s="30" t="s">
        <v>12</v>
      </c>
      <c r="AB114" s="30" t="s">
        <v>17</v>
      </c>
      <c r="AC114" s="57">
        <f>MONTH(Tabela1[[#This Row],[Data]])</f>
        <v>9</v>
      </c>
      <c r="AD114" s="46">
        <f>HOUR(Tabela1[[#This Row],[Hora]])</f>
        <v>7</v>
      </c>
      <c r="AE114" s="46" t="str">
        <f t="shared" si="7"/>
        <v>Tarde</v>
      </c>
    </row>
    <row r="115" spans="1:31" ht="29" x14ac:dyDescent="0.35">
      <c r="A115" s="55">
        <v>44807</v>
      </c>
      <c r="B115" s="214">
        <f t="shared" si="6"/>
        <v>7</v>
      </c>
      <c r="C115" s="47">
        <v>0.25416666666666665</v>
      </c>
      <c r="D115" s="45">
        <v>84</v>
      </c>
      <c r="E115" s="23">
        <v>60</v>
      </c>
      <c r="F115" s="321">
        <v>15</v>
      </c>
      <c r="G115" s="17" t="s">
        <v>8</v>
      </c>
      <c r="H115" s="104" t="s">
        <v>314</v>
      </c>
      <c r="I115" s="104" t="s">
        <v>315</v>
      </c>
      <c r="J115" s="104" t="s">
        <v>96</v>
      </c>
      <c r="K115" s="24" t="s">
        <v>478</v>
      </c>
      <c r="L115" s="24" t="s">
        <v>329</v>
      </c>
      <c r="M115" s="123" t="s">
        <v>225</v>
      </c>
      <c r="N115" s="24" t="s">
        <v>807</v>
      </c>
      <c r="O115" s="24" t="s">
        <v>225</v>
      </c>
      <c r="P115" s="24" t="s">
        <v>225</v>
      </c>
      <c r="Q115" s="296" t="s">
        <v>664</v>
      </c>
      <c r="R115" s="103" t="s">
        <v>877</v>
      </c>
      <c r="S115" s="102" t="s">
        <v>655</v>
      </c>
      <c r="T115" s="17" t="s">
        <v>7</v>
      </c>
      <c r="U115" s="55"/>
      <c r="V115" s="45" t="e">
        <f>MONTH(T:T)</f>
        <v>#VALUE!</v>
      </c>
      <c r="W115" s="17">
        <f>WEEKNUM(Tabela1[[#This Row],[Data da melhoria]])</f>
        <v>0</v>
      </c>
      <c r="X115" s="45" t="s">
        <v>416</v>
      </c>
      <c r="Y115" s="57" t="str">
        <f>IF(Tabela1[[#This Row],[Severidade]]&lt;100, "Baixa",IF(Tabela1[[#This Row],[Severidade]]&gt;=500, "Alta","Média"))</f>
        <v>Baixa</v>
      </c>
      <c r="Z115" s="57" t="str">
        <f>IF(Tabela1[[#This Row],[Severidade]]&gt;499, "+500",IF(Tabela1[[#This Row],[Severidade]]&lt;=500, "-500"))</f>
        <v>-500</v>
      </c>
      <c r="AA115" s="30" t="s">
        <v>7</v>
      </c>
      <c r="AB115" s="30"/>
      <c r="AC115" s="57">
        <f>MONTH(Tabela1[[#This Row],[Data]])</f>
        <v>9</v>
      </c>
      <c r="AD115" s="46">
        <f>HOUR(Tabela1[[#This Row],[Hora]])</f>
        <v>6</v>
      </c>
      <c r="AE115" s="46" t="str">
        <f t="shared" si="7"/>
        <v>Tarde</v>
      </c>
    </row>
    <row r="116" spans="1:31" ht="29" x14ac:dyDescent="0.35">
      <c r="A116" s="55">
        <v>44807</v>
      </c>
      <c r="B116" s="214">
        <f t="shared" si="6"/>
        <v>7</v>
      </c>
      <c r="C116" s="47">
        <v>0.31527777777777777</v>
      </c>
      <c r="D116" s="45">
        <v>118</v>
      </c>
      <c r="E116" s="23">
        <v>61</v>
      </c>
      <c r="F116" s="321">
        <v>15</v>
      </c>
      <c r="G116" s="17" t="s">
        <v>8</v>
      </c>
      <c r="H116" s="104" t="s">
        <v>316</v>
      </c>
      <c r="I116" s="104" t="s">
        <v>317</v>
      </c>
      <c r="J116" s="104" t="s">
        <v>96</v>
      </c>
      <c r="K116" s="24" t="s">
        <v>478</v>
      </c>
      <c r="L116" s="24" t="s">
        <v>329</v>
      </c>
      <c r="M116" s="123" t="s">
        <v>225</v>
      </c>
      <c r="N116" s="24" t="s">
        <v>807</v>
      </c>
      <c r="O116" s="24">
        <v>26</v>
      </c>
      <c r="P116" s="24" t="s">
        <v>225</v>
      </c>
      <c r="Q116" s="296" t="s">
        <v>664</v>
      </c>
      <c r="R116" s="103" t="s">
        <v>7</v>
      </c>
      <c r="S116" s="102" t="s">
        <v>655</v>
      </c>
      <c r="T116" s="17" t="s">
        <v>7</v>
      </c>
      <c r="U116" s="55"/>
      <c r="V116" s="45" t="e">
        <f>MONTH(T:T)</f>
        <v>#VALUE!</v>
      </c>
      <c r="W116" s="17">
        <f>WEEKNUM(Tabela1[[#This Row],[Data da melhoria]])</f>
        <v>0</v>
      </c>
      <c r="X116" s="45" t="s">
        <v>416</v>
      </c>
      <c r="Y116" s="57" t="str">
        <f>IF(Tabela1[[#This Row],[Severidade]]&lt;100, "Baixa",IF(Tabela1[[#This Row],[Severidade]]&gt;=500, "Alta","Média"))</f>
        <v>Média</v>
      </c>
      <c r="Z116" s="57" t="str">
        <f>IF(Tabela1[[#This Row],[Severidade]]&gt;499, "+500",IF(Tabela1[[#This Row],[Severidade]]&lt;=500, "-500"))</f>
        <v>-500</v>
      </c>
      <c r="AA116" s="30" t="s">
        <v>7</v>
      </c>
      <c r="AB116" s="30"/>
      <c r="AC116" s="57">
        <f>MONTH(Tabela1[[#This Row],[Data]])</f>
        <v>9</v>
      </c>
      <c r="AD116" s="46">
        <f>HOUR(Tabela1[[#This Row],[Hora]])</f>
        <v>7</v>
      </c>
      <c r="AE116" s="46" t="str">
        <f t="shared" si="7"/>
        <v>Tarde</v>
      </c>
    </row>
    <row r="117" spans="1:31" ht="43.5" x14ac:dyDescent="0.35">
      <c r="A117" s="55">
        <v>44810</v>
      </c>
      <c r="B117" s="214">
        <f t="shared" si="6"/>
        <v>3</v>
      </c>
      <c r="C117" s="47">
        <v>0.68958333333333333</v>
      </c>
      <c r="D117" s="45">
        <v>152</v>
      </c>
      <c r="E117" s="23">
        <v>65</v>
      </c>
      <c r="F117" s="321">
        <v>26</v>
      </c>
      <c r="G117" s="17" t="s">
        <v>8</v>
      </c>
      <c r="H117" s="104" t="s">
        <v>346</v>
      </c>
      <c r="I117" s="104" t="s">
        <v>347</v>
      </c>
      <c r="J117" s="104" t="s">
        <v>94</v>
      </c>
      <c r="K117" s="24" t="s">
        <v>471</v>
      </c>
      <c r="L117" s="24">
        <v>4</v>
      </c>
      <c r="M117" s="123" t="s">
        <v>605</v>
      </c>
      <c r="N117" s="24" t="s">
        <v>702</v>
      </c>
      <c r="O117" s="24">
        <v>2</v>
      </c>
      <c r="P117" s="24" t="s">
        <v>225</v>
      </c>
      <c r="Q117" s="296" t="s">
        <v>664</v>
      </c>
      <c r="R117" s="103" t="s">
        <v>12</v>
      </c>
      <c r="S117" s="100" t="s">
        <v>339</v>
      </c>
      <c r="T117" s="17" t="s">
        <v>7</v>
      </c>
      <c r="U117" s="55"/>
      <c r="V117" s="45" t="e">
        <f>MONTH(T:T)</f>
        <v>#VALUE!</v>
      </c>
      <c r="W117" s="17">
        <f>WEEKNUM(Tabela1[[#This Row],[Data da melhoria]])</f>
        <v>0</v>
      </c>
      <c r="X117" s="45"/>
      <c r="Y117" s="57" t="str">
        <f>IF(Tabela1[[#This Row],[Severidade]]&lt;100, "Baixa",IF(Tabela1[[#This Row],[Severidade]]&gt;=500, "Alta","Média"))</f>
        <v>Média</v>
      </c>
      <c r="Z117" s="57" t="str">
        <f>IF(Tabela1[[#This Row],[Severidade]]&gt;499, "+500",IF(Tabela1[[#This Row],[Severidade]]&lt;=500, "-500"))</f>
        <v>-500</v>
      </c>
      <c r="AA117" s="30" t="s">
        <v>7</v>
      </c>
      <c r="AB117" s="30"/>
      <c r="AC117" s="57">
        <f>MONTH(Tabela1[[#This Row],[Data]])</f>
        <v>9</v>
      </c>
      <c r="AD117" s="46">
        <f>HOUR(Tabela1[[#This Row],[Hora]])</f>
        <v>16</v>
      </c>
      <c r="AE117" s="46" t="str">
        <f t="shared" si="7"/>
        <v>Tarde</v>
      </c>
    </row>
    <row r="118" spans="1:31" ht="29" x14ac:dyDescent="0.35">
      <c r="A118" s="158">
        <v>44811</v>
      </c>
      <c r="B118" s="224">
        <f t="shared" si="6"/>
        <v>4</v>
      </c>
      <c r="C118" s="159">
        <v>0.70000000000000007</v>
      </c>
      <c r="D118" s="156">
        <v>51</v>
      </c>
      <c r="E118" s="160">
        <v>31</v>
      </c>
      <c r="F118" s="328">
        <v>26</v>
      </c>
      <c r="G118" s="17" t="s">
        <v>8</v>
      </c>
      <c r="H118" s="347">
        <v>-22888039</v>
      </c>
      <c r="I118" s="161" t="s">
        <v>358</v>
      </c>
      <c r="J118" s="149" t="s">
        <v>359</v>
      </c>
      <c r="K118" s="162" t="s">
        <v>481</v>
      </c>
      <c r="L118" s="150">
        <v>1</v>
      </c>
      <c r="M118" s="247" t="s">
        <v>225</v>
      </c>
      <c r="N118" s="24" t="s">
        <v>807</v>
      </c>
      <c r="O118" s="150" t="s">
        <v>225</v>
      </c>
      <c r="P118" s="150" t="s">
        <v>225</v>
      </c>
      <c r="Q118" s="299" t="s">
        <v>664</v>
      </c>
      <c r="R118" s="103" t="s">
        <v>7</v>
      </c>
      <c r="S118" s="102" t="s">
        <v>43</v>
      </c>
      <c r="T118" s="156" t="s">
        <v>7</v>
      </c>
      <c r="U118" s="158"/>
      <c r="V118" s="151" t="e">
        <f>MONTH(T:T)</f>
        <v>#VALUE!</v>
      </c>
      <c r="W118" s="151">
        <f>WEEKNUM(Tabela1[[#This Row],[Data da melhoria]])</f>
        <v>0</v>
      </c>
      <c r="X118" s="156"/>
      <c r="Y118" s="152" t="str">
        <f>IF(Tabela1[[#This Row],[Severidade]]&lt;100, "Baixa",IF(Tabela1[[#This Row],[Severidade]]&gt;=500, "Alta","Média"))</f>
        <v>Baixa</v>
      </c>
      <c r="Z118" s="152" t="str">
        <f>IF(Tabela1[[#This Row],[Severidade]]&gt;499, "+500",IF(Tabela1[[#This Row],[Severidade]]&lt;=500, "-500"))</f>
        <v>-500</v>
      </c>
      <c r="AA118" s="30" t="s">
        <v>7</v>
      </c>
      <c r="AB118" s="152"/>
      <c r="AC118" s="152">
        <f>MONTH(Tabela1[[#This Row],[Data]])</f>
        <v>9</v>
      </c>
      <c r="AD118" s="12">
        <f>HOUR(Tabela1[[#This Row],[Hora]])</f>
        <v>16</v>
      </c>
      <c r="AE118" s="12" t="str">
        <f t="shared" si="7"/>
        <v>Tarde</v>
      </c>
    </row>
    <row r="119" spans="1:31" ht="29" x14ac:dyDescent="0.35">
      <c r="A119" s="158">
        <v>44812</v>
      </c>
      <c r="B119" s="224">
        <f t="shared" si="6"/>
        <v>5</v>
      </c>
      <c r="C119" s="159">
        <v>0.27777777777777779</v>
      </c>
      <c r="D119" s="156">
        <v>96</v>
      </c>
      <c r="E119" s="160">
        <v>28</v>
      </c>
      <c r="F119" s="328">
        <v>17</v>
      </c>
      <c r="G119" s="17" t="s">
        <v>8</v>
      </c>
      <c r="H119" s="161" t="s">
        <v>360</v>
      </c>
      <c r="I119" s="149" t="s">
        <v>361</v>
      </c>
      <c r="J119" s="149" t="s">
        <v>95</v>
      </c>
      <c r="K119" s="162" t="s">
        <v>411</v>
      </c>
      <c r="L119" s="150" t="s">
        <v>250</v>
      </c>
      <c r="M119" s="123" t="s">
        <v>565</v>
      </c>
      <c r="N119" s="150"/>
      <c r="O119" s="150">
        <v>60</v>
      </c>
      <c r="P119" s="150" t="s">
        <v>383</v>
      </c>
      <c r="Q119" s="299" t="s">
        <v>664</v>
      </c>
      <c r="R119" s="103" t="s">
        <v>12</v>
      </c>
      <c r="S119" s="271">
        <v>25068</v>
      </c>
      <c r="T119" s="156" t="s">
        <v>12</v>
      </c>
      <c r="U119" s="158">
        <v>44851</v>
      </c>
      <c r="V119" s="151" t="e">
        <f>MONTH(T:T)</f>
        <v>#VALUE!</v>
      </c>
      <c r="W119" s="151">
        <f>WEEKNUM(Tabela1[[#This Row],[Data da melhoria]])</f>
        <v>43</v>
      </c>
      <c r="X119" s="156" t="s">
        <v>635</v>
      </c>
      <c r="Y119" s="152" t="str">
        <f>IF(Tabela1[[#This Row],[Severidade]]&lt;100, "Baixa",IF(Tabela1[[#This Row],[Severidade]]&gt;=500, "Alta","Média"))</f>
        <v>Baixa</v>
      </c>
      <c r="Z119" s="152" t="str">
        <f>IF(Tabela1[[#This Row],[Severidade]]&gt;499, "+500",IF(Tabela1[[#This Row],[Severidade]]&lt;=500, "-500"))</f>
        <v>-500</v>
      </c>
      <c r="AA119" s="30" t="s">
        <v>12</v>
      </c>
      <c r="AB119" s="152" t="s">
        <v>17</v>
      </c>
      <c r="AC119" s="152">
        <f>MONTH(Tabela1[[#This Row],[Data]])</f>
        <v>9</v>
      </c>
      <c r="AD119" s="12">
        <f>HOUR(Tabela1[[#This Row],[Hora]])</f>
        <v>6</v>
      </c>
      <c r="AE119" s="12" t="str">
        <f t="shared" si="7"/>
        <v>Tarde</v>
      </c>
    </row>
    <row r="120" spans="1:31" ht="43.5" x14ac:dyDescent="0.35">
      <c r="A120" s="158">
        <v>44813</v>
      </c>
      <c r="B120" s="224">
        <f t="shared" si="6"/>
        <v>6</v>
      </c>
      <c r="C120" s="159">
        <v>0.32222222222222224</v>
      </c>
      <c r="D120" s="156">
        <v>119</v>
      </c>
      <c r="E120" s="160">
        <v>40</v>
      </c>
      <c r="F120" s="328">
        <v>20</v>
      </c>
      <c r="G120" s="17" t="s">
        <v>8</v>
      </c>
      <c r="H120" s="161" t="s">
        <v>364</v>
      </c>
      <c r="I120" s="149" t="s">
        <v>365</v>
      </c>
      <c r="J120" s="108" t="s">
        <v>93</v>
      </c>
      <c r="K120" s="162" t="s">
        <v>455</v>
      </c>
      <c r="L120" s="150">
        <v>2</v>
      </c>
      <c r="M120" s="247" t="s">
        <v>619</v>
      </c>
      <c r="N120" s="150" t="s">
        <v>702</v>
      </c>
      <c r="O120" s="150">
        <v>38</v>
      </c>
      <c r="P120" s="150" t="s">
        <v>225</v>
      </c>
      <c r="Q120" s="299" t="s">
        <v>664</v>
      </c>
      <c r="R120" s="103" t="s">
        <v>7</v>
      </c>
      <c r="S120" s="102" t="s">
        <v>43</v>
      </c>
      <c r="T120" s="156" t="s">
        <v>7</v>
      </c>
      <c r="U120" s="158"/>
      <c r="V120" s="151" t="e">
        <f>MONTH(T:T)</f>
        <v>#VALUE!</v>
      </c>
      <c r="W120" s="151">
        <f>WEEKNUM(Tabela1[[#This Row],[Data da melhoria]])</f>
        <v>0</v>
      </c>
      <c r="X120" s="156"/>
      <c r="Y120" s="152" t="str">
        <f>IF(Tabela1[[#This Row],[Severidade]]&lt;100, "Baixa",IF(Tabela1[[#This Row],[Severidade]]&gt;=500, "Alta","Média"))</f>
        <v>Média</v>
      </c>
      <c r="Z120" s="152" t="str">
        <f>IF(Tabela1[[#This Row],[Severidade]]&gt;499, "+500",IF(Tabela1[[#This Row],[Severidade]]&lt;=500, "-500"))</f>
        <v>-500</v>
      </c>
      <c r="AA120" s="30" t="s">
        <v>7</v>
      </c>
      <c r="AB120" s="152"/>
      <c r="AC120" s="152">
        <f>MONTH(Tabela1[[#This Row],[Data]])</f>
        <v>9</v>
      </c>
      <c r="AD120" s="12">
        <f>HOUR(Tabela1[[#This Row],[Hora]])</f>
        <v>7</v>
      </c>
      <c r="AE120" s="12" t="str">
        <f t="shared" si="7"/>
        <v>Tarde</v>
      </c>
    </row>
    <row r="121" spans="1:31" ht="29" x14ac:dyDescent="0.35">
      <c r="A121" s="332">
        <v>44813</v>
      </c>
      <c r="B121" s="334">
        <f t="shared" si="6"/>
        <v>6</v>
      </c>
      <c r="C121" s="336">
        <v>0.31111111111111112</v>
      </c>
      <c r="D121" s="338">
        <v>76</v>
      </c>
      <c r="E121" s="340">
        <v>61</v>
      </c>
      <c r="F121" s="343">
        <v>20</v>
      </c>
      <c r="G121" s="17" t="s">
        <v>8</v>
      </c>
      <c r="H121" s="345" t="s">
        <v>362</v>
      </c>
      <c r="I121" s="149" t="s">
        <v>363</v>
      </c>
      <c r="J121" s="108" t="s">
        <v>93</v>
      </c>
      <c r="K121" s="162" t="s">
        <v>484</v>
      </c>
      <c r="L121" s="150">
        <v>2</v>
      </c>
      <c r="M121" s="247" t="s">
        <v>642</v>
      </c>
      <c r="N121" s="150" t="s">
        <v>807</v>
      </c>
      <c r="O121" s="150">
        <v>45</v>
      </c>
      <c r="P121" s="150" t="s">
        <v>225</v>
      </c>
      <c r="Q121" s="299" t="s">
        <v>664</v>
      </c>
      <c r="R121" s="103" t="s">
        <v>7</v>
      </c>
      <c r="S121" s="102" t="s">
        <v>655</v>
      </c>
      <c r="T121" s="156" t="s">
        <v>7</v>
      </c>
      <c r="U121" s="332"/>
      <c r="V121" s="352" t="e">
        <f>MONTH(T:T)</f>
        <v>#VALUE!</v>
      </c>
      <c r="W121" s="151">
        <f>WEEKNUM(Tabela1[[#This Row],[Data da melhoria]])</f>
        <v>0</v>
      </c>
      <c r="X121" s="338"/>
      <c r="Y121" s="354" t="str">
        <f>IF(Tabela1[[#This Row],[Severidade]]&lt;100, "Baixa",IF(Tabela1[[#This Row],[Severidade]]&gt;=500, "Alta","Média"))</f>
        <v>Baixa</v>
      </c>
      <c r="Z121" s="354" t="str">
        <f>IF(Tabela1[[#This Row],[Severidade]]&gt;499, "+500",IF(Tabela1[[#This Row],[Severidade]]&lt;=500, "-500"))</f>
        <v>-500</v>
      </c>
      <c r="AA121" s="30" t="s">
        <v>7</v>
      </c>
      <c r="AB121" s="152"/>
      <c r="AC121" s="354">
        <f>MONTH(Tabela1[[#This Row],[Data]])</f>
        <v>9</v>
      </c>
      <c r="AD121" s="163">
        <f>HOUR(Tabela1[[#This Row],[Hora]])</f>
        <v>7</v>
      </c>
      <c r="AE121" s="163" t="str">
        <f t="shared" si="7"/>
        <v>Tarde</v>
      </c>
    </row>
    <row r="122" spans="1:31" ht="29" x14ac:dyDescent="0.35">
      <c r="A122" s="158">
        <v>44814</v>
      </c>
      <c r="B122" s="224">
        <f t="shared" si="6"/>
        <v>7</v>
      </c>
      <c r="C122" s="159">
        <v>0.2673611111111111</v>
      </c>
      <c r="D122" s="156">
        <v>403</v>
      </c>
      <c r="E122" s="160">
        <v>15</v>
      </c>
      <c r="F122" s="328">
        <v>20</v>
      </c>
      <c r="G122" s="17" t="s">
        <v>8</v>
      </c>
      <c r="H122" s="161" t="s">
        <v>366</v>
      </c>
      <c r="I122" s="149" t="s">
        <v>367</v>
      </c>
      <c r="J122" s="149" t="s">
        <v>94</v>
      </c>
      <c r="K122" s="162" t="s">
        <v>370</v>
      </c>
      <c r="L122" s="247" t="s">
        <v>225</v>
      </c>
      <c r="M122" s="123" t="s">
        <v>225</v>
      </c>
      <c r="N122" s="24" t="s">
        <v>807</v>
      </c>
      <c r="O122" s="247" t="s">
        <v>225</v>
      </c>
      <c r="P122" s="150" t="s">
        <v>225</v>
      </c>
      <c r="Q122" s="299" t="s">
        <v>664</v>
      </c>
      <c r="R122" s="103" t="s">
        <v>7</v>
      </c>
      <c r="S122" s="102" t="s">
        <v>43</v>
      </c>
      <c r="T122" s="156" t="s">
        <v>7</v>
      </c>
      <c r="U122" s="158"/>
      <c r="V122" s="151" t="e">
        <f>MONTH(T:T)</f>
        <v>#VALUE!</v>
      </c>
      <c r="W122" s="151">
        <f>WEEKNUM(Tabela1[[#This Row],[Data da melhoria]])</f>
        <v>0</v>
      </c>
      <c r="X122" s="156"/>
      <c r="Y122" s="152" t="str">
        <f>IF(Tabela1[[#This Row],[Severidade]]&lt;100, "Baixa",IF(Tabela1[[#This Row],[Severidade]]&gt;=500, "Alta","Média"))</f>
        <v>Média</v>
      </c>
      <c r="Z122" s="152" t="str">
        <f>IF(Tabela1[[#This Row],[Severidade]]&gt;499, "+500",IF(Tabela1[[#This Row],[Severidade]]&lt;=500, "-500"))</f>
        <v>-500</v>
      </c>
      <c r="AA122" s="30" t="s">
        <v>7</v>
      </c>
      <c r="AB122" s="152"/>
      <c r="AC122" s="152">
        <f>MONTH(Tabela1[[#This Row],[Data]])</f>
        <v>9</v>
      </c>
      <c r="AD122" s="12">
        <f>HOUR(Tabela1[[#This Row],[Hora]])</f>
        <v>6</v>
      </c>
      <c r="AE122" s="12" t="str">
        <f t="shared" si="7"/>
        <v>Tarde</v>
      </c>
    </row>
    <row r="123" spans="1:31" ht="29" x14ac:dyDescent="0.35">
      <c r="A123" s="158">
        <v>44816</v>
      </c>
      <c r="B123" s="224">
        <f t="shared" si="6"/>
        <v>2</v>
      </c>
      <c r="C123" s="159">
        <v>0.67569444444444438</v>
      </c>
      <c r="D123" s="156">
        <v>51</v>
      </c>
      <c r="E123" s="160">
        <v>51</v>
      </c>
      <c r="F123" s="328">
        <v>22</v>
      </c>
      <c r="G123" s="17" t="s">
        <v>8</v>
      </c>
      <c r="H123" s="161" t="s">
        <v>368</v>
      </c>
      <c r="I123" s="149" t="s">
        <v>369</v>
      </c>
      <c r="J123" s="104" t="s">
        <v>96</v>
      </c>
      <c r="K123" s="162" t="s">
        <v>607</v>
      </c>
      <c r="L123" s="150">
        <v>1</v>
      </c>
      <c r="M123" s="123" t="s">
        <v>225</v>
      </c>
      <c r="N123" s="24" t="s">
        <v>807</v>
      </c>
      <c r="O123" s="150" t="s">
        <v>225</v>
      </c>
      <c r="P123" s="150" t="s">
        <v>225</v>
      </c>
      <c r="Q123" s="299" t="s">
        <v>664</v>
      </c>
      <c r="R123" s="103" t="s">
        <v>7</v>
      </c>
      <c r="S123" s="102" t="s">
        <v>655</v>
      </c>
      <c r="T123" s="156" t="s">
        <v>7</v>
      </c>
      <c r="U123" s="158"/>
      <c r="V123" s="151" t="e">
        <f>MONTH(T:T)</f>
        <v>#VALUE!</v>
      </c>
      <c r="W123" s="151">
        <f>WEEKNUM(Tabela1[[#This Row],[Data da melhoria]])</f>
        <v>0</v>
      </c>
      <c r="X123" s="156"/>
      <c r="Y123" s="152" t="str">
        <f>IF(Tabela1[[#This Row],[Severidade]]&lt;100, "Baixa",IF(Tabela1[[#This Row],[Severidade]]&gt;=500, "Alta","Média"))</f>
        <v>Baixa</v>
      </c>
      <c r="Z123" s="152" t="str">
        <f>IF(Tabela1[[#This Row],[Severidade]]&gt;499, "+500",IF(Tabela1[[#This Row],[Severidade]]&lt;=500, "-500"))</f>
        <v>-500</v>
      </c>
      <c r="AA123" s="30" t="s">
        <v>7</v>
      </c>
      <c r="AB123" s="152"/>
      <c r="AC123" s="152">
        <f>MONTH(Tabela1[[#This Row],[Data]])</f>
        <v>9</v>
      </c>
      <c r="AD123" s="12">
        <f>HOUR(Tabela1[[#This Row],[Hora]])</f>
        <v>16</v>
      </c>
      <c r="AE123" s="12" t="str">
        <f t="shared" si="7"/>
        <v>Tarde</v>
      </c>
    </row>
    <row r="124" spans="1:31" ht="29" x14ac:dyDescent="0.35">
      <c r="A124" s="332">
        <v>44817</v>
      </c>
      <c r="B124" s="334">
        <f t="shared" si="6"/>
        <v>3</v>
      </c>
      <c r="C124" s="336">
        <v>0.41875000000000001</v>
      </c>
      <c r="D124" s="338">
        <v>720</v>
      </c>
      <c r="E124" s="340">
        <v>78</v>
      </c>
      <c r="F124" s="343">
        <v>18</v>
      </c>
      <c r="G124" s="17" t="s">
        <v>8</v>
      </c>
      <c r="H124" s="345" t="s">
        <v>387</v>
      </c>
      <c r="I124" s="149" t="s">
        <v>388</v>
      </c>
      <c r="J124" s="149" t="s">
        <v>94</v>
      </c>
      <c r="K124" s="162" t="s">
        <v>486</v>
      </c>
      <c r="L124" s="24">
        <v>3</v>
      </c>
      <c r="M124" s="123" t="s">
        <v>501</v>
      </c>
      <c r="N124" s="150"/>
      <c r="O124" s="150">
        <v>11</v>
      </c>
      <c r="P124" s="150" t="s">
        <v>430</v>
      </c>
      <c r="Q124" s="299" t="s">
        <v>664</v>
      </c>
      <c r="R124" s="103" t="s">
        <v>12</v>
      </c>
      <c r="S124" s="102" t="s">
        <v>652</v>
      </c>
      <c r="T124" s="156" t="s">
        <v>12</v>
      </c>
      <c r="U124" s="351">
        <v>44845</v>
      </c>
      <c r="V124" s="352" t="e">
        <f>MONTH(T:T)</f>
        <v>#VALUE!</v>
      </c>
      <c r="W124" s="151">
        <f>WEEKNUM(Tabela1[[#This Row],[Data da melhoria]])</f>
        <v>42</v>
      </c>
      <c r="X124" s="151" t="s">
        <v>603</v>
      </c>
      <c r="Y124" s="354" t="str">
        <f>IF(Tabela1[[#This Row],[Severidade]]&lt;100, "Baixa",IF(Tabela1[[#This Row],[Severidade]]&gt;=500, "Alta","Média"))</f>
        <v>Alta</v>
      </c>
      <c r="Z124" s="354" t="str">
        <f>IF(Tabela1[[#This Row],[Severidade]]&gt;499, "+500",IF(Tabela1[[#This Row],[Severidade]]&lt;=500, "-500"))</f>
        <v>+500</v>
      </c>
      <c r="AA124" s="30" t="s">
        <v>12</v>
      </c>
      <c r="AB124" s="152" t="s">
        <v>15</v>
      </c>
      <c r="AC124" s="354">
        <f>MONTH(Tabela1[[#This Row],[Data]])</f>
        <v>9</v>
      </c>
      <c r="AD124" s="163">
        <f>HOUR(Tabela1[[#This Row],[Hora]])</f>
        <v>10</v>
      </c>
      <c r="AE124" s="163" t="str">
        <f t="shared" si="7"/>
        <v>Tarde</v>
      </c>
    </row>
    <row r="125" spans="1:31" ht="29" x14ac:dyDescent="0.35">
      <c r="A125" s="332">
        <v>44818</v>
      </c>
      <c r="B125" s="334">
        <f t="shared" si="6"/>
        <v>4</v>
      </c>
      <c r="C125" s="336">
        <v>0.37708333333333338</v>
      </c>
      <c r="D125" s="338">
        <v>76</v>
      </c>
      <c r="E125" s="340">
        <v>40</v>
      </c>
      <c r="F125" s="343">
        <v>21</v>
      </c>
      <c r="G125" s="17" t="s">
        <v>8</v>
      </c>
      <c r="H125" s="345" t="s">
        <v>392</v>
      </c>
      <c r="I125" s="149" t="s">
        <v>393</v>
      </c>
      <c r="J125" s="149" t="s">
        <v>95</v>
      </c>
      <c r="K125" s="162" t="s">
        <v>488</v>
      </c>
      <c r="L125" s="150">
        <v>2</v>
      </c>
      <c r="M125" s="123" t="s">
        <v>497</v>
      </c>
      <c r="N125" s="150" t="s">
        <v>808</v>
      </c>
      <c r="O125" s="150">
        <v>27</v>
      </c>
      <c r="P125" s="150" t="s">
        <v>225</v>
      </c>
      <c r="Q125" s="299" t="s">
        <v>664</v>
      </c>
      <c r="R125" s="103" t="s">
        <v>7</v>
      </c>
      <c r="S125" s="102" t="s">
        <v>43</v>
      </c>
      <c r="T125" s="156" t="s">
        <v>7</v>
      </c>
      <c r="U125" s="332"/>
      <c r="V125" s="352" t="e">
        <f>MONTH(T:T)</f>
        <v>#VALUE!</v>
      </c>
      <c r="W125" s="151">
        <f>WEEKNUM(Tabela1[[#This Row],[Data da melhoria]])</f>
        <v>0</v>
      </c>
      <c r="X125" s="338"/>
      <c r="Y125" s="354" t="str">
        <f>IF(Tabela1[[#This Row],[Severidade]]&lt;100, "Baixa",IF(Tabela1[[#This Row],[Severidade]]&gt;=500, "Alta","Média"))</f>
        <v>Baixa</v>
      </c>
      <c r="Z125" s="354" t="str">
        <f>IF(Tabela1[[#This Row],[Severidade]]&gt;499, "+500",IF(Tabela1[[#This Row],[Severidade]]&lt;=500, "-500"))</f>
        <v>-500</v>
      </c>
      <c r="AA125" s="30" t="s">
        <v>7</v>
      </c>
      <c r="AB125" s="152"/>
      <c r="AC125" s="354">
        <f>MONTH(Tabela1[[#This Row],[Data]])</f>
        <v>9</v>
      </c>
      <c r="AD125" s="163">
        <f>HOUR(Tabela1[[#This Row],[Hora]])</f>
        <v>9</v>
      </c>
      <c r="AE125" s="163" t="str">
        <f t="shared" si="7"/>
        <v>Tarde</v>
      </c>
    </row>
    <row r="126" spans="1:31" ht="29" x14ac:dyDescent="0.35">
      <c r="A126" s="333">
        <v>44819</v>
      </c>
      <c r="B126" s="335">
        <f t="shared" si="6"/>
        <v>5</v>
      </c>
      <c r="C126" s="337">
        <v>0.58750000000000002</v>
      </c>
      <c r="D126" s="339">
        <v>75</v>
      </c>
      <c r="E126" s="341">
        <v>62</v>
      </c>
      <c r="F126" s="344">
        <v>23</v>
      </c>
      <c r="G126" s="17" t="s">
        <v>8</v>
      </c>
      <c r="H126" s="346" t="s">
        <v>401</v>
      </c>
      <c r="I126" s="149" t="s">
        <v>402</v>
      </c>
      <c r="J126" s="149" t="s">
        <v>95</v>
      </c>
      <c r="K126" s="162" t="s">
        <v>483</v>
      </c>
      <c r="L126" s="150">
        <v>1</v>
      </c>
      <c r="M126" s="123" t="s">
        <v>638</v>
      </c>
      <c r="N126" s="150" t="s">
        <v>807</v>
      </c>
      <c r="O126" s="150">
        <v>46</v>
      </c>
      <c r="P126" s="150" t="s">
        <v>225</v>
      </c>
      <c r="Q126" s="299" t="s">
        <v>664</v>
      </c>
      <c r="R126" s="103" t="s">
        <v>7</v>
      </c>
      <c r="S126" s="102" t="s">
        <v>655</v>
      </c>
      <c r="T126" s="156" t="s">
        <v>7</v>
      </c>
      <c r="U126" s="333"/>
      <c r="V126" s="353" t="e">
        <f>MONTH(T:T)</f>
        <v>#VALUE!</v>
      </c>
      <c r="W126" s="151">
        <f>WEEKNUM(Tabela1[[#This Row],[Data da melhoria]])</f>
        <v>0</v>
      </c>
      <c r="X126" s="339"/>
      <c r="Y126" s="355" t="str">
        <f>IF(Tabela1[[#This Row],[Severidade]]&lt;100, "Baixa",IF(Tabela1[[#This Row],[Severidade]]&gt;=500, "Alta","Média"))</f>
        <v>Baixa</v>
      </c>
      <c r="Z126" s="355" t="str">
        <f>IF(Tabela1[[#This Row],[Severidade]]&gt;499, "+500",IF(Tabela1[[#This Row],[Severidade]]&lt;=500, "-500"))</f>
        <v>-500</v>
      </c>
      <c r="AA126" s="30" t="s">
        <v>7</v>
      </c>
      <c r="AB126" s="152"/>
      <c r="AC126" s="355">
        <f>MONTH(Tabela1[[#This Row],[Data]])</f>
        <v>9</v>
      </c>
      <c r="AD126" s="166">
        <f>HOUR(Tabela1[[#This Row],[Hora]])</f>
        <v>14</v>
      </c>
      <c r="AE126" s="166" t="str">
        <f t="shared" si="7"/>
        <v>Tarde</v>
      </c>
    </row>
    <row r="127" spans="1:31" ht="43.5" x14ac:dyDescent="0.35">
      <c r="A127" s="158">
        <v>44821</v>
      </c>
      <c r="B127" s="224">
        <f t="shared" si="6"/>
        <v>7</v>
      </c>
      <c r="C127" s="159">
        <v>0.29583333333333334</v>
      </c>
      <c r="D127" s="156">
        <v>113</v>
      </c>
      <c r="E127" s="160">
        <v>52</v>
      </c>
      <c r="F127" s="328">
        <v>16</v>
      </c>
      <c r="G127" s="17" t="s">
        <v>8</v>
      </c>
      <c r="H127" s="161" t="s">
        <v>403</v>
      </c>
      <c r="I127" s="149" t="s">
        <v>404</v>
      </c>
      <c r="J127" s="104" t="s">
        <v>96</v>
      </c>
      <c r="K127" s="162" t="s">
        <v>489</v>
      </c>
      <c r="L127" s="150" t="s">
        <v>329</v>
      </c>
      <c r="M127" s="247" t="s">
        <v>225</v>
      </c>
      <c r="N127" s="24" t="s">
        <v>807</v>
      </c>
      <c r="O127" s="150">
        <v>30</v>
      </c>
      <c r="P127" s="150" t="s">
        <v>225</v>
      </c>
      <c r="Q127" s="299" t="s">
        <v>664</v>
      </c>
      <c r="R127" s="103" t="s">
        <v>7</v>
      </c>
      <c r="S127" s="102" t="s">
        <v>655</v>
      </c>
      <c r="T127" s="156" t="s">
        <v>7</v>
      </c>
      <c r="U127" s="158"/>
      <c r="V127" s="151" t="e">
        <f>MONTH(T:T)</f>
        <v>#VALUE!</v>
      </c>
      <c r="W127" s="151">
        <f>WEEKNUM(Tabela1[[#This Row],[Data da melhoria]])</f>
        <v>0</v>
      </c>
      <c r="X127" s="156"/>
      <c r="Y127" s="152" t="str">
        <f>IF(Tabela1[[#This Row],[Severidade]]&lt;100, "Baixa",IF(Tabela1[[#This Row],[Severidade]]&gt;=500, "Alta","Média"))</f>
        <v>Média</v>
      </c>
      <c r="Z127" s="152" t="str">
        <f>IF(Tabela1[[#This Row],[Severidade]]&gt;499, "+500",IF(Tabela1[[#This Row],[Severidade]]&lt;=500, "-500"))</f>
        <v>-500</v>
      </c>
      <c r="AA127" s="30" t="s">
        <v>7</v>
      </c>
      <c r="AB127" s="152"/>
      <c r="AC127" s="152">
        <f>MONTH(Tabela1[[#This Row],[Data]])</f>
        <v>9</v>
      </c>
      <c r="AD127" s="12">
        <f>HOUR(Tabela1[[#This Row],[Hora]])</f>
        <v>7</v>
      </c>
      <c r="AE127" s="12" t="str">
        <f t="shared" si="7"/>
        <v>Tarde</v>
      </c>
    </row>
    <row r="128" spans="1:31" ht="29" x14ac:dyDescent="0.35">
      <c r="A128" s="333">
        <v>44821</v>
      </c>
      <c r="B128" s="335">
        <f t="shared" si="6"/>
        <v>7</v>
      </c>
      <c r="C128" s="337">
        <v>0.4381944444444445</v>
      </c>
      <c r="D128" s="339">
        <v>105</v>
      </c>
      <c r="E128" s="341">
        <v>54</v>
      </c>
      <c r="F128" s="344">
        <v>16</v>
      </c>
      <c r="G128" s="17" t="s">
        <v>8</v>
      </c>
      <c r="H128" s="508" t="s">
        <v>405</v>
      </c>
      <c r="I128" s="149" t="s">
        <v>406</v>
      </c>
      <c r="J128" s="104" t="s">
        <v>96</v>
      </c>
      <c r="K128" s="162" t="s">
        <v>878</v>
      </c>
      <c r="L128" s="150" t="s">
        <v>329</v>
      </c>
      <c r="M128" s="247" t="s">
        <v>875</v>
      </c>
      <c r="N128" s="24" t="s">
        <v>807</v>
      </c>
      <c r="O128" s="150" t="s">
        <v>225</v>
      </c>
      <c r="P128" s="150" t="s">
        <v>225</v>
      </c>
      <c r="Q128" s="299" t="s">
        <v>664</v>
      </c>
      <c r="R128" s="103" t="s">
        <v>7</v>
      </c>
      <c r="S128" s="102" t="s">
        <v>655</v>
      </c>
      <c r="T128" s="156" t="s">
        <v>7</v>
      </c>
      <c r="U128" s="333"/>
      <c r="V128" s="353" t="e">
        <f>MONTH(T:T)</f>
        <v>#VALUE!</v>
      </c>
      <c r="W128" s="151">
        <f>WEEKNUM(Tabela1[[#This Row],[Data da melhoria]])</f>
        <v>0</v>
      </c>
      <c r="X128" s="339"/>
      <c r="Y128" s="355" t="str">
        <f>IF(Tabela1[[#This Row],[Severidade]]&lt;100, "Baixa",IF(Tabela1[[#This Row],[Severidade]]&gt;=500, "Alta","Média"))</f>
        <v>Média</v>
      </c>
      <c r="Z128" s="355" t="str">
        <f>IF(Tabela1[[#This Row],[Severidade]]&gt;499, "+500",IF(Tabela1[[#This Row],[Severidade]]&lt;=500, "-500"))</f>
        <v>-500</v>
      </c>
      <c r="AA128" s="30" t="s">
        <v>7</v>
      </c>
      <c r="AB128" s="152"/>
      <c r="AC128" s="355">
        <f>MONTH(Tabela1[[#This Row],[Data]])</f>
        <v>9</v>
      </c>
      <c r="AD128" s="166">
        <f>HOUR(Tabela1[[#This Row],[Hora]])</f>
        <v>10</v>
      </c>
      <c r="AE128" s="166" t="str">
        <f t="shared" si="7"/>
        <v>Tarde</v>
      </c>
    </row>
    <row r="129" spans="1:31" ht="43.5" x14ac:dyDescent="0.35">
      <c r="A129" s="158">
        <v>44821</v>
      </c>
      <c r="B129" s="224">
        <f t="shared" si="6"/>
        <v>7</v>
      </c>
      <c r="C129" s="159">
        <v>0.70000000000000007</v>
      </c>
      <c r="D129" s="156">
        <v>75</v>
      </c>
      <c r="E129" s="160">
        <v>81</v>
      </c>
      <c r="F129" s="328">
        <v>23</v>
      </c>
      <c r="G129" s="17" t="s">
        <v>8</v>
      </c>
      <c r="H129" s="161" t="s">
        <v>407</v>
      </c>
      <c r="I129" s="149" t="s">
        <v>408</v>
      </c>
      <c r="J129" s="108" t="s">
        <v>93</v>
      </c>
      <c r="K129" s="162" t="s">
        <v>482</v>
      </c>
      <c r="L129" s="150">
        <v>1</v>
      </c>
      <c r="M129" s="247" t="s">
        <v>622</v>
      </c>
      <c r="N129" s="150" t="s">
        <v>807</v>
      </c>
      <c r="O129" s="150">
        <v>34</v>
      </c>
      <c r="P129" s="150" t="s">
        <v>225</v>
      </c>
      <c r="Q129" s="299" t="s">
        <v>664</v>
      </c>
      <c r="R129" s="103" t="s">
        <v>7</v>
      </c>
      <c r="S129" s="102" t="s">
        <v>43</v>
      </c>
      <c r="T129" s="156" t="s">
        <v>7</v>
      </c>
      <c r="U129" s="158"/>
      <c r="V129" s="151" t="e">
        <f>MONTH(T:T)</f>
        <v>#VALUE!</v>
      </c>
      <c r="W129" s="151">
        <f>WEEKNUM(Tabela1[[#This Row],[Data da melhoria]])</f>
        <v>0</v>
      </c>
      <c r="X129" s="156"/>
      <c r="Y129" s="152" t="str">
        <f>IF(Tabela1[[#This Row],[Severidade]]&lt;100, "Baixa",IF(Tabela1[[#This Row],[Severidade]]&gt;=500, "Alta","Média"))</f>
        <v>Baixa</v>
      </c>
      <c r="Z129" s="152" t="str">
        <f>IF(Tabela1[[#This Row],[Severidade]]&gt;499, "+500",IF(Tabela1[[#This Row],[Severidade]]&lt;=500, "-500"))</f>
        <v>-500</v>
      </c>
      <c r="AA129" s="30" t="s">
        <v>7</v>
      </c>
      <c r="AB129" s="152"/>
      <c r="AC129" s="152">
        <f>MONTH(Tabela1[[#This Row],[Data]])</f>
        <v>9</v>
      </c>
      <c r="AD129" s="12">
        <f>HOUR(Tabela1[[#This Row],[Hora]])</f>
        <v>16</v>
      </c>
      <c r="AE129" s="12" t="str">
        <f t="shared" si="7"/>
        <v>Tarde</v>
      </c>
    </row>
    <row r="130" spans="1:31" ht="29" x14ac:dyDescent="0.35">
      <c r="A130" s="158">
        <v>44827</v>
      </c>
      <c r="B130" s="224">
        <f t="shared" si="6"/>
        <v>6</v>
      </c>
      <c r="C130" s="159">
        <v>0.29375000000000001</v>
      </c>
      <c r="D130" s="156">
        <v>83</v>
      </c>
      <c r="E130" s="160">
        <v>19</v>
      </c>
      <c r="F130" s="328">
        <v>18</v>
      </c>
      <c r="G130" s="17" t="s">
        <v>8</v>
      </c>
      <c r="H130" s="161" t="s">
        <v>360</v>
      </c>
      <c r="I130" s="149" t="s">
        <v>413</v>
      </c>
      <c r="J130" s="149" t="s">
        <v>95</v>
      </c>
      <c r="K130" s="162" t="s">
        <v>411</v>
      </c>
      <c r="L130" s="150" t="s">
        <v>250</v>
      </c>
      <c r="M130" s="247" t="s">
        <v>565</v>
      </c>
      <c r="N130" s="150"/>
      <c r="O130" s="150">
        <v>60</v>
      </c>
      <c r="P130" s="150" t="s">
        <v>383</v>
      </c>
      <c r="Q130" s="299" t="s">
        <v>664</v>
      </c>
      <c r="R130" s="103" t="s">
        <v>12</v>
      </c>
      <c r="S130" s="271">
        <v>25068</v>
      </c>
      <c r="T130" s="156" t="s">
        <v>12</v>
      </c>
      <c r="U130" s="158">
        <v>44851</v>
      </c>
      <c r="V130" s="151" t="e">
        <f>MONTH(T:T)</f>
        <v>#VALUE!</v>
      </c>
      <c r="W130" s="151">
        <f>WEEKNUM(Tabela1[[#This Row],[Data da melhoria]])</f>
        <v>43</v>
      </c>
      <c r="X130" s="156" t="s">
        <v>635</v>
      </c>
      <c r="Y130" s="152" t="str">
        <f>IF(Tabela1[[#This Row],[Severidade]]&lt;100, "Baixa",IF(Tabela1[[#This Row],[Severidade]]&gt;=500, "Alta","Média"))</f>
        <v>Baixa</v>
      </c>
      <c r="Z130" s="152" t="str">
        <f>IF(Tabela1[[#This Row],[Severidade]]&gt;499, "+500",IF(Tabela1[[#This Row],[Severidade]]&lt;=500, "-500"))</f>
        <v>-500</v>
      </c>
      <c r="AA130" s="30" t="s">
        <v>12</v>
      </c>
      <c r="AB130" s="152" t="s">
        <v>17</v>
      </c>
      <c r="AC130" s="152">
        <f>MONTH(Tabela1[[#This Row],[Data]])</f>
        <v>9</v>
      </c>
      <c r="AD130" s="12">
        <f>HOUR(Tabela1[[#This Row],[Hora]])</f>
        <v>7</v>
      </c>
      <c r="AE130" s="12" t="str">
        <f t="shared" si="7"/>
        <v>Tarde</v>
      </c>
    </row>
    <row r="131" spans="1:31" ht="29" x14ac:dyDescent="0.35">
      <c r="A131" s="158">
        <v>44827</v>
      </c>
      <c r="B131" s="224">
        <f t="shared" si="6"/>
        <v>6</v>
      </c>
      <c r="C131" s="159">
        <v>0.51874999999999993</v>
      </c>
      <c r="D131" s="156">
        <v>52</v>
      </c>
      <c r="E131" s="160">
        <v>68</v>
      </c>
      <c r="F131" s="328">
        <v>24</v>
      </c>
      <c r="G131" s="17" t="s">
        <v>8</v>
      </c>
      <c r="H131" s="161" t="s">
        <v>414</v>
      </c>
      <c r="I131" s="149" t="s">
        <v>415</v>
      </c>
      <c r="J131" s="149" t="s">
        <v>96</v>
      </c>
      <c r="K131" s="162" t="s">
        <v>458</v>
      </c>
      <c r="L131" s="150" t="s">
        <v>225</v>
      </c>
      <c r="M131" s="123" t="s">
        <v>225</v>
      </c>
      <c r="N131" s="24" t="s">
        <v>807</v>
      </c>
      <c r="O131" s="150" t="s">
        <v>225</v>
      </c>
      <c r="P131" s="150" t="s">
        <v>225</v>
      </c>
      <c r="Q131" s="299" t="s">
        <v>664</v>
      </c>
      <c r="R131" s="103" t="s">
        <v>7</v>
      </c>
      <c r="S131" s="102" t="s">
        <v>43</v>
      </c>
      <c r="T131" s="156" t="s">
        <v>7</v>
      </c>
      <c r="U131" s="158"/>
      <c r="V131" s="151" t="e">
        <f>MONTH(T:T)</f>
        <v>#VALUE!</v>
      </c>
      <c r="W131" s="151">
        <f>WEEKNUM(Tabela1[[#This Row],[Data da melhoria]])</f>
        <v>0</v>
      </c>
      <c r="X131" s="156"/>
      <c r="Y131" s="152" t="str">
        <f>IF(Tabela1[[#This Row],[Severidade]]&lt;100, "Baixa",IF(Tabela1[[#This Row],[Severidade]]&gt;=500, "Alta","Média"))</f>
        <v>Baixa</v>
      </c>
      <c r="Z131" s="152" t="str">
        <f>IF(Tabela1[[#This Row],[Severidade]]&gt;499, "+500",IF(Tabela1[[#This Row],[Severidade]]&lt;=500, "-500"))</f>
        <v>-500</v>
      </c>
      <c r="AA131" s="30" t="s">
        <v>7</v>
      </c>
      <c r="AB131" s="152"/>
      <c r="AC131" s="152">
        <f>MONTH(Tabela1[[#This Row],[Data]])</f>
        <v>9</v>
      </c>
      <c r="AD131" s="12">
        <f>HOUR(Tabela1[[#This Row],[Hora]])</f>
        <v>12</v>
      </c>
      <c r="AE131" s="12" t="str">
        <f t="shared" si="7"/>
        <v>Tarde</v>
      </c>
    </row>
    <row r="132" spans="1:31" ht="29" x14ac:dyDescent="0.35">
      <c r="A132" s="333">
        <v>44833</v>
      </c>
      <c r="B132" s="335">
        <f t="shared" si="6"/>
        <v>5</v>
      </c>
      <c r="C132" s="337">
        <v>0.67499999999999993</v>
      </c>
      <c r="D132" s="339">
        <v>54</v>
      </c>
      <c r="E132" s="341">
        <v>57</v>
      </c>
      <c r="F132" s="344">
        <v>20</v>
      </c>
      <c r="G132" s="17" t="s">
        <v>8</v>
      </c>
      <c r="H132" s="346" t="s">
        <v>417</v>
      </c>
      <c r="I132" s="149" t="s">
        <v>418</v>
      </c>
      <c r="J132" s="149" t="s">
        <v>97</v>
      </c>
      <c r="K132" s="162" t="s">
        <v>459</v>
      </c>
      <c r="L132" s="150">
        <v>1</v>
      </c>
      <c r="M132" s="123" t="s">
        <v>628</v>
      </c>
      <c r="N132" s="150" t="s">
        <v>808</v>
      </c>
      <c r="O132" s="150">
        <v>20</v>
      </c>
      <c r="P132" s="150" t="s">
        <v>225</v>
      </c>
      <c r="Q132" s="299" t="s">
        <v>664</v>
      </c>
      <c r="R132" s="103" t="s">
        <v>7</v>
      </c>
      <c r="S132" s="102" t="s">
        <v>655</v>
      </c>
      <c r="T132" s="156" t="s">
        <v>7</v>
      </c>
      <c r="U132" s="333"/>
      <c r="V132" s="353" t="e">
        <f>MONTH(T:T)</f>
        <v>#VALUE!</v>
      </c>
      <c r="W132" s="151">
        <f>WEEKNUM(Tabela1[[#This Row],[Data da melhoria]])</f>
        <v>0</v>
      </c>
      <c r="X132" s="339"/>
      <c r="Y132" s="355" t="str">
        <f>IF(Tabela1[[#This Row],[Severidade]]&lt;100, "Baixa",IF(Tabela1[[#This Row],[Severidade]]&gt;=500, "Alta","Média"))</f>
        <v>Baixa</v>
      </c>
      <c r="Z132" s="355" t="str">
        <f>IF(Tabela1[[#This Row],[Severidade]]&gt;499, "+500",IF(Tabela1[[#This Row],[Severidade]]&lt;=500, "-500"))</f>
        <v>-500</v>
      </c>
      <c r="AA132" s="30" t="s">
        <v>7</v>
      </c>
      <c r="AB132" s="152"/>
      <c r="AC132" s="355">
        <f>MONTH(Tabela1[[#This Row],[Data]])</f>
        <v>9</v>
      </c>
      <c r="AD132" s="166">
        <f>HOUR(Tabela1[[#This Row],[Hora]])</f>
        <v>16</v>
      </c>
      <c r="AE132" s="166" t="str">
        <f t="shared" si="7"/>
        <v>Tarde</v>
      </c>
    </row>
    <row r="133" spans="1:31" ht="29" x14ac:dyDescent="0.35">
      <c r="A133" s="158">
        <v>44837</v>
      </c>
      <c r="B133" s="246">
        <f t="shared" si="6"/>
        <v>2</v>
      </c>
      <c r="C133" s="159">
        <v>0.57986111111111105</v>
      </c>
      <c r="D133" s="156">
        <v>664</v>
      </c>
      <c r="E133" s="160">
        <v>34</v>
      </c>
      <c r="F133" s="328">
        <v>23</v>
      </c>
      <c r="G133" s="17" t="s">
        <v>8</v>
      </c>
      <c r="H133" s="161" t="s">
        <v>563</v>
      </c>
      <c r="I133" s="149" t="s">
        <v>564</v>
      </c>
      <c r="J133" s="149" t="s">
        <v>95</v>
      </c>
      <c r="K133" s="162" t="s">
        <v>411</v>
      </c>
      <c r="L133" s="150" t="s">
        <v>250</v>
      </c>
      <c r="M133" s="247" t="s">
        <v>565</v>
      </c>
      <c r="N133" s="150"/>
      <c r="O133" s="150">
        <v>60</v>
      </c>
      <c r="P133" s="24" t="s">
        <v>383</v>
      </c>
      <c r="Q133" s="299" t="s">
        <v>664</v>
      </c>
      <c r="R133" s="248" t="s">
        <v>12</v>
      </c>
      <c r="S133" s="271">
        <v>25068</v>
      </c>
      <c r="T133" s="204" t="s">
        <v>12</v>
      </c>
      <c r="U133" s="202">
        <v>44851</v>
      </c>
      <c r="V133" s="151" t="e">
        <f>MONTH(T:T)</f>
        <v>#VALUE!</v>
      </c>
      <c r="W133" s="151">
        <f>WEEKNUM(Tabela1[[#This Row],[Data da melhoria]])</f>
        <v>43</v>
      </c>
      <c r="X133" s="204" t="s">
        <v>635</v>
      </c>
      <c r="Y133" s="152" t="str">
        <f>IF(Tabela1[[#This Row],[Severidade]]&lt;100, "Baixa",IF(Tabela1[[#This Row],[Severidade]]&gt;=500, "Alta","Média"))</f>
        <v>Alta</v>
      </c>
      <c r="Z133" s="152" t="str">
        <f>IF(Tabela1[[#This Row],[Severidade]]&gt;499, "+500",IF(Tabela1[[#This Row],[Severidade]]&lt;=500, "-500"))</f>
        <v>+500</v>
      </c>
      <c r="AA133" s="152" t="s">
        <v>12</v>
      </c>
      <c r="AB133" s="30" t="s">
        <v>17</v>
      </c>
      <c r="AC133" s="152">
        <f>MONTH(Tabela1[[#This Row],[Data]])</f>
        <v>10</v>
      </c>
      <c r="AD133" s="12">
        <f>HOUR(Tabela1[[#This Row],[Hora]])</f>
        <v>13</v>
      </c>
      <c r="AE133" s="12" t="str">
        <f t="shared" si="7"/>
        <v>Tarde</v>
      </c>
    </row>
    <row r="134" spans="1:31" ht="29" x14ac:dyDescent="0.35">
      <c r="A134" s="158">
        <v>44838</v>
      </c>
      <c r="B134" s="246">
        <f t="shared" ref="B134:B165" si="8">WEEKDAY(A134)</f>
        <v>3</v>
      </c>
      <c r="C134" s="159">
        <v>0.68958333333333333</v>
      </c>
      <c r="D134" s="156">
        <v>465</v>
      </c>
      <c r="E134" s="160">
        <v>31</v>
      </c>
      <c r="F134" s="328">
        <v>24</v>
      </c>
      <c r="G134" s="17" t="s">
        <v>8</v>
      </c>
      <c r="H134" s="161" t="s">
        <v>566</v>
      </c>
      <c r="I134" s="149" t="s">
        <v>567</v>
      </c>
      <c r="J134" s="149" t="s">
        <v>95</v>
      </c>
      <c r="K134" s="162" t="s">
        <v>411</v>
      </c>
      <c r="L134" s="150" t="s">
        <v>250</v>
      </c>
      <c r="M134" s="247" t="s">
        <v>565</v>
      </c>
      <c r="N134" s="150"/>
      <c r="O134" s="150">
        <v>60</v>
      </c>
      <c r="P134" s="24" t="s">
        <v>383</v>
      </c>
      <c r="Q134" s="299" t="s">
        <v>664</v>
      </c>
      <c r="R134" s="248" t="s">
        <v>12</v>
      </c>
      <c r="S134" s="271">
        <v>25068</v>
      </c>
      <c r="T134" s="204" t="s">
        <v>12</v>
      </c>
      <c r="U134" s="202">
        <v>44851</v>
      </c>
      <c r="V134" s="151" t="e">
        <f>MONTH(T:T)</f>
        <v>#VALUE!</v>
      </c>
      <c r="W134" s="151">
        <f>WEEKNUM(Tabela1[[#This Row],[Data da melhoria]])</f>
        <v>43</v>
      </c>
      <c r="X134" s="204" t="s">
        <v>635</v>
      </c>
      <c r="Y134" s="152" t="str">
        <f>IF(Tabela1[[#This Row],[Severidade]]&lt;100, "Baixa",IF(Tabela1[[#This Row],[Severidade]]&gt;=500, "Alta","Média"))</f>
        <v>Média</v>
      </c>
      <c r="Z134" s="152" t="str">
        <f>IF(Tabela1[[#This Row],[Severidade]]&gt;499, "+500",IF(Tabela1[[#This Row],[Severidade]]&lt;=500, "-500"))</f>
        <v>-500</v>
      </c>
      <c r="AA134" s="152" t="s">
        <v>12</v>
      </c>
      <c r="AB134" s="30" t="s">
        <v>17</v>
      </c>
      <c r="AC134" s="152">
        <f>MONTH(Tabela1[[#This Row],[Data]])</f>
        <v>10</v>
      </c>
      <c r="AD134" s="12">
        <f>HOUR(Tabela1[[#This Row],[Hora]])</f>
        <v>16</v>
      </c>
      <c r="AE134" s="12" t="str">
        <f t="shared" ref="AE134:AE165" si="9">IF(AND(AD134&gt;=6,AD134&lt;18),"Tarde","Noite")</f>
        <v>Tarde</v>
      </c>
    </row>
    <row r="135" spans="1:31" ht="29" x14ac:dyDescent="0.35">
      <c r="A135" s="249">
        <v>44839</v>
      </c>
      <c r="B135" s="246">
        <f t="shared" si="8"/>
        <v>4</v>
      </c>
      <c r="C135" s="250">
        <v>0.44513888888888892</v>
      </c>
      <c r="D135" s="251">
        <v>184</v>
      </c>
      <c r="E135" s="252">
        <v>51</v>
      </c>
      <c r="F135" s="329">
        <v>20</v>
      </c>
      <c r="G135" s="17" t="s">
        <v>8</v>
      </c>
      <c r="H135" s="161" t="s">
        <v>568</v>
      </c>
      <c r="I135" s="149" t="s">
        <v>569</v>
      </c>
      <c r="J135" s="149" t="s">
        <v>96</v>
      </c>
      <c r="K135" s="162" t="s">
        <v>459</v>
      </c>
      <c r="L135" s="150">
        <v>1</v>
      </c>
      <c r="M135" s="247" t="s">
        <v>628</v>
      </c>
      <c r="N135" s="150" t="s">
        <v>808</v>
      </c>
      <c r="O135" s="150">
        <v>20</v>
      </c>
      <c r="P135" s="150" t="s">
        <v>225</v>
      </c>
      <c r="Q135" s="299" t="s">
        <v>664</v>
      </c>
      <c r="R135" s="248" t="s">
        <v>7</v>
      </c>
      <c r="S135" s="248" t="s">
        <v>43</v>
      </c>
      <c r="T135" s="156" t="s">
        <v>7</v>
      </c>
      <c r="U135" s="249"/>
      <c r="V135" s="253" t="e">
        <f>MONTH(T:T)</f>
        <v>#VALUE!</v>
      </c>
      <c r="W135" s="151">
        <f>WEEKNUM(Tabela1[[#This Row],[Data da melhoria]])</f>
        <v>0</v>
      </c>
      <c r="X135" s="251"/>
      <c r="Y135" s="254" t="str">
        <f>IF(Tabela1[[#This Row],[Severidade]]&lt;100, "Baixa",IF(Tabela1[[#This Row],[Severidade]]&gt;=500, "Alta","Média"))</f>
        <v>Média</v>
      </c>
      <c r="Z135" s="152" t="str">
        <f>IF(Tabela1[[#This Row],[Severidade]]&gt;499, "+500",IF(Tabela1[[#This Row],[Severidade]]&lt;=500, "-500"))</f>
        <v>-500</v>
      </c>
      <c r="AA135" s="152" t="s">
        <v>7</v>
      </c>
      <c r="AB135" s="152"/>
      <c r="AC135" s="254">
        <f>MONTH(Tabela1[[#This Row],[Data]])</f>
        <v>10</v>
      </c>
      <c r="AD135" s="255">
        <f>HOUR(Tabela1[[#This Row],[Hora]])</f>
        <v>10</v>
      </c>
      <c r="AE135" s="255" t="str">
        <f t="shared" si="9"/>
        <v>Tarde</v>
      </c>
    </row>
    <row r="136" spans="1:31" ht="29" x14ac:dyDescent="0.35">
      <c r="A136" s="158">
        <v>44839</v>
      </c>
      <c r="B136" s="246">
        <f t="shared" si="8"/>
        <v>4</v>
      </c>
      <c r="C136" s="159">
        <v>0.7090277777777777</v>
      </c>
      <c r="D136" s="156">
        <v>113</v>
      </c>
      <c r="E136" s="160">
        <v>60</v>
      </c>
      <c r="F136" s="328">
        <v>20</v>
      </c>
      <c r="G136" s="151" t="s">
        <v>8</v>
      </c>
      <c r="H136" s="161" t="s">
        <v>591</v>
      </c>
      <c r="I136" s="149" t="s">
        <v>592</v>
      </c>
      <c r="J136" s="149" t="s">
        <v>96</v>
      </c>
      <c r="K136" s="162" t="s">
        <v>459</v>
      </c>
      <c r="L136" s="150">
        <v>1</v>
      </c>
      <c r="M136" s="247" t="s">
        <v>629</v>
      </c>
      <c r="N136" s="150" t="s">
        <v>702</v>
      </c>
      <c r="O136" s="150">
        <v>20</v>
      </c>
      <c r="P136" s="150" t="s">
        <v>225</v>
      </c>
      <c r="Q136" s="299" t="s">
        <v>664</v>
      </c>
      <c r="R136" s="248" t="s">
        <v>7</v>
      </c>
      <c r="S136" s="248" t="s">
        <v>43</v>
      </c>
      <c r="T136" s="156" t="s">
        <v>7</v>
      </c>
      <c r="U136" s="158"/>
      <c r="V136" s="151" t="e">
        <f>MONTH(T:T)</f>
        <v>#VALUE!</v>
      </c>
      <c r="W136" s="151">
        <f>WEEKNUM(Tabela1[[#This Row],[Data da melhoria]])</f>
        <v>0</v>
      </c>
      <c r="X136" s="156"/>
      <c r="Y136" s="152" t="str">
        <f>IF(Tabela1[[#This Row],[Severidade]]&lt;100, "Baixa",IF(Tabela1[[#This Row],[Severidade]]&gt;=500, "Alta","Média"))</f>
        <v>Média</v>
      </c>
      <c r="Z136" s="152" t="str">
        <f>IF(Tabela1[[#This Row],[Severidade]]&gt;499, "+500",IF(Tabela1[[#This Row],[Severidade]]&lt;=500, "-500"))</f>
        <v>-500</v>
      </c>
      <c r="AA136" s="152" t="s">
        <v>7</v>
      </c>
      <c r="AB136" s="152"/>
      <c r="AC136" s="152">
        <f>MONTH(Tabela1[[#This Row],[Data]])</f>
        <v>10</v>
      </c>
      <c r="AD136" s="12">
        <f>HOUR(Tabela1[[#This Row],[Hora]])</f>
        <v>17</v>
      </c>
      <c r="AE136" s="12" t="str">
        <f t="shared" si="9"/>
        <v>Tarde</v>
      </c>
    </row>
    <row r="137" spans="1:31" ht="29" x14ac:dyDescent="0.35">
      <c r="A137" s="263">
        <v>44842</v>
      </c>
      <c r="B137" s="246">
        <f t="shared" si="8"/>
        <v>7</v>
      </c>
      <c r="C137" s="264">
        <v>0.5444444444444444</v>
      </c>
      <c r="D137" s="265">
        <v>60</v>
      </c>
      <c r="E137" s="266">
        <v>58</v>
      </c>
      <c r="F137" s="330">
        <v>25</v>
      </c>
      <c r="G137" s="151" t="s">
        <v>8</v>
      </c>
      <c r="H137" s="161" t="s">
        <v>594</v>
      </c>
      <c r="I137" s="149" t="s">
        <v>595</v>
      </c>
      <c r="J137" s="149" t="s">
        <v>96</v>
      </c>
      <c r="K137" s="162" t="s">
        <v>478</v>
      </c>
      <c r="L137" s="150" t="s">
        <v>329</v>
      </c>
      <c r="M137" s="247" t="s">
        <v>225</v>
      </c>
      <c r="N137" s="24" t="s">
        <v>807</v>
      </c>
      <c r="O137" s="150" t="s">
        <v>225</v>
      </c>
      <c r="P137" s="150" t="s">
        <v>225</v>
      </c>
      <c r="Q137" s="299" t="s">
        <v>664</v>
      </c>
      <c r="R137" s="248" t="s">
        <v>7</v>
      </c>
      <c r="S137" s="248" t="s">
        <v>43</v>
      </c>
      <c r="T137" s="156" t="s">
        <v>7</v>
      </c>
      <c r="U137" s="263"/>
      <c r="V137" s="267" t="e">
        <f>MONTH(T:T)</f>
        <v>#VALUE!</v>
      </c>
      <c r="W137" s="151">
        <f>WEEKNUM(Tabela1[[#This Row],[Data da melhoria]])</f>
        <v>0</v>
      </c>
      <c r="X137" s="265"/>
      <c r="Y137" s="268" t="str">
        <f>IF(Tabela1[[#This Row],[Severidade]]&lt;100, "Baixa",IF(Tabela1[[#This Row],[Severidade]]&gt;=500, "Alta","Média"))</f>
        <v>Baixa</v>
      </c>
      <c r="Z137" s="152" t="str">
        <f>IF(Tabela1[[#This Row],[Severidade]]&gt;499, "+500",IF(Tabela1[[#This Row],[Severidade]]&lt;=500, "-500"))</f>
        <v>-500</v>
      </c>
      <c r="AA137" s="152" t="s">
        <v>7</v>
      </c>
      <c r="AB137" s="152"/>
      <c r="AC137" s="268">
        <f>MONTH(Tabela1[[#This Row],[Data]])</f>
        <v>10</v>
      </c>
      <c r="AD137" s="269">
        <f>HOUR(Tabela1[[#This Row],[Hora]])</f>
        <v>13</v>
      </c>
      <c r="AE137" s="269" t="str">
        <f t="shared" si="9"/>
        <v>Tarde</v>
      </c>
    </row>
    <row r="138" spans="1:31" ht="29" x14ac:dyDescent="0.35">
      <c r="A138" s="158">
        <v>44842</v>
      </c>
      <c r="B138" s="246">
        <f t="shared" si="8"/>
        <v>7</v>
      </c>
      <c r="C138" s="159">
        <v>0.56944444444444442</v>
      </c>
      <c r="D138" s="156">
        <v>76</v>
      </c>
      <c r="E138" s="160">
        <v>53</v>
      </c>
      <c r="F138" s="328">
        <v>25</v>
      </c>
      <c r="G138" s="151" t="s">
        <v>8</v>
      </c>
      <c r="H138" s="161" t="s">
        <v>596</v>
      </c>
      <c r="I138" s="149" t="s">
        <v>597</v>
      </c>
      <c r="J138" s="149" t="s">
        <v>96</v>
      </c>
      <c r="K138" s="162" t="s">
        <v>478</v>
      </c>
      <c r="L138" s="150" t="s">
        <v>329</v>
      </c>
      <c r="M138" s="247" t="s">
        <v>225</v>
      </c>
      <c r="N138" s="24" t="s">
        <v>807</v>
      </c>
      <c r="O138" s="150" t="s">
        <v>225</v>
      </c>
      <c r="P138" s="150" t="s">
        <v>225</v>
      </c>
      <c r="Q138" s="299" t="s">
        <v>664</v>
      </c>
      <c r="R138" s="248" t="s">
        <v>7</v>
      </c>
      <c r="S138" s="248" t="s">
        <v>43</v>
      </c>
      <c r="T138" s="156" t="s">
        <v>7</v>
      </c>
      <c r="U138" s="158"/>
      <c r="V138" s="151" t="e">
        <f>MONTH(T:T)</f>
        <v>#VALUE!</v>
      </c>
      <c r="W138" s="151">
        <f>WEEKNUM(Tabela1[[#This Row],[Data da melhoria]])</f>
        <v>0</v>
      </c>
      <c r="X138" s="156"/>
      <c r="Y138" s="152" t="str">
        <f>IF(Tabela1[[#This Row],[Severidade]]&lt;100, "Baixa",IF(Tabela1[[#This Row],[Severidade]]&gt;=500, "Alta","Média"))</f>
        <v>Baixa</v>
      </c>
      <c r="Z138" s="152" t="str">
        <f>IF(Tabela1[[#This Row],[Severidade]]&gt;499, "+500",IF(Tabela1[[#This Row],[Severidade]]&lt;=500, "-500"))</f>
        <v>-500</v>
      </c>
      <c r="AA138" s="152" t="s">
        <v>7</v>
      </c>
      <c r="AB138" s="152"/>
      <c r="AC138" s="152">
        <f>MONTH(Tabela1[[#This Row],[Data]])</f>
        <v>10</v>
      </c>
      <c r="AD138" s="12">
        <f>HOUR(Tabela1[[#This Row],[Hora]])</f>
        <v>13</v>
      </c>
      <c r="AE138" s="12" t="str">
        <f t="shared" si="9"/>
        <v>Tarde</v>
      </c>
    </row>
    <row r="139" spans="1:31" ht="29" x14ac:dyDescent="0.35">
      <c r="A139" s="158">
        <v>44842</v>
      </c>
      <c r="B139" s="246">
        <f t="shared" si="8"/>
        <v>7</v>
      </c>
      <c r="C139" s="159">
        <v>0.6875</v>
      </c>
      <c r="D139" s="156">
        <v>152</v>
      </c>
      <c r="E139" s="160">
        <v>58</v>
      </c>
      <c r="F139" s="328">
        <v>25</v>
      </c>
      <c r="G139" s="151" t="s">
        <v>8</v>
      </c>
      <c r="H139" s="161" t="s">
        <v>598</v>
      </c>
      <c r="I139" s="149" t="s">
        <v>599</v>
      </c>
      <c r="J139" s="149" t="s">
        <v>96</v>
      </c>
      <c r="K139" s="162" t="s">
        <v>457</v>
      </c>
      <c r="L139" s="150" t="s">
        <v>329</v>
      </c>
      <c r="M139" s="247" t="s">
        <v>225</v>
      </c>
      <c r="N139" s="24" t="s">
        <v>807</v>
      </c>
      <c r="O139" s="150" t="s">
        <v>225</v>
      </c>
      <c r="P139" s="150" t="s">
        <v>225</v>
      </c>
      <c r="Q139" s="299" t="s">
        <v>664</v>
      </c>
      <c r="R139" s="248" t="s">
        <v>7</v>
      </c>
      <c r="S139" s="248" t="s">
        <v>43</v>
      </c>
      <c r="T139" s="156" t="s">
        <v>7</v>
      </c>
      <c r="U139" s="158"/>
      <c r="V139" s="151" t="e">
        <f>MONTH(T:T)</f>
        <v>#VALUE!</v>
      </c>
      <c r="W139" s="151">
        <f>WEEKNUM(Tabela1[[#This Row],[Data da melhoria]])</f>
        <v>0</v>
      </c>
      <c r="X139" s="156"/>
      <c r="Y139" s="152" t="str">
        <f>IF(Tabela1[[#This Row],[Severidade]]&lt;100, "Baixa",IF(Tabela1[[#This Row],[Severidade]]&gt;=500, "Alta","Média"))</f>
        <v>Média</v>
      </c>
      <c r="Z139" s="152" t="str">
        <f>IF(Tabela1[[#This Row],[Severidade]]&gt;499, "+500",IF(Tabela1[[#This Row],[Severidade]]&lt;=500, "-500"))</f>
        <v>-500</v>
      </c>
      <c r="AA139" s="152" t="s">
        <v>7</v>
      </c>
      <c r="AB139" s="152"/>
      <c r="AC139" s="152">
        <f>MONTH(Tabela1[[#This Row],[Data]])</f>
        <v>10</v>
      </c>
      <c r="AD139" s="12">
        <f>HOUR(Tabela1[[#This Row],[Hora]])</f>
        <v>16</v>
      </c>
      <c r="AE139" s="12" t="str">
        <f t="shared" si="9"/>
        <v>Tarde</v>
      </c>
    </row>
    <row r="140" spans="1:31" ht="29" x14ac:dyDescent="0.35">
      <c r="A140" s="263">
        <v>44847</v>
      </c>
      <c r="B140" s="246">
        <f t="shared" si="8"/>
        <v>5</v>
      </c>
      <c r="C140" s="264">
        <v>0.39166666666666666</v>
      </c>
      <c r="D140" s="265">
        <v>67</v>
      </c>
      <c r="E140" s="266">
        <v>45</v>
      </c>
      <c r="F140" s="330">
        <v>21</v>
      </c>
      <c r="G140" s="151" t="s">
        <v>8</v>
      </c>
      <c r="H140" s="270" t="s">
        <v>600</v>
      </c>
      <c r="I140" s="149" t="s">
        <v>601</v>
      </c>
      <c r="J140" s="149" t="s">
        <v>359</v>
      </c>
      <c r="K140" s="162" t="s">
        <v>602</v>
      </c>
      <c r="L140" s="150">
        <v>5</v>
      </c>
      <c r="M140" s="247" t="s">
        <v>604</v>
      </c>
      <c r="N140" s="150" t="s">
        <v>807</v>
      </c>
      <c r="O140" s="150">
        <v>5</v>
      </c>
      <c r="P140" s="150" t="s">
        <v>610</v>
      </c>
      <c r="Q140" s="299" t="s">
        <v>664</v>
      </c>
      <c r="R140" s="248" t="s">
        <v>12</v>
      </c>
      <c r="S140" s="248" t="s">
        <v>611</v>
      </c>
      <c r="T140" s="156" t="s">
        <v>7</v>
      </c>
      <c r="U140" s="263"/>
      <c r="V140" s="267" t="e">
        <f>MONTH(T:T)</f>
        <v>#VALUE!</v>
      </c>
      <c r="W140" s="151">
        <f>WEEKNUM(Tabela1[[#This Row],[Data da melhoria]])</f>
        <v>0</v>
      </c>
      <c r="X140" s="265"/>
      <c r="Y140" s="268" t="str">
        <f>IF(Tabela1[[#This Row],[Severidade]]&lt;100, "Baixa",IF(Tabela1[[#This Row],[Severidade]]&gt;=500, "Alta","Média"))</f>
        <v>Baixa</v>
      </c>
      <c r="Z140" s="152" t="str">
        <f>IF(Tabela1[[#This Row],[Severidade]]&gt;499, "+500",IF(Tabela1[[#This Row],[Severidade]]&lt;=500, "-500"))</f>
        <v>-500</v>
      </c>
      <c r="AA140" s="152" t="s">
        <v>7</v>
      </c>
      <c r="AB140" s="152"/>
      <c r="AC140" s="268">
        <f>MONTH(Tabela1[[#This Row],[Data]])</f>
        <v>10</v>
      </c>
      <c r="AD140" s="269">
        <f>HOUR(Tabela1[[#This Row],[Hora]])</f>
        <v>9</v>
      </c>
      <c r="AE140" s="269" t="str">
        <f t="shared" si="9"/>
        <v>Tarde</v>
      </c>
    </row>
    <row r="141" spans="1:31" ht="29" x14ac:dyDescent="0.35">
      <c r="A141" s="263">
        <v>44851</v>
      </c>
      <c r="B141" s="246">
        <f t="shared" si="8"/>
        <v>2</v>
      </c>
      <c r="C141" s="264">
        <v>0.33194444444444443</v>
      </c>
      <c r="D141" s="265">
        <v>1704</v>
      </c>
      <c r="E141" s="266">
        <v>17</v>
      </c>
      <c r="F141" s="330">
        <v>20</v>
      </c>
      <c r="G141" s="151" t="s">
        <v>8</v>
      </c>
      <c r="H141" s="270" t="s">
        <v>612</v>
      </c>
      <c r="I141" s="149" t="s">
        <v>613</v>
      </c>
      <c r="J141" s="149" t="s">
        <v>95</v>
      </c>
      <c r="K141" s="162" t="s">
        <v>411</v>
      </c>
      <c r="L141" s="150" t="s">
        <v>250</v>
      </c>
      <c r="M141" s="247" t="s">
        <v>565</v>
      </c>
      <c r="N141" s="150">
        <v>3</v>
      </c>
      <c r="O141" s="150">
        <v>60</v>
      </c>
      <c r="P141" s="24" t="s">
        <v>383</v>
      </c>
      <c r="Q141" s="299" t="s">
        <v>664</v>
      </c>
      <c r="R141" s="248" t="s">
        <v>12</v>
      </c>
      <c r="S141" s="271">
        <v>25068</v>
      </c>
      <c r="T141" s="204" t="s">
        <v>12</v>
      </c>
      <c r="U141" s="202">
        <v>44851</v>
      </c>
      <c r="V141" s="267" t="e">
        <f>MONTH(T:T)</f>
        <v>#VALUE!</v>
      </c>
      <c r="W141" s="151">
        <f>WEEKNUM(Tabela1[[#This Row],[Data da melhoria]])</f>
        <v>43</v>
      </c>
      <c r="X141" s="204" t="s">
        <v>635</v>
      </c>
      <c r="Y141" s="268" t="str">
        <f>IF(Tabela1[[#This Row],[Severidade]]&lt;100, "Baixa",IF(Tabela1[[#This Row],[Severidade]]&gt;=500, "Alta","Média"))</f>
        <v>Alta</v>
      </c>
      <c r="Z141" s="152" t="str">
        <f>IF(Tabela1[[#This Row],[Severidade]]&gt;499, "+500",IF(Tabela1[[#This Row],[Severidade]]&lt;=500, "-500"))</f>
        <v>+500</v>
      </c>
      <c r="AA141" s="152" t="s">
        <v>12</v>
      </c>
      <c r="AB141" s="30" t="s">
        <v>17</v>
      </c>
      <c r="AC141" s="268">
        <f>MONTH(Tabela1[[#This Row],[Data]])</f>
        <v>10</v>
      </c>
      <c r="AD141" s="269">
        <f>HOUR(Tabela1[[#This Row],[Hora]])</f>
        <v>7</v>
      </c>
      <c r="AE141" s="269" t="str">
        <f t="shared" si="9"/>
        <v>Tarde</v>
      </c>
    </row>
    <row r="142" spans="1:31" ht="29" x14ac:dyDescent="0.35">
      <c r="A142" s="263">
        <v>44851</v>
      </c>
      <c r="B142" s="246">
        <f t="shared" si="8"/>
        <v>2</v>
      </c>
      <c r="C142" s="264">
        <v>0.49652777777777773</v>
      </c>
      <c r="D142" s="265">
        <v>1547</v>
      </c>
      <c r="E142" s="266">
        <v>23</v>
      </c>
      <c r="F142" s="330">
        <v>29</v>
      </c>
      <c r="G142" s="151" t="s">
        <v>8</v>
      </c>
      <c r="H142" s="270" t="s">
        <v>614</v>
      </c>
      <c r="I142" s="149" t="s">
        <v>615</v>
      </c>
      <c r="J142" s="149" t="s">
        <v>95</v>
      </c>
      <c r="K142" s="162" t="s">
        <v>411</v>
      </c>
      <c r="L142" s="150" t="s">
        <v>250</v>
      </c>
      <c r="M142" s="247" t="s">
        <v>565</v>
      </c>
      <c r="N142" s="150">
        <v>3</v>
      </c>
      <c r="O142" s="150">
        <v>60</v>
      </c>
      <c r="P142" s="24" t="s">
        <v>383</v>
      </c>
      <c r="Q142" s="299" t="s">
        <v>664</v>
      </c>
      <c r="R142" s="248" t="s">
        <v>12</v>
      </c>
      <c r="S142" s="271">
        <v>25068</v>
      </c>
      <c r="T142" s="204" t="s">
        <v>12</v>
      </c>
      <c r="U142" s="202">
        <v>44851</v>
      </c>
      <c r="V142" s="267" t="e">
        <f>MONTH(T:T)</f>
        <v>#VALUE!</v>
      </c>
      <c r="W142" s="151">
        <f>WEEKNUM(Tabela1[[#This Row],[Data da melhoria]])</f>
        <v>43</v>
      </c>
      <c r="X142" s="204" t="s">
        <v>635</v>
      </c>
      <c r="Y142" s="268" t="str">
        <f>IF(Tabela1[[#This Row],[Severidade]]&lt;100, "Baixa",IF(Tabela1[[#This Row],[Severidade]]&gt;=500, "Alta","Média"))</f>
        <v>Alta</v>
      </c>
      <c r="Z142" s="152" t="str">
        <f>IF(Tabela1[[#This Row],[Severidade]]&gt;499, "+500",IF(Tabela1[[#This Row],[Severidade]]&lt;=500, "-500"))</f>
        <v>+500</v>
      </c>
      <c r="AA142" s="152" t="s">
        <v>12</v>
      </c>
      <c r="AB142" s="30" t="s">
        <v>17</v>
      </c>
      <c r="AC142" s="268">
        <f>MONTH(Tabela1[[#This Row],[Data]])</f>
        <v>10</v>
      </c>
      <c r="AD142" s="269">
        <f>HOUR(Tabela1[[#This Row],[Hora]])</f>
        <v>11</v>
      </c>
      <c r="AE142" s="269" t="str">
        <f t="shared" si="9"/>
        <v>Tarde</v>
      </c>
    </row>
    <row r="143" spans="1:31" ht="29" x14ac:dyDescent="0.35">
      <c r="A143" s="263">
        <v>44851</v>
      </c>
      <c r="B143" s="246">
        <f t="shared" si="8"/>
        <v>2</v>
      </c>
      <c r="C143" s="264">
        <v>0.50208333333333333</v>
      </c>
      <c r="D143" s="265">
        <v>1750</v>
      </c>
      <c r="E143" s="266">
        <v>21</v>
      </c>
      <c r="F143" s="330">
        <v>29</v>
      </c>
      <c r="G143" s="151" t="s">
        <v>8</v>
      </c>
      <c r="H143" s="270" t="s">
        <v>616</v>
      </c>
      <c r="I143" s="149" t="s">
        <v>617</v>
      </c>
      <c r="J143" s="149" t="s">
        <v>95</v>
      </c>
      <c r="K143" s="162" t="s">
        <v>411</v>
      </c>
      <c r="L143" s="150" t="s">
        <v>250</v>
      </c>
      <c r="M143" s="247" t="s">
        <v>565</v>
      </c>
      <c r="N143" s="150">
        <v>3</v>
      </c>
      <c r="O143" s="150">
        <v>60</v>
      </c>
      <c r="P143" s="24" t="s">
        <v>383</v>
      </c>
      <c r="Q143" s="299" t="s">
        <v>664</v>
      </c>
      <c r="R143" s="248" t="s">
        <v>12</v>
      </c>
      <c r="S143" s="271">
        <v>25068</v>
      </c>
      <c r="T143" s="204" t="s">
        <v>12</v>
      </c>
      <c r="U143" s="202">
        <v>44851</v>
      </c>
      <c r="V143" s="267" t="e">
        <f>MONTH(T:T)</f>
        <v>#VALUE!</v>
      </c>
      <c r="W143" s="151">
        <f>WEEKNUM(Tabela1[[#This Row],[Data da melhoria]])</f>
        <v>43</v>
      </c>
      <c r="X143" s="204" t="s">
        <v>635</v>
      </c>
      <c r="Y143" s="268" t="str">
        <f>IF(Tabela1[[#This Row],[Severidade]]&lt;100, "Baixa",IF(Tabela1[[#This Row],[Severidade]]&gt;=500, "Alta","Média"))</f>
        <v>Alta</v>
      </c>
      <c r="Z143" s="152" t="str">
        <f>IF(Tabela1[[#This Row],[Severidade]]&gt;499, "+500",IF(Tabela1[[#This Row],[Severidade]]&lt;=500, "-500"))</f>
        <v>+500</v>
      </c>
      <c r="AA143" s="152" t="s">
        <v>12</v>
      </c>
      <c r="AB143" s="30" t="s">
        <v>17</v>
      </c>
      <c r="AC143" s="268">
        <f>MONTH(Tabela1[[#This Row],[Data]])</f>
        <v>10</v>
      </c>
      <c r="AD143" s="269">
        <f>HOUR(Tabela1[[#This Row],[Hora]])</f>
        <v>12</v>
      </c>
      <c r="AE143" s="269" t="str">
        <f t="shared" si="9"/>
        <v>Tarde</v>
      </c>
    </row>
    <row r="144" spans="1:31" ht="29" x14ac:dyDescent="0.35">
      <c r="A144" s="158">
        <v>44853</v>
      </c>
      <c r="B144" s="246">
        <f t="shared" si="8"/>
        <v>4</v>
      </c>
      <c r="C144" s="159">
        <v>0.49027777777777781</v>
      </c>
      <c r="D144" s="156">
        <v>51</v>
      </c>
      <c r="E144" s="160">
        <v>40</v>
      </c>
      <c r="F144" s="328">
        <v>20</v>
      </c>
      <c r="G144" s="151" t="s">
        <v>8</v>
      </c>
      <c r="H144" s="161" t="s">
        <v>633</v>
      </c>
      <c r="I144" s="149" t="s">
        <v>634</v>
      </c>
      <c r="J144" s="149" t="s">
        <v>95</v>
      </c>
      <c r="K144" s="162" t="s">
        <v>488</v>
      </c>
      <c r="L144" s="150">
        <v>1</v>
      </c>
      <c r="M144" s="123" t="s">
        <v>497</v>
      </c>
      <c r="N144" s="150" t="s">
        <v>808</v>
      </c>
      <c r="O144" s="150">
        <v>27</v>
      </c>
      <c r="P144" s="24" t="s">
        <v>225</v>
      </c>
      <c r="Q144" s="299" t="s">
        <v>664</v>
      </c>
      <c r="R144" s="248" t="s">
        <v>7</v>
      </c>
      <c r="S144" s="248" t="s">
        <v>43</v>
      </c>
      <c r="T144" s="156" t="s">
        <v>7</v>
      </c>
      <c r="U144" s="158"/>
      <c r="V144" s="151" t="e">
        <f>MONTH(T:T)</f>
        <v>#VALUE!</v>
      </c>
      <c r="W144" s="151">
        <f>WEEKNUM(Tabela1[[#This Row],[Data da melhoria]])</f>
        <v>0</v>
      </c>
      <c r="X144" s="156"/>
      <c r="Y144" s="152" t="str">
        <f>IF(Tabela1[[#This Row],[Severidade]]&lt;100, "Baixa",IF(Tabela1[[#This Row],[Severidade]]&gt;=500, "Alta","Média"))</f>
        <v>Baixa</v>
      </c>
      <c r="Z144" s="152" t="str">
        <f>IF(Tabela1[[#This Row],[Severidade]]&gt;499, "+500",IF(Tabela1[[#This Row],[Severidade]]&lt;=500, "-500"))</f>
        <v>-500</v>
      </c>
      <c r="AA144" s="152" t="s">
        <v>7</v>
      </c>
      <c r="AB144" s="152"/>
      <c r="AC144" s="152">
        <f>MONTH(Tabela1[[#This Row],[Data]])</f>
        <v>10</v>
      </c>
      <c r="AD144" s="12">
        <f>HOUR(Tabela1[[#This Row],[Hora]])</f>
        <v>11</v>
      </c>
      <c r="AE144" s="12" t="str">
        <f t="shared" si="9"/>
        <v>Tarde</v>
      </c>
    </row>
    <row r="145" spans="1:31" ht="29" x14ac:dyDescent="0.35">
      <c r="A145" s="263">
        <v>44858</v>
      </c>
      <c r="B145" s="246">
        <f t="shared" si="8"/>
        <v>2</v>
      </c>
      <c r="C145" s="264">
        <v>0.35069444444444442</v>
      </c>
      <c r="D145" s="265">
        <v>58</v>
      </c>
      <c r="E145" s="266">
        <v>55</v>
      </c>
      <c r="F145" s="330">
        <v>20</v>
      </c>
      <c r="G145" s="151" t="s">
        <v>8</v>
      </c>
      <c r="H145" s="293" t="s">
        <v>645</v>
      </c>
      <c r="I145" s="149" t="s">
        <v>646</v>
      </c>
      <c r="J145" s="149" t="s">
        <v>95</v>
      </c>
      <c r="K145" s="162" t="s">
        <v>647</v>
      </c>
      <c r="L145" s="150">
        <v>2</v>
      </c>
      <c r="M145" s="247" t="s">
        <v>225</v>
      </c>
      <c r="N145" s="24" t="s">
        <v>807</v>
      </c>
      <c r="O145" s="150" t="s">
        <v>225</v>
      </c>
      <c r="P145" s="150" t="s">
        <v>225</v>
      </c>
      <c r="Q145" s="299" t="s">
        <v>664</v>
      </c>
      <c r="R145" s="248" t="s">
        <v>7</v>
      </c>
      <c r="S145" s="248" t="s">
        <v>43</v>
      </c>
      <c r="T145" s="156" t="s">
        <v>7</v>
      </c>
      <c r="U145" s="263"/>
      <c r="V145" s="267" t="e">
        <f>MONTH(T:T)</f>
        <v>#VALUE!</v>
      </c>
      <c r="W145" s="151">
        <f>WEEKNUM(Tabela1[[#This Row],[Data da melhoria]])</f>
        <v>0</v>
      </c>
      <c r="X145" s="265"/>
      <c r="Y145" s="268" t="str">
        <f>IF(Tabela1[[#This Row],[Severidade]]&lt;100, "Baixa",IF(Tabela1[[#This Row],[Severidade]]&gt;=500, "Alta","Média"))</f>
        <v>Baixa</v>
      </c>
      <c r="Z145" s="152" t="str">
        <f>IF(Tabela1[[#This Row],[Severidade]]&gt;499, "+500",IF(Tabela1[[#This Row],[Severidade]]&lt;=500, "-500"))</f>
        <v>-500</v>
      </c>
      <c r="AA145" s="152" t="s">
        <v>7</v>
      </c>
      <c r="AB145" s="152"/>
      <c r="AC145" s="268">
        <f>MONTH(Tabela1[[#This Row],[Data]])</f>
        <v>10</v>
      </c>
      <c r="AD145" s="269">
        <f>HOUR(Tabela1[[#This Row],[Hora]])</f>
        <v>8</v>
      </c>
      <c r="AE145" s="269" t="str">
        <f t="shared" si="9"/>
        <v>Tarde</v>
      </c>
    </row>
    <row r="146" spans="1:31" ht="29" x14ac:dyDescent="0.35">
      <c r="A146" s="263">
        <v>44858</v>
      </c>
      <c r="B146" s="246">
        <f t="shared" si="8"/>
        <v>2</v>
      </c>
      <c r="C146" s="264">
        <v>0.54097222222222219</v>
      </c>
      <c r="D146" s="265">
        <v>68</v>
      </c>
      <c r="E146" s="266">
        <v>74</v>
      </c>
      <c r="F146" s="330">
        <v>27</v>
      </c>
      <c r="G146" s="151" t="s">
        <v>8</v>
      </c>
      <c r="H146" s="270" t="s">
        <v>657</v>
      </c>
      <c r="I146" s="149" t="s">
        <v>658</v>
      </c>
      <c r="J146" s="149" t="s">
        <v>94</v>
      </c>
      <c r="K146" s="162" t="s">
        <v>659</v>
      </c>
      <c r="L146" s="150">
        <v>3</v>
      </c>
      <c r="M146" s="247" t="s">
        <v>660</v>
      </c>
      <c r="N146" s="150" t="s">
        <v>807</v>
      </c>
      <c r="O146" s="150">
        <v>14</v>
      </c>
      <c r="P146" s="150" t="s">
        <v>225</v>
      </c>
      <c r="Q146" s="299" t="s">
        <v>664</v>
      </c>
      <c r="R146" s="248" t="s">
        <v>7</v>
      </c>
      <c r="S146" s="248" t="s">
        <v>43</v>
      </c>
      <c r="T146" s="156" t="s">
        <v>7</v>
      </c>
      <c r="U146" s="263"/>
      <c r="V146" s="267" t="e">
        <f>MONTH(T:T)</f>
        <v>#VALUE!</v>
      </c>
      <c r="W146" s="151">
        <f>WEEKNUM(Tabela1[[#This Row],[Data da melhoria]])</f>
        <v>0</v>
      </c>
      <c r="X146" s="265"/>
      <c r="Y146" s="268" t="str">
        <f>IF(Tabela1[[#This Row],[Severidade]]&lt;100, "Baixa",IF(Tabela1[[#This Row],[Severidade]]&gt;=500, "Alta","Média"))</f>
        <v>Baixa</v>
      </c>
      <c r="Z146" s="152" t="str">
        <f>IF(Tabela1[[#This Row],[Severidade]]&gt;499, "+500",IF(Tabela1[[#This Row],[Severidade]]&lt;=500, "-500"))</f>
        <v>-500</v>
      </c>
      <c r="AA146" s="152" t="s">
        <v>7</v>
      </c>
      <c r="AB146" s="152"/>
      <c r="AC146" s="268">
        <f>MONTH(Tabela1[[#This Row],[Data]])</f>
        <v>10</v>
      </c>
      <c r="AD146" s="269">
        <f>HOUR(Tabela1[[#This Row],[Hora]])</f>
        <v>12</v>
      </c>
      <c r="AE146" s="269" t="str">
        <f t="shared" si="9"/>
        <v>Tarde</v>
      </c>
    </row>
    <row r="147" spans="1:31" ht="29" x14ac:dyDescent="0.35">
      <c r="A147" s="158">
        <v>44859</v>
      </c>
      <c r="B147" s="246">
        <f t="shared" si="8"/>
        <v>3</v>
      </c>
      <c r="C147" s="159">
        <v>0.74861111111111101</v>
      </c>
      <c r="D147" s="156">
        <v>50</v>
      </c>
      <c r="E147" s="160">
        <v>67</v>
      </c>
      <c r="F147" s="328">
        <v>21</v>
      </c>
      <c r="G147" s="151" t="s">
        <v>8</v>
      </c>
      <c r="H147" s="161" t="s">
        <v>661</v>
      </c>
      <c r="I147" s="149" t="s">
        <v>662</v>
      </c>
      <c r="J147" s="149" t="s">
        <v>95</v>
      </c>
      <c r="K147" s="162" t="s">
        <v>483</v>
      </c>
      <c r="L147" s="150">
        <v>1</v>
      </c>
      <c r="M147" s="247" t="s">
        <v>663</v>
      </c>
      <c r="N147" s="150" t="s">
        <v>807</v>
      </c>
      <c r="O147" s="150">
        <v>45</v>
      </c>
      <c r="P147" s="150" t="s">
        <v>225</v>
      </c>
      <c r="Q147" s="299" t="s">
        <v>664</v>
      </c>
      <c r="R147" s="248" t="s">
        <v>7</v>
      </c>
      <c r="S147" s="248" t="s">
        <v>43</v>
      </c>
      <c r="T147" s="156" t="s">
        <v>7</v>
      </c>
      <c r="U147" s="158"/>
      <c r="V147" s="151" t="e">
        <f>MONTH(T:T)</f>
        <v>#VALUE!</v>
      </c>
      <c r="W147" s="151">
        <f>WEEKNUM(Tabela1[[#This Row],[Data da melhoria]])</f>
        <v>0</v>
      </c>
      <c r="X147" s="156"/>
      <c r="Y147" s="152" t="str">
        <f>IF(Tabela1[[#This Row],[Severidade]]&lt;100, "Baixa",IF(Tabela1[[#This Row],[Severidade]]&gt;=500, "Alta","Média"))</f>
        <v>Baixa</v>
      </c>
      <c r="Z147" s="152" t="str">
        <f>IF(Tabela1[[#This Row],[Severidade]]&gt;499, "+500",IF(Tabela1[[#This Row],[Severidade]]&lt;=500, "-500"))</f>
        <v>-500</v>
      </c>
      <c r="AA147" s="152" t="s">
        <v>7</v>
      </c>
      <c r="AB147" s="152"/>
      <c r="AC147" s="152">
        <f>MONTH(Tabela1[[#This Row],[Data]])</f>
        <v>10</v>
      </c>
      <c r="AD147" s="12">
        <f>HOUR(Tabela1[[#This Row],[Hora]])</f>
        <v>17</v>
      </c>
      <c r="AE147" s="12" t="str">
        <f t="shared" si="9"/>
        <v>Tarde</v>
      </c>
    </row>
    <row r="148" spans="1:31" ht="29" x14ac:dyDescent="0.35">
      <c r="A148" s="158">
        <v>44861</v>
      </c>
      <c r="B148" s="246">
        <f t="shared" si="8"/>
        <v>5</v>
      </c>
      <c r="C148" s="159">
        <v>0.72152777777777777</v>
      </c>
      <c r="D148" s="156">
        <v>396</v>
      </c>
      <c r="E148" s="160">
        <v>73</v>
      </c>
      <c r="F148" s="328">
        <v>20</v>
      </c>
      <c r="G148" s="151" t="s">
        <v>8</v>
      </c>
      <c r="H148" s="161" t="s">
        <v>665</v>
      </c>
      <c r="I148" s="149" t="s">
        <v>666</v>
      </c>
      <c r="J148" s="149" t="s">
        <v>94</v>
      </c>
      <c r="K148" s="162" t="s">
        <v>464</v>
      </c>
      <c r="L148" s="150">
        <v>4</v>
      </c>
      <c r="M148" s="247" t="s">
        <v>667</v>
      </c>
      <c r="N148" s="150" t="s">
        <v>807</v>
      </c>
      <c r="O148" s="150">
        <v>20</v>
      </c>
      <c r="P148" s="300" t="s">
        <v>225</v>
      </c>
      <c r="Q148" s="157" t="s">
        <v>664</v>
      </c>
      <c r="R148" s="301" t="s">
        <v>7</v>
      </c>
      <c r="S148" s="248" t="s">
        <v>43</v>
      </c>
      <c r="T148" s="156" t="s">
        <v>7</v>
      </c>
      <c r="U148" s="158"/>
      <c r="V148" s="151" t="e">
        <f>MONTH(T:T)</f>
        <v>#VALUE!</v>
      </c>
      <c r="W148" s="151">
        <f>WEEKNUM(Tabela1[[#This Row],[Data da melhoria]])</f>
        <v>0</v>
      </c>
      <c r="X148" s="156"/>
      <c r="Y148" s="152" t="str">
        <f>IF(Tabela1[[#This Row],[Severidade]]&lt;100, "Baixa",IF(Tabela1[[#This Row],[Severidade]]&gt;=500, "Alta","Média"))</f>
        <v>Média</v>
      </c>
      <c r="Z148" s="152" t="str">
        <f>IF(Tabela1[[#This Row],[Severidade]]&gt;499, "+500",IF(Tabela1[[#This Row],[Severidade]]&lt;=500, "-500"))</f>
        <v>-500</v>
      </c>
      <c r="AA148" s="152" t="s">
        <v>7</v>
      </c>
      <c r="AB148" s="152"/>
      <c r="AC148" s="152">
        <f>MONTH(Tabela1[[#This Row],[Data]])</f>
        <v>10</v>
      </c>
      <c r="AD148" s="12">
        <f>HOUR(Tabela1[[#This Row],[Hora]])</f>
        <v>17</v>
      </c>
      <c r="AE148" s="12" t="str">
        <f t="shared" si="9"/>
        <v>Tarde</v>
      </c>
    </row>
    <row r="149" spans="1:31" ht="29" x14ac:dyDescent="0.35">
      <c r="A149" s="158">
        <v>44861</v>
      </c>
      <c r="B149" s="246">
        <f t="shared" si="8"/>
        <v>5</v>
      </c>
      <c r="C149" s="303">
        <v>0.76388888888888884</v>
      </c>
      <c r="D149" s="304">
        <v>58</v>
      </c>
      <c r="E149" s="160" t="s">
        <v>669</v>
      </c>
      <c r="F149" s="328">
        <v>20</v>
      </c>
      <c r="G149" s="151" t="s">
        <v>8</v>
      </c>
      <c r="H149" s="161" t="s">
        <v>670</v>
      </c>
      <c r="I149" s="149" t="s">
        <v>668</v>
      </c>
      <c r="J149" s="149" t="s">
        <v>95</v>
      </c>
      <c r="K149" s="162" t="s">
        <v>452</v>
      </c>
      <c r="L149" s="150">
        <v>2</v>
      </c>
      <c r="M149" s="247" t="s">
        <v>671</v>
      </c>
      <c r="N149" s="56">
        <v>6</v>
      </c>
      <c r="O149" s="150">
        <v>59</v>
      </c>
      <c r="P149" s="300" t="s">
        <v>225</v>
      </c>
      <c r="Q149" s="157" t="s">
        <v>664</v>
      </c>
      <c r="R149" s="301" t="s">
        <v>7</v>
      </c>
      <c r="S149" s="248" t="s">
        <v>43</v>
      </c>
      <c r="T149" s="156" t="s">
        <v>7</v>
      </c>
      <c r="U149" s="302"/>
      <c r="V149" s="305" t="e">
        <f>MONTH(T:T)</f>
        <v>#VALUE!</v>
      </c>
      <c r="W149" s="151">
        <f>WEEKNUM(Tabela1[[#This Row],[Data da melhoria]])</f>
        <v>0</v>
      </c>
      <c r="X149" s="304"/>
      <c r="Y149" s="306" t="str">
        <f>IF(Tabela1[[#This Row],[Severidade]]&lt;100, "Baixa",IF(Tabela1[[#This Row],[Severidade]]&gt;=500, "Alta","Média"))</f>
        <v>Baixa</v>
      </c>
      <c r="Z149" s="152" t="str">
        <f>IF(Tabela1[[#This Row],[Severidade]]&gt;499, "+500",IF(Tabela1[[#This Row],[Severidade]]&lt;=500, "-500"))</f>
        <v>-500</v>
      </c>
      <c r="AA149" s="152" t="s">
        <v>7</v>
      </c>
      <c r="AB149" s="152"/>
      <c r="AC149" s="306">
        <f>MONTH(Tabela1[[#This Row],[Data]])</f>
        <v>10</v>
      </c>
      <c r="AD149" s="307">
        <f>HOUR(Tabela1[[#This Row],[Hora]])</f>
        <v>18</v>
      </c>
      <c r="AE149" s="307" t="str">
        <f t="shared" si="9"/>
        <v>Noite</v>
      </c>
    </row>
    <row r="150" spans="1:31" ht="29" x14ac:dyDescent="0.35">
      <c r="A150" s="158">
        <v>44862</v>
      </c>
      <c r="B150" s="246">
        <f t="shared" si="8"/>
        <v>6</v>
      </c>
      <c r="C150" s="159">
        <v>0.8693171296296297</v>
      </c>
      <c r="D150" s="156">
        <v>52</v>
      </c>
      <c r="E150" s="160">
        <v>67</v>
      </c>
      <c r="F150" s="328">
        <v>23</v>
      </c>
      <c r="G150" s="151" t="s">
        <v>8</v>
      </c>
      <c r="H150" s="161" t="s">
        <v>672</v>
      </c>
      <c r="I150" s="149" t="s">
        <v>673</v>
      </c>
      <c r="J150" s="149" t="s">
        <v>97</v>
      </c>
      <c r="K150" s="162" t="s">
        <v>675</v>
      </c>
      <c r="L150" s="150">
        <v>2</v>
      </c>
      <c r="M150" s="247" t="s">
        <v>674</v>
      </c>
      <c r="N150" s="150" t="s">
        <v>807</v>
      </c>
      <c r="O150" s="150">
        <v>21</v>
      </c>
      <c r="P150" s="300" t="s">
        <v>225</v>
      </c>
      <c r="Q150" s="157" t="s">
        <v>664</v>
      </c>
      <c r="R150" s="301" t="s">
        <v>7</v>
      </c>
      <c r="S150" s="248" t="s">
        <v>43</v>
      </c>
      <c r="T150" s="156" t="s">
        <v>7</v>
      </c>
      <c r="U150" s="158"/>
      <c r="V150" s="151" t="e">
        <f>MONTH(T:T)</f>
        <v>#VALUE!</v>
      </c>
      <c r="W150" s="151">
        <f>WEEKNUM(Tabela1[[#This Row],[Data da melhoria]])</f>
        <v>0</v>
      </c>
      <c r="X150" s="156"/>
      <c r="Y150" s="152" t="str">
        <f>IF(Tabela1[[#This Row],[Severidade]]&lt;100, "Baixa",IF(Tabela1[[#This Row],[Severidade]]&gt;=500, "Alta","Média"))</f>
        <v>Baixa</v>
      </c>
      <c r="Z150" s="152" t="str">
        <f>IF(Tabela1[[#This Row],[Severidade]]&gt;499, "+500",IF(Tabela1[[#This Row],[Severidade]]&lt;=500, "-500"))</f>
        <v>-500</v>
      </c>
      <c r="AA150" s="152" t="s">
        <v>7</v>
      </c>
      <c r="AB150" s="152"/>
      <c r="AC150" s="152">
        <f>MONTH(Tabela1[[#This Row],[Data]])</f>
        <v>10</v>
      </c>
      <c r="AD150" s="12">
        <f>HOUR(Tabela1[[#This Row],[Hora]])</f>
        <v>20</v>
      </c>
      <c r="AE150" s="12" t="str">
        <f t="shared" si="9"/>
        <v>Noite</v>
      </c>
    </row>
    <row r="151" spans="1:31" ht="29" x14ac:dyDescent="0.35">
      <c r="A151" s="158">
        <v>44866</v>
      </c>
      <c r="B151" s="246">
        <f t="shared" si="8"/>
        <v>3</v>
      </c>
      <c r="C151" s="159">
        <v>0.59097222222222223</v>
      </c>
      <c r="D151" s="156">
        <v>54</v>
      </c>
      <c r="E151" s="160">
        <v>55</v>
      </c>
      <c r="F151" s="328">
        <v>25</v>
      </c>
      <c r="G151" s="151" t="s">
        <v>8</v>
      </c>
      <c r="H151" s="161" t="s">
        <v>705</v>
      </c>
      <c r="I151" s="149" t="s">
        <v>706</v>
      </c>
      <c r="J151" s="149" t="s">
        <v>95</v>
      </c>
      <c r="K151" s="162" t="s">
        <v>647</v>
      </c>
      <c r="L151" s="150">
        <v>2</v>
      </c>
      <c r="M151" s="247" t="s">
        <v>225</v>
      </c>
      <c r="N151" s="24" t="s">
        <v>807</v>
      </c>
      <c r="O151" s="150" t="s">
        <v>225</v>
      </c>
      <c r="P151" s="300" t="s">
        <v>225</v>
      </c>
      <c r="Q151" s="157" t="s">
        <v>664</v>
      </c>
      <c r="R151" s="301" t="s">
        <v>7</v>
      </c>
      <c r="S151" s="248" t="s">
        <v>43</v>
      </c>
      <c r="T151" s="156" t="s">
        <v>7</v>
      </c>
      <c r="U151" s="158"/>
      <c r="V151" s="151" t="e">
        <f>MONTH(T:T)</f>
        <v>#VALUE!</v>
      </c>
      <c r="W151" s="151">
        <f>WEEKNUM(Tabela1[[#This Row],[Data da melhoria]])</f>
        <v>0</v>
      </c>
      <c r="X151" s="156"/>
      <c r="Y151" s="152" t="str">
        <f>IF(Tabela1[[#This Row],[Severidade]]&lt;100, "Baixa",IF(Tabela1[[#This Row],[Severidade]]&gt;=500, "Alta","Média"))</f>
        <v>Baixa</v>
      </c>
      <c r="Z151" s="152" t="str">
        <f>IF(Tabela1[[#This Row],[Severidade]]&gt;499, "+500",IF(Tabela1[[#This Row],[Severidade]]&lt;=500, "-500"))</f>
        <v>-500</v>
      </c>
      <c r="AA151" s="152" t="s">
        <v>7</v>
      </c>
      <c r="AB151" s="152"/>
      <c r="AC151" s="152">
        <f>MONTH(Tabela1[[#This Row],[Data]])</f>
        <v>11</v>
      </c>
      <c r="AD151" s="12">
        <f>HOUR(Tabela1[[#This Row],[Hora]])</f>
        <v>14</v>
      </c>
      <c r="AE151" s="12" t="str">
        <f t="shared" si="9"/>
        <v>Tarde</v>
      </c>
    </row>
    <row r="152" spans="1:31" ht="29" x14ac:dyDescent="0.35">
      <c r="A152" s="158">
        <v>44866</v>
      </c>
      <c r="B152" s="246">
        <f t="shared" si="8"/>
        <v>3</v>
      </c>
      <c r="C152" s="159">
        <v>0.74375000000000002</v>
      </c>
      <c r="D152" s="156">
        <v>67</v>
      </c>
      <c r="E152" s="160">
        <v>56</v>
      </c>
      <c r="F152" s="328">
        <v>19</v>
      </c>
      <c r="G152" s="151" t="s">
        <v>8</v>
      </c>
      <c r="H152" s="161" t="s">
        <v>707</v>
      </c>
      <c r="I152" s="149" t="s">
        <v>708</v>
      </c>
      <c r="J152" s="149" t="s">
        <v>97</v>
      </c>
      <c r="K152" s="162" t="s">
        <v>459</v>
      </c>
      <c r="L152" s="150">
        <v>2</v>
      </c>
      <c r="M152" s="247" t="s">
        <v>629</v>
      </c>
      <c r="N152" s="150" t="s">
        <v>702</v>
      </c>
      <c r="O152" s="150">
        <v>20</v>
      </c>
      <c r="P152" s="300" t="s">
        <v>225</v>
      </c>
      <c r="Q152" s="157" t="s">
        <v>664</v>
      </c>
      <c r="R152" s="301" t="s">
        <v>7</v>
      </c>
      <c r="S152" s="248" t="s">
        <v>43</v>
      </c>
      <c r="T152" s="156" t="s">
        <v>7</v>
      </c>
      <c r="U152" s="158"/>
      <c r="V152" s="151" t="e">
        <f>MONTH(T:T)</f>
        <v>#VALUE!</v>
      </c>
      <c r="W152" s="151">
        <f>WEEKNUM(Tabela1[[#This Row],[Data da melhoria]])</f>
        <v>0</v>
      </c>
      <c r="X152" s="156"/>
      <c r="Y152" s="152" t="str">
        <f>IF(Tabela1[[#This Row],[Severidade]]&lt;100, "Baixa",IF(Tabela1[[#This Row],[Severidade]]&gt;=500, "Alta","Média"))</f>
        <v>Baixa</v>
      </c>
      <c r="Z152" s="152" t="str">
        <f>IF(Tabela1[[#This Row],[Severidade]]&gt;499, "+500",IF(Tabela1[[#This Row],[Severidade]]&lt;=500, "-500"))</f>
        <v>-500</v>
      </c>
      <c r="AA152" s="152" t="s">
        <v>7</v>
      </c>
      <c r="AB152" s="152"/>
      <c r="AC152" s="152">
        <f>MONTH(Tabela1[[#This Row],[Data]])</f>
        <v>11</v>
      </c>
      <c r="AD152" s="12">
        <f>HOUR(Tabela1[[#This Row],[Hora]])</f>
        <v>17</v>
      </c>
      <c r="AE152" s="12" t="str">
        <f t="shared" si="9"/>
        <v>Tarde</v>
      </c>
    </row>
    <row r="153" spans="1:31" ht="29" x14ac:dyDescent="0.35">
      <c r="A153" s="158">
        <v>44868</v>
      </c>
      <c r="B153" s="246">
        <f t="shared" si="8"/>
        <v>5</v>
      </c>
      <c r="C153" s="159">
        <v>0.50486111111111109</v>
      </c>
      <c r="D153" s="156">
        <v>237</v>
      </c>
      <c r="E153" s="160">
        <v>56</v>
      </c>
      <c r="F153" s="328">
        <v>21</v>
      </c>
      <c r="G153" s="151" t="s">
        <v>8</v>
      </c>
      <c r="H153" s="161" t="s">
        <v>709</v>
      </c>
      <c r="I153" s="149" t="s">
        <v>710</v>
      </c>
      <c r="J153" s="149" t="s">
        <v>96</v>
      </c>
      <c r="K153" s="162" t="s">
        <v>459</v>
      </c>
      <c r="L153" s="150">
        <v>1</v>
      </c>
      <c r="M153" s="247" t="s">
        <v>629</v>
      </c>
      <c r="N153" s="150" t="s">
        <v>702</v>
      </c>
      <c r="O153" s="150">
        <v>20</v>
      </c>
      <c r="P153" s="300" t="s">
        <v>225</v>
      </c>
      <c r="Q153" s="157" t="s">
        <v>664</v>
      </c>
      <c r="R153" s="301" t="s">
        <v>7</v>
      </c>
      <c r="S153" s="248" t="s">
        <v>43</v>
      </c>
      <c r="T153" s="156" t="s">
        <v>7</v>
      </c>
      <c r="U153" s="158"/>
      <c r="V153" s="151" t="e">
        <f>MONTH(T:T)</f>
        <v>#VALUE!</v>
      </c>
      <c r="W153" s="151">
        <f>WEEKNUM(Tabela1[[#This Row],[Data da melhoria]])</f>
        <v>0</v>
      </c>
      <c r="X153" s="156"/>
      <c r="Y153" s="152" t="str">
        <f>IF(Tabela1[[#This Row],[Severidade]]&lt;100, "Baixa",IF(Tabela1[[#This Row],[Severidade]]&gt;=500, "Alta","Média"))</f>
        <v>Média</v>
      </c>
      <c r="Z153" s="152" t="str">
        <f>IF(Tabela1[[#This Row],[Severidade]]&gt;499, "+500",IF(Tabela1[[#This Row],[Severidade]]&lt;=500, "-500"))</f>
        <v>-500</v>
      </c>
      <c r="AA153" s="152" t="s">
        <v>7</v>
      </c>
      <c r="AB153" s="152"/>
      <c r="AC153" s="152">
        <f>MONTH(Tabela1[[#This Row],[Data]])</f>
        <v>11</v>
      </c>
      <c r="AD153" s="12">
        <f>HOUR(Tabela1[[#This Row],[Hora]])</f>
        <v>12</v>
      </c>
      <c r="AE153" s="12" t="str">
        <f t="shared" si="9"/>
        <v>Tarde</v>
      </c>
    </row>
    <row r="154" spans="1:31" ht="29" x14ac:dyDescent="0.35">
      <c r="A154" s="158">
        <v>44868</v>
      </c>
      <c r="B154" s="246">
        <f t="shared" si="8"/>
        <v>5</v>
      </c>
      <c r="C154" s="159">
        <v>0.61875000000000002</v>
      </c>
      <c r="D154" s="156">
        <v>64</v>
      </c>
      <c r="E154" s="160">
        <v>57</v>
      </c>
      <c r="F154" s="328">
        <v>21</v>
      </c>
      <c r="G154" s="151" t="s">
        <v>8</v>
      </c>
      <c r="H154" s="161" t="s">
        <v>711</v>
      </c>
      <c r="I154" s="149" t="s">
        <v>712</v>
      </c>
      <c r="J154" s="149" t="s">
        <v>97</v>
      </c>
      <c r="K154" s="162" t="s">
        <v>459</v>
      </c>
      <c r="L154" s="150">
        <v>1</v>
      </c>
      <c r="M154" s="247" t="s">
        <v>629</v>
      </c>
      <c r="N154" s="150" t="s">
        <v>702</v>
      </c>
      <c r="O154" s="150">
        <v>20</v>
      </c>
      <c r="P154" s="300" t="s">
        <v>225</v>
      </c>
      <c r="Q154" s="157" t="s">
        <v>664</v>
      </c>
      <c r="R154" s="301" t="s">
        <v>7</v>
      </c>
      <c r="S154" s="248" t="s">
        <v>43</v>
      </c>
      <c r="T154" s="156" t="s">
        <v>7</v>
      </c>
      <c r="U154" s="158"/>
      <c r="V154" s="151" t="e">
        <f>MONTH(T:T)</f>
        <v>#VALUE!</v>
      </c>
      <c r="W154" s="151">
        <f>WEEKNUM(Tabela1[[#This Row],[Data da melhoria]])</f>
        <v>0</v>
      </c>
      <c r="X154" s="156"/>
      <c r="Y154" s="152" t="str">
        <f>IF(Tabela1[[#This Row],[Severidade]]&lt;100, "Baixa",IF(Tabela1[[#This Row],[Severidade]]&gt;=500, "Alta","Média"))</f>
        <v>Baixa</v>
      </c>
      <c r="Z154" s="152" t="str">
        <f>IF(Tabela1[[#This Row],[Severidade]]&gt;499, "+500",IF(Tabela1[[#This Row],[Severidade]]&lt;=500, "-500"))</f>
        <v>-500</v>
      </c>
      <c r="AA154" s="152" t="s">
        <v>7</v>
      </c>
      <c r="AB154" s="152"/>
      <c r="AC154" s="152">
        <f>MONTH(Tabela1[[#This Row],[Data]])</f>
        <v>11</v>
      </c>
      <c r="AD154" s="12">
        <f>HOUR(Tabela1[[#This Row],[Hora]])</f>
        <v>14</v>
      </c>
      <c r="AE154" s="12" t="str">
        <f t="shared" si="9"/>
        <v>Tarde</v>
      </c>
    </row>
    <row r="155" spans="1:31" ht="29" x14ac:dyDescent="0.35">
      <c r="A155" s="202">
        <v>44868</v>
      </c>
      <c r="B155" s="246">
        <f t="shared" si="8"/>
        <v>5</v>
      </c>
      <c r="C155" s="203">
        <v>0.72291666666666676</v>
      </c>
      <c r="D155" s="204">
        <v>76</v>
      </c>
      <c r="E155" s="205">
        <v>69</v>
      </c>
      <c r="F155" s="328">
        <v>16</v>
      </c>
      <c r="G155" s="151" t="s">
        <v>8</v>
      </c>
      <c r="H155" s="206" t="s">
        <v>721</v>
      </c>
      <c r="I155" s="104" t="s">
        <v>722</v>
      </c>
      <c r="J155" s="104" t="s">
        <v>96</v>
      </c>
      <c r="K155" s="207" t="s">
        <v>459</v>
      </c>
      <c r="L155" s="24">
        <v>2</v>
      </c>
      <c r="M155" s="123" t="s">
        <v>628</v>
      </c>
      <c r="N155" s="24" t="s">
        <v>807</v>
      </c>
      <c r="O155" s="24">
        <v>20</v>
      </c>
      <c r="P155" s="317" t="s">
        <v>225</v>
      </c>
      <c r="Q155" s="331" t="s">
        <v>664</v>
      </c>
      <c r="R155" s="318" t="s">
        <v>7</v>
      </c>
      <c r="S155" s="103" t="s">
        <v>43</v>
      </c>
      <c r="T155" s="204" t="s">
        <v>7</v>
      </c>
      <c r="U155" s="202"/>
      <c r="V155" s="17" t="e">
        <f>MONTH(T:T)</f>
        <v>#VALUE!</v>
      </c>
      <c r="W155" s="17">
        <f>WEEKNUM(Tabela1[[#This Row],[Data da melhoria]])</f>
        <v>0</v>
      </c>
      <c r="X155" s="204"/>
      <c r="Y155" s="30" t="str">
        <f>IF(Tabela1[[#This Row],[Severidade]]&lt;100, "Baixa",IF(Tabela1[[#This Row],[Severidade]]&gt;=500, "Alta","Média"))</f>
        <v>Baixa</v>
      </c>
      <c r="Z155" s="152" t="str">
        <f>IF(Tabela1[[#This Row],[Severidade]]&gt;499, "+500",IF(Tabela1[[#This Row],[Severidade]]&lt;=500, "-500"))</f>
        <v>-500</v>
      </c>
      <c r="AA155" s="152" t="s">
        <v>7</v>
      </c>
      <c r="AB155" s="30"/>
      <c r="AC155" s="30">
        <f>MONTH(Tabela1[[#This Row],[Data]])</f>
        <v>11</v>
      </c>
      <c r="AD155" s="12">
        <f>HOUR(Tabela1[[#This Row],[Hora]])</f>
        <v>17</v>
      </c>
      <c r="AE155" s="12" t="str">
        <f t="shared" si="9"/>
        <v>Tarde</v>
      </c>
    </row>
    <row r="156" spans="1:31" ht="29" x14ac:dyDescent="0.35">
      <c r="A156" s="312">
        <v>44869</v>
      </c>
      <c r="B156" s="246">
        <f t="shared" si="8"/>
        <v>6</v>
      </c>
      <c r="C156" s="203">
        <v>0.6381944444444444</v>
      </c>
      <c r="D156" s="204">
        <v>80</v>
      </c>
      <c r="E156" s="205">
        <v>50</v>
      </c>
      <c r="F156" s="328">
        <v>20</v>
      </c>
      <c r="G156" s="151" t="s">
        <v>8</v>
      </c>
      <c r="H156" s="206" t="s">
        <v>717</v>
      </c>
      <c r="I156" s="104" t="s">
        <v>718</v>
      </c>
      <c r="J156" s="104" t="s">
        <v>96</v>
      </c>
      <c r="K156" s="207" t="s">
        <v>459</v>
      </c>
      <c r="L156" s="24">
        <v>1</v>
      </c>
      <c r="M156" s="123" t="s">
        <v>628</v>
      </c>
      <c r="N156" s="24" t="s">
        <v>807</v>
      </c>
      <c r="O156" s="24">
        <v>20</v>
      </c>
      <c r="P156" s="317" t="s">
        <v>225</v>
      </c>
      <c r="Q156" s="331" t="s">
        <v>664</v>
      </c>
      <c r="R156" s="318" t="s">
        <v>7</v>
      </c>
      <c r="S156" s="248" t="s">
        <v>43</v>
      </c>
      <c r="T156" s="204" t="s">
        <v>7</v>
      </c>
      <c r="U156" s="202"/>
      <c r="V156" s="17" t="e">
        <f>MONTH(T:T)</f>
        <v>#VALUE!</v>
      </c>
      <c r="W156" s="17">
        <f>WEEKNUM(Tabela1[[#This Row],[Data da melhoria]])</f>
        <v>0</v>
      </c>
      <c r="X156" s="204"/>
      <c r="Y156" s="30" t="str">
        <f>IF(Tabela1[[#This Row],[Severidade]]&lt;100, "Baixa",IF(Tabela1[[#This Row],[Severidade]]&gt;=500, "Alta","Média"))</f>
        <v>Baixa</v>
      </c>
      <c r="Z156" s="152" t="str">
        <f>IF(Tabela1[[#This Row],[Severidade]]&gt;499, "+500",IF(Tabela1[[#This Row],[Severidade]]&lt;=500, "-500"))</f>
        <v>-500</v>
      </c>
      <c r="AA156" s="152" t="s">
        <v>7</v>
      </c>
      <c r="AB156" s="30"/>
      <c r="AC156" s="30">
        <f>MONTH(Tabela1[[#This Row],[Data]])</f>
        <v>11</v>
      </c>
      <c r="AD156" s="12">
        <f>HOUR(Tabela1[[#This Row],[Hora]])</f>
        <v>15</v>
      </c>
      <c r="AE156" s="12" t="str">
        <f t="shared" si="9"/>
        <v>Tarde</v>
      </c>
    </row>
    <row r="157" spans="1:31" ht="29" x14ac:dyDescent="0.35">
      <c r="A157" s="312">
        <v>44869</v>
      </c>
      <c r="B157" s="246">
        <f t="shared" si="8"/>
        <v>6</v>
      </c>
      <c r="C157" s="313">
        <v>0.52638888888888891</v>
      </c>
      <c r="D157" s="314">
        <v>118</v>
      </c>
      <c r="E157" s="315">
        <v>53</v>
      </c>
      <c r="F157" s="328">
        <v>20</v>
      </c>
      <c r="G157" s="151" t="s">
        <v>8</v>
      </c>
      <c r="H157" s="206" t="s">
        <v>716</v>
      </c>
      <c r="I157" s="104" t="s">
        <v>715</v>
      </c>
      <c r="J157" s="104" t="s">
        <v>96</v>
      </c>
      <c r="K157" s="207" t="s">
        <v>459</v>
      </c>
      <c r="L157" s="24">
        <v>1</v>
      </c>
      <c r="M157" s="123" t="s">
        <v>628</v>
      </c>
      <c r="N157" s="24" t="s">
        <v>807</v>
      </c>
      <c r="O157" s="24">
        <v>20</v>
      </c>
      <c r="P157" s="317" t="s">
        <v>225</v>
      </c>
      <c r="Q157" s="331" t="s">
        <v>664</v>
      </c>
      <c r="R157" s="318" t="s">
        <v>7</v>
      </c>
      <c r="S157" s="248" t="s">
        <v>43</v>
      </c>
      <c r="T157" s="204" t="s">
        <v>7</v>
      </c>
      <c r="U157" s="312"/>
      <c r="V157" s="319" t="e">
        <f>MONTH(T:T)</f>
        <v>#VALUE!</v>
      </c>
      <c r="W157" s="17">
        <f>WEEKNUM(Tabela1[[#This Row],[Data da melhoria]])</f>
        <v>0</v>
      </c>
      <c r="X157" s="314"/>
      <c r="Y157" s="320" t="str">
        <f>IF(Tabela1[[#This Row],[Severidade]]&lt;100, "Baixa",IF(Tabela1[[#This Row],[Severidade]]&gt;=500, "Alta","Média"))</f>
        <v>Média</v>
      </c>
      <c r="Z157" s="152" t="str">
        <f>IF(Tabela1[[#This Row],[Severidade]]&gt;499, "+500",IF(Tabela1[[#This Row],[Severidade]]&lt;=500, "-500"))</f>
        <v>-500</v>
      </c>
      <c r="AA157" s="152" t="s">
        <v>7</v>
      </c>
      <c r="AB157" s="30"/>
      <c r="AC157" s="320">
        <f>MONTH(Tabela1[[#This Row],[Data]])</f>
        <v>11</v>
      </c>
      <c r="AD157" s="307">
        <f>HOUR(Tabela1[[#This Row],[Hora]])</f>
        <v>12</v>
      </c>
      <c r="AE157" s="307" t="str">
        <f t="shared" si="9"/>
        <v>Tarde</v>
      </c>
    </row>
    <row r="158" spans="1:31" ht="29" x14ac:dyDescent="0.35">
      <c r="A158" s="312">
        <v>44872</v>
      </c>
      <c r="B158" s="246">
        <f t="shared" si="8"/>
        <v>2</v>
      </c>
      <c r="C158" s="313">
        <v>0.54166666666666663</v>
      </c>
      <c r="D158" s="314">
        <v>67</v>
      </c>
      <c r="E158" s="315">
        <v>69</v>
      </c>
      <c r="F158" s="328">
        <v>23</v>
      </c>
      <c r="G158" s="151" t="s">
        <v>8</v>
      </c>
      <c r="H158" s="206" t="s">
        <v>723</v>
      </c>
      <c r="I158" s="104" t="s">
        <v>724</v>
      </c>
      <c r="J158" s="104" t="s">
        <v>96</v>
      </c>
      <c r="K158" s="207" t="s">
        <v>675</v>
      </c>
      <c r="L158" s="24">
        <v>1</v>
      </c>
      <c r="M158" s="123" t="s">
        <v>851</v>
      </c>
      <c r="N158" s="24" t="s">
        <v>807</v>
      </c>
      <c r="O158" s="24">
        <v>21</v>
      </c>
      <c r="P158" s="317" t="s">
        <v>225</v>
      </c>
      <c r="Q158" s="331" t="s">
        <v>664</v>
      </c>
      <c r="R158" s="318" t="s">
        <v>7</v>
      </c>
      <c r="S158" s="103" t="s">
        <v>43</v>
      </c>
      <c r="T158" s="204" t="s">
        <v>7</v>
      </c>
      <c r="U158" s="312"/>
      <c r="V158" s="319" t="e">
        <f>MONTH(T:T)</f>
        <v>#VALUE!</v>
      </c>
      <c r="W158" s="17">
        <f>WEEKNUM(Tabela1[[#This Row],[Data da melhoria]])</f>
        <v>0</v>
      </c>
      <c r="X158" s="314"/>
      <c r="Y158" s="320" t="str">
        <f>IF(Tabela1[[#This Row],[Severidade]]&lt;100, "Baixa",IF(Tabela1[[#This Row],[Severidade]]&gt;=500, "Alta","Média"))</f>
        <v>Baixa</v>
      </c>
      <c r="Z158" s="152" t="str">
        <f>IF(Tabela1[[#This Row],[Severidade]]&gt;499, "+500",IF(Tabela1[[#This Row],[Severidade]]&lt;=500, "-500"))</f>
        <v>-500</v>
      </c>
      <c r="AA158" s="152" t="s">
        <v>7</v>
      </c>
      <c r="AB158" s="30"/>
      <c r="AC158" s="320">
        <f>MONTH(Tabela1[[#This Row],[Data]])</f>
        <v>11</v>
      </c>
      <c r="AD158" s="307">
        <f>HOUR(Tabela1[[#This Row],[Hora]])</f>
        <v>13</v>
      </c>
      <c r="AE158" s="307" t="str">
        <f t="shared" si="9"/>
        <v>Tarde</v>
      </c>
    </row>
    <row r="159" spans="1:31" ht="29" x14ac:dyDescent="0.35">
      <c r="A159" s="312">
        <v>44872</v>
      </c>
      <c r="B159" s="246">
        <f t="shared" si="8"/>
        <v>2</v>
      </c>
      <c r="C159" s="313">
        <v>0.37638888888888888</v>
      </c>
      <c r="D159" s="314">
        <v>53</v>
      </c>
      <c r="E159" s="315">
        <v>52</v>
      </c>
      <c r="F159" s="328">
        <v>18</v>
      </c>
      <c r="G159" s="151" t="s">
        <v>8</v>
      </c>
      <c r="H159" s="206" t="s">
        <v>719</v>
      </c>
      <c r="I159" s="104" t="s">
        <v>720</v>
      </c>
      <c r="J159" s="104" t="s">
        <v>94</v>
      </c>
      <c r="K159" s="207" t="s">
        <v>486</v>
      </c>
      <c r="L159" s="24">
        <v>4</v>
      </c>
      <c r="M159" s="123" t="s">
        <v>852</v>
      </c>
      <c r="N159" s="24" t="s">
        <v>807</v>
      </c>
      <c r="O159" s="24">
        <v>12</v>
      </c>
      <c r="P159" s="317" t="s">
        <v>225</v>
      </c>
      <c r="Q159" s="331" t="s">
        <v>664</v>
      </c>
      <c r="R159" s="318" t="s">
        <v>7</v>
      </c>
      <c r="S159" s="103" t="s">
        <v>7</v>
      </c>
      <c r="T159" s="204" t="s">
        <v>7</v>
      </c>
      <c r="U159" s="312"/>
      <c r="V159" s="319" t="e">
        <f>MONTH(T:T)</f>
        <v>#VALUE!</v>
      </c>
      <c r="W159" s="17">
        <f>WEEKNUM(Tabela1[[#This Row],[Data da melhoria]])</f>
        <v>0</v>
      </c>
      <c r="X159" s="314"/>
      <c r="Y159" s="320" t="str">
        <f>IF(Tabela1[[#This Row],[Severidade]]&lt;100, "Baixa",IF(Tabela1[[#This Row],[Severidade]]&gt;=500, "Alta","Média"))</f>
        <v>Baixa</v>
      </c>
      <c r="Z159" s="152" t="str">
        <f>IF(Tabela1[[#This Row],[Severidade]]&gt;499, "+500",IF(Tabela1[[#This Row],[Severidade]]&lt;=500, "-500"))</f>
        <v>-500</v>
      </c>
      <c r="AA159" s="152" t="s">
        <v>7</v>
      </c>
      <c r="AB159" s="30"/>
      <c r="AC159" s="320">
        <f>MONTH(Tabela1[[#This Row],[Data]])</f>
        <v>11</v>
      </c>
      <c r="AD159" s="307">
        <f>HOUR(Tabela1[[#This Row],[Hora]])</f>
        <v>9</v>
      </c>
      <c r="AE159" s="307" t="str">
        <f t="shared" si="9"/>
        <v>Tarde</v>
      </c>
    </row>
    <row r="160" spans="1:31" ht="29" x14ac:dyDescent="0.35">
      <c r="A160" s="312">
        <v>44873</v>
      </c>
      <c r="B160" s="246">
        <f t="shared" si="8"/>
        <v>3</v>
      </c>
      <c r="C160" s="313">
        <v>0.26527777777777778</v>
      </c>
      <c r="D160" s="314">
        <v>127</v>
      </c>
      <c r="E160" s="315">
        <v>54</v>
      </c>
      <c r="F160" s="328">
        <v>18</v>
      </c>
      <c r="G160" s="151" t="s">
        <v>8</v>
      </c>
      <c r="H160" s="206" t="s">
        <v>725</v>
      </c>
      <c r="I160" s="104" t="s">
        <v>726</v>
      </c>
      <c r="J160" s="104" t="s">
        <v>96</v>
      </c>
      <c r="K160" s="207" t="s">
        <v>459</v>
      </c>
      <c r="L160" s="24">
        <v>1</v>
      </c>
      <c r="M160" s="123" t="s">
        <v>628</v>
      </c>
      <c r="N160" s="24" t="s">
        <v>807</v>
      </c>
      <c r="O160" s="24">
        <v>20</v>
      </c>
      <c r="P160" s="317" t="s">
        <v>225</v>
      </c>
      <c r="Q160" s="331" t="s">
        <v>664</v>
      </c>
      <c r="R160" s="318" t="s">
        <v>7</v>
      </c>
      <c r="S160" s="103" t="s">
        <v>43</v>
      </c>
      <c r="T160" s="204" t="s">
        <v>7</v>
      </c>
      <c r="U160" s="312"/>
      <c r="V160" s="319" t="e">
        <f>MONTH(T:T)</f>
        <v>#VALUE!</v>
      </c>
      <c r="W160" s="17">
        <f>WEEKNUM(Tabela1[[#This Row],[Data da melhoria]])</f>
        <v>0</v>
      </c>
      <c r="X160" s="314"/>
      <c r="Y160" s="320" t="str">
        <f>IF(Tabela1[[#This Row],[Severidade]]&lt;100, "Baixa",IF(Tabela1[[#This Row],[Severidade]]&gt;=500, "Alta","Média"))</f>
        <v>Média</v>
      </c>
      <c r="Z160" s="152" t="str">
        <f>IF(Tabela1[[#This Row],[Severidade]]&gt;499, "+500",IF(Tabela1[[#This Row],[Severidade]]&lt;=500, "-500"))</f>
        <v>-500</v>
      </c>
      <c r="AA160" s="152" t="s">
        <v>7</v>
      </c>
      <c r="AB160" s="30"/>
      <c r="AC160" s="320">
        <f>MONTH(Tabela1[[#This Row],[Data]])</f>
        <v>11</v>
      </c>
      <c r="AD160" s="307">
        <f>HOUR(Tabela1[[#This Row],[Hora]])</f>
        <v>6</v>
      </c>
      <c r="AE160" s="307" t="str">
        <f t="shared" si="9"/>
        <v>Tarde</v>
      </c>
    </row>
    <row r="161" spans="1:31" ht="29" x14ac:dyDescent="0.35">
      <c r="A161" s="312">
        <v>44873</v>
      </c>
      <c r="B161" s="246">
        <f t="shared" si="8"/>
        <v>3</v>
      </c>
      <c r="C161" s="313">
        <v>0.6118055555555556</v>
      </c>
      <c r="D161" s="314">
        <v>63</v>
      </c>
      <c r="E161" s="315">
        <v>57</v>
      </c>
      <c r="F161" s="328">
        <v>22</v>
      </c>
      <c r="G161" s="151" t="s">
        <v>8</v>
      </c>
      <c r="H161" s="206" t="s">
        <v>727</v>
      </c>
      <c r="I161" s="104" t="s">
        <v>728</v>
      </c>
      <c r="J161" s="104" t="s">
        <v>96</v>
      </c>
      <c r="K161" s="316"/>
      <c r="L161" s="24">
        <v>2</v>
      </c>
      <c r="M161" s="123" t="s">
        <v>225</v>
      </c>
      <c r="N161" s="24" t="s">
        <v>807</v>
      </c>
      <c r="O161" s="24" t="s">
        <v>225</v>
      </c>
      <c r="P161" s="317" t="s">
        <v>225</v>
      </c>
      <c r="Q161" s="331" t="s">
        <v>664</v>
      </c>
      <c r="R161" s="318" t="s">
        <v>7</v>
      </c>
      <c r="S161" s="103" t="s">
        <v>43</v>
      </c>
      <c r="T161" s="204" t="s">
        <v>7</v>
      </c>
      <c r="U161" s="312"/>
      <c r="V161" s="319" t="e">
        <f>MONTH(T:T)</f>
        <v>#VALUE!</v>
      </c>
      <c r="W161" s="17">
        <f>WEEKNUM(Tabela1[[#This Row],[Data da melhoria]])</f>
        <v>0</v>
      </c>
      <c r="X161" s="314"/>
      <c r="Y161" s="320" t="str">
        <f>IF(Tabela1[[#This Row],[Severidade]]&lt;100, "Baixa",IF(Tabela1[[#This Row],[Severidade]]&gt;=500, "Alta","Média"))</f>
        <v>Baixa</v>
      </c>
      <c r="Z161" s="152" t="str">
        <f>IF(Tabela1[[#This Row],[Severidade]]&gt;499, "+500",IF(Tabela1[[#This Row],[Severidade]]&lt;=500, "-500"))</f>
        <v>-500</v>
      </c>
      <c r="AA161" s="152" t="s">
        <v>7</v>
      </c>
      <c r="AB161" s="30"/>
      <c r="AC161" s="320">
        <f>MONTH(Tabela1[[#This Row],[Data]])</f>
        <v>11</v>
      </c>
      <c r="AD161" s="307">
        <f>HOUR(Tabela1[[#This Row],[Hora]])</f>
        <v>14</v>
      </c>
      <c r="AE161" s="307" t="str">
        <f t="shared" si="9"/>
        <v>Tarde</v>
      </c>
    </row>
    <row r="162" spans="1:31" ht="29" x14ac:dyDescent="0.35">
      <c r="A162" s="312">
        <v>44874</v>
      </c>
      <c r="B162" s="246">
        <f t="shared" si="8"/>
        <v>4</v>
      </c>
      <c r="C162" s="313">
        <v>0.33749999999999997</v>
      </c>
      <c r="D162" s="314">
        <v>176</v>
      </c>
      <c r="E162" s="315">
        <v>21</v>
      </c>
      <c r="F162" s="328">
        <v>18</v>
      </c>
      <c r="G162" s="151" t="s">
        <v>8</v>
      </c>
      <c r="H162" s="206" t="s">
        <v>729</v>
      </c>
      <c r="I162" s="104" t="s">
        <v>730</v>
      </c>
      <c r="J162" s="104" t="s">
        <v>94</v>
      </c>
      <c r="K162" s="207" t="s">
        <v>855</v>
      </c>
      <c r="L162" s="24">
        <v>5</v>
      </c>
      <c r="M162" s="123" t="s">
        <v>874</v>
      </c>
      <c r="N162" s="24" t="s">
        <v>807</v>
      </c>
      <c r="O162" s="24" t="s">
        <v>225</v>
      </c>
      <c r="P162" s="317" t="s">
        <v>225</v>
      </c>
      <c r="Q162" s="331" t="s">
        <v>664</v>
      </c>
      <c r="R162" s="318" t="s">
        <v>7</v>
      </c>
      <c r="S162" s="103" t="s">
        <v>43</v>
      </c>
      <c r="T162" s="204" t="s">
        <v>7</v>
      </c>
      <c r="U162" s="312"/>
      <c r="V162" s="319" t="e">
        <f>MONTH(T:T)</f>
        <v>#VALUE!</v>
      </c>
      <c r="W162" s="17">
        <f>WEEKNUM(Tabela1[[#This Row],[Data da melhoria]])</f>
        <v>0</v>
      </c>
      <c r="X162" s="314"/>
      <c r="Y162" s="320" t="str">
        <f>IF(Tabela1[[#This Row],[Severidade]]&lt;100, "Baixa",IF(Tabela1[[#This Row],[Severidade]]&gt;=500, "Alta","Média"))</f>
        <v>Média</v>
      </c>
      <c r="Z162" s="152" t="str">
        <f>IF(Tabela1[[#This Row],[Severidade]]&gt;499, "+500",IF(Tabela1[[#This Row],[Severidade]]&lt;=500, "-500"))</f>
        <v>-500</v>
      </c>
      <c r="AA162" s="152" t="s">
        <v>7</v>
      </c>
      <c r="AB162" s="30"/>
      <c r="AC162" s="320">
        <f>MONTH(Tabela1[[#This Row],[Data]])</f>
        <v>11</v>
      </c>
      <c r="AD162" s="307">
        <f>HOUR(Tabela1[[#This Row],[Hora]])</f>
        <v>8</v>
      </c>
      <c r="AE162" s="307" t="str">
        <f t="shared" si="9"/>
        <v>Tarde</v>
      </c>
    </row>
    <row r="163" spans="1:31" ht="29" x14ac:dyDescent="0.35">
      <c r="A163" s="312">
        <v>44874</v>
      </c>
      <c r="B163" s="246">
        <f t="shared" si="8"/>
        <v>4</v>
      </c>
      <c r="C163" s="313">
        <v>0.34097222222222223</v>
      </c>
      <c r="D163" s="314">
        <v>51</v>
      </c>
      <c r="E163" s="315">
        <v>68</v>
      </c>
      <c r="F163" s="328">
        <v>21</v>
      </c>
      <c r="G163" s="151" t="s">
        <v>8</v>
      </c>
      <c r="H163" s="206" t="s">
        <v>731</v>
      </c>
      <c r="I163" s="104" t="s">
        <v>732</v>
      </c>
      <c r="J163" s="104" t="s">
        <v>94</v>
      </c>
      <c r="K163" s="207" t="s">
        <v>856</v>
      </c>
      <c r="L163" s="24">
        <v>5</v>
      </c>
      <c r="M163" s="123" t="s">
        <v>857</v>
      </c>
      <c r="N163" s="24" t="s">
        <v>807</v>
      </c>
      <c r="O163" s="24">
        <v>14</v>
      </c>
      <c r="P163" s="317" t="s">
        <v>225</v>
      </c>
      <c r="Q163" s="331" t="s">
        <v>664</v>
      </c>
      <c r="R163" s="318" t="s">
        <v>7</v>
      </c>
      <c r="S163" s="103" t="s">
        <v>43</v>
      </c>
      <c r="T163" s="204" t="s">
        <v>7</v>
      </c>
      <c r="U163" s="312"/>
      <c r="V163" s="319" t="e">
        <f>MONTH(T:T)</f>
        <v>#VALUE!</v>
      </c>
      <c r="W163" s="17">
        <f>WEEKNUM(Tabela1[[#This Row],[Data da melhoria]])</f>
        <v>0</v>
      </c>
      <c r="X163" s="314"/>
      <c r="Y163" s="320" t="str">
        <f>IF(Tabela1[[#This Row],[Severidade]]&lt;100, "Baixa",IF(Tabela1[[#This Row],[Severidade]]&gt;=500, "Alta","Média"))</f>
        <v>Baixa</v>
      </c>
      <c r="Z163" s="152" t="str">
        <f>IF(Tabela1[[#This Row],[Severidade]]&gt;499, "+500",IF(Tabela1[[#This Row],[Severidade]]&lt;=500, "-500"))</f>
        <v>-500</v>
      </c>
      <c r="AA163" s="152" t="s">
        <v>7</v>
      </c>
      <c r="AB163" s="30"/>
      <c r="AC163" s="320">
        <f>MONTH(Tabela1[[#This Row],[Data]])</f>
        <v>11</v>
      </c>
      <c r="AD163" s="307">
        <f>HOUR(Tabela1[[#This Row],[Hora]])</f>
        <v>8</v>
      </c>
      <c r="AE163" s="307" t="str">
        <f t="shared" si="9"/>
        <v>Tarde</v>
      </c>
    </row>
    <row r="164" spans="1:31" ht="29" x14ac:dyDescent="0.35">
      <c r="A164" s="312">
        <v>44875</v>
      </c>
      <c r="B164" s="246">
        <f t="shared" si="8"/>
        <v>5</v>
      </c>
      <c r="C164" s="313">
        <v>0.78680555555555554</v>
      </c>
      <c r="D164" s="314">
        <v>65</v>
      </c>
      <c r="E164" s="315">
        <v>78</v>
      </c>
      <c r="F164" s="328">
        <v>23</v>
      </c>
      <c r="G164" s="151" t="s">
        <v>8</v>
      </c>
      <c r="H164" s="206" t="s">
        <v>733</v>
      </c>
      <c r="I164" s="104" t="s">
        <v>734</v>
      </c>
      <c r="J164" s="104" t="s">
        <v>93</v>
      </c>
      <c r="K164" s="207" t="s">
        <v>490</v>
      </c>
      <c r="L164" s="24">
        <v>1</v>
      </c>
      <c r="M164" s="123" t="s">
        <v>858</v>
      </c>
      <c r="N164" s="24" t="s">
        <v>807</v>
      </c>
      <c r="O164" s="24">
        <v>34</v>
      </c>
      <c r="P164" s="317" t="s">
        <v>225</v>
      </c>
      <c r="Q164" s="331" t="s">
        <v>664</v>
      </c>
      <c r="R164" s="318" t="s">
        <v>7</v>
      </c>
      <c r="S164" s="103" t="s">
        <v>43</v>
      </c>
      <c r="T164" s="204" t="s">
        <v>7</v>
      </c>
      <c r="U164" s="312"/>
      <c r="V164" s="319" t="e">
        <f>MONTH(T:T)</f>
        <v>#VALUE!</v>
      </c>
      <c r="W164" s="17">
        <f>WEEKNUM(Tabela1[[#This Row],[Data da melhoria]])</f>
        <v>0</v>
      </c>
      <c r="X164" s="314"/>
      <c r="Y164" s="320" t="str">
        <f>IF(Tabela1[[#This Row],[Severidade]]&lt;100, "Baixa",IF(Tabela1[[#This Row],[Severidade]]&gt;=500, "Alta","Média"))</f>
        <v>Baixa</v>
      </c>
      <c r="Z164" s="152" t="str">
        <f>IF(Tabela1[[#This Row],[Severidade]]&gt;499, "+500",IF(Tabela1[[#This Row],[Severidade]]&lt;=500, "-500"))</f>
        <v>-500</v>
      </c>
      <c r="AA164" s="152" t="s">
        <v>7</v>
      </c>
      <c r="AB164" s="30"/>
      <c r="AC164" s="320">
        <f>MONTH(Tabela1[[#This Row],[Data]])</f>
        <v>11</v>
      </c>
      <c r="AD164" s="307">
        <f>HOUR(Tabela1[[#This Row],[Hora]])</f>
        <v>18</v>
      </c>
      <c r="AE164" s="307" t="str">
        <f t="shared" si="9"/>
        <v>Noite</v>
      </c>
    </row>
    <row r="165" spans="1:31" ht="29" x14ac:dyDescent="0.35">
      <c r="A165" s="312">
        <v>44887</v>
      </c>
      <c r="B165" s="246">
        <f t="shared" si="8"/>
        <v>3</v>
      </c>
      <c r="C165" s="313">
        <v>0.40763888888888888</v>
      </c>
      <c r="D165" s="314">
        <v>52</v>
      </c>
      <c r="E165" s="315">
        <v>57</v>
      </c>
      <c r="F165" s="328">
        <v>21</v>
      </c>
      <c r="G165" s="151" t="s">
        <v>8</v>
      </c>
      <c r="H165" s="206" t="s">
        <v>809</v>
      </c>
      <c r="I165" s="104" t="s">
        <v>810</v>
      </c>
      <c r="J165" s="104" t="s">
        <v>93</v>
      </c>
      <c r="K165" s="207" t="s">
        <v>491</v>
      </c>
      <c r="L165" s="24">
        <v>2</v>
      </c>
      <c r="M165" s="123" t="s">
        <v>859</v>
      </c>
      <c r="N165" s="24">
        <v>1</v>
      </c>
      <c r="O165" s="24">
        <v>42</v>
      </c>
      <c r="P165" s="317" t="s">
        <v>225</v>
      </c>
      <c r="Q165" s="331" t="s">
        <v>664</v>
      </c>
      <c r="R165" s="318" t="s">
        <v>7</v>
      </c>
      <c r="S165" s="103" t="s">
        <v>43</v>
      </c>
      <c r="T165" s="204" t="s">
        <v>7</v>
      </c>
      <c r="U165" s="312"/>
      <c r="V165" s="319" t="e">
        <f>MONTH(T:T)</f>
        <v>#VALUE!</v>
      </c>
      <c r="W165" s="17">
        <f>WEEKNUM(Tabela1[[#This Row],[Data da melhoria]])</f>
        <v>0</v>
      </c>
      <c r="X165" s="314"/>
      <c r="Y165" s="320" t="str">
        <f>IF(Tabela1[[#This Row],[Severidade]]&lt;100, "Baixa",IF(Tabela1[[#This Row],[Severidade]]&gt;=500, "Alta","Média"))</f>
        <v>Baixa</v>
      </c>
      <c r="Z165" s="152" t="str">
        <f>IF(Tabela1[[#This Row],[Severidade]]&gt;499, "+500",IF(Tabela1[[#This Row],[Severidade]]&lt;=500, "-500"))</f>
        <v>-500</v>
      </c>
      <c r="AA165" s="152" t="s">
        <v>7</v>
      </c>
      <c r="AB165" s="30"/>
      <c r="AC165" s="320">
        <f>MONTH(Tabela1[[#This Row],[Data]])</f>
        <v>11</v>
      </c>
      <c r="AD165" s="307">
        <f>HOUR(Tabela1[[#This Row],[Hora]])</f>
        <v>9</v>
      </c>
      <c r="AE165" s="307" t="str">
        <f t="shared" si="9"/>
        <v>Tarde</v>
      </c>
    </row>
    <row r="166" spans="1:31" ht="43.5" x14ac:dyDescent="0.35">
      <c r="A166" s="312">
        <v>44891</v>
      </c>
      <c r="B166" s="246">
        <f t="shared" ref="B166:B168" si="10">WEEKDAY(A166)</f>
        <v>7</v>
      </c>
      <c r="C166" s="313">
        <v>0.59791666666666665</v>
      </c>
      <c r="D166" s="314">
        <v>191</v>
      </c>
      <c r="E166" s="315">
        <v>74</v>
      </c>
      <c r="F166" s="328">
        <v>28</v>
      </c>
      <c r="G166" s="151" t="s">
        <v>8</v>
      </c>
      <c r="H166" s="206" t="s">
        <v>811</v>
      </c>
      <c r="I166" s="104" t="s">
        <v>812</v>
      </c>
      <c r="J166" s="104" t="s">
        <v>93</v>
      </c>
      <c r="K166" s="207" t="s">
        <v>455</v>
      </c>
      <c r="L166" s="24">
        <v>1</v>
      </c>
      <c r="M166" s="123" t="s">
        <v>225</v>
      </c>
      <c r="N166" s="24">
        <v>1</v>
      </c>
      <c r="O166" s="24" t="s">
        <v>225</v>
      </c>
      <c r="P166" s="317" t="s">
        <v>225</v>
      </c>
      <c r="Q166" s="331" t="s">
        <v>664</v>
      </c>
      <c r="R166" s="318" t="s">
        <v>7</v>
      </c>
      <c r="S166" s="103" t="s">
        <v>43</v>
      </c>
      <c r="T166" s="204" t="s">
        <v>7</v>
      </c>
      <c r="U166" s="312"/>
      <c r="V166" s="319" t="e">
        <f>MONTH(T:T)</f>
        <v>#VALUE!</v>
      </c>
      <c r="W166" s="17">
        <f>WEEKNUM(Tabela1[[#This Row],[Data da melhoria]])</f>
        <v>0</v>
      </c>
      <c r="X166" s="314"/>
      <c r="Y166" s="320" t="str">
        <f>IF(Tabela1[[#This Row],[Severidade]]&lt;100, "Baixa",IF(Tabela1[[#This Row],[Severidade]]&gt;=500, "Alta","Média"))</f>
        <v>Média</v>
      </c>
      <c r="Z166" s="152" t="str">
        <f>IF(Tabela1[[#This Row],[Severidade]]&gt;499, "+500",IF(Tabela1[[#This Row],[Severidade]]&lt;=500, "-500"))</f>
        <v>-500</v>
      </c>
      <c r="AA166" s="152" t="s">
        <v>7</v>
      </c>
      <c r="AB166" s="30"/>
      <c r="AC166" s="320">
        <f>MONTH(Tabela1[[#This Row],[Data]])</f>
        <v>11</v>
      </c>
      <c r="AD166" s="307">
        <f>HOUR(Tabela1[[#This Row],[Hora]])</f>
        <v>14</v>
      </c>
      <c r="AE166" s="307" t="str">
        <f t="shared" ref="AE166:AE181" si="11">IF(AND(AD166&gt;=6,AD166&lt;18),"Tarde","Noite")</f>
        <v>Tarde</v>
      </c>
    </row>
    <row r="167" spans="1:31" ht="29" x14ac:dyDescent="0.35">
      <c r="A167" s="312">
        <v>44895</v>
      </c>
      <c r="B167" s="246">
        <f t="shared" si="10"/>
        <v>4</v>
      </c>
      <c r="C167" s="313">
        <v>0.40625</v>
      </c>
      <c r="D167" s="314">
        <v>58</v>
      </c>
      <c r="E167" s="315">
        <v>54</v>
      </c>
      <c r="F167" s="328">
        <v>25</v>
      </c>
      <c r="G167" s="151" t="s">
        <v>8</v>
      </c>
      <c r="H167" s="206" t="s">
        <v>815</v>
      </c>
      <c r="I167" s="104" t="s">
        <v>816</v>
      </c>
      <c r="J167" s="104" t="s">
        <v>96</v>
      </c>
      <c r="K167" s="207" t="s">
        <v>860</v>
      </c>
      <c r="L167" s="24">
        <v>1</v>
      </c>
      <c r="M167" s="123" t="s">
        <v>225</v>
      </c>
      <c r="N167" s="24">
        <v>1</v>
      </c>
      <c r="O167" s="24" t="s">
        <v>225</v>
      </c>
      <c r="P167" s="317" t="s">
        <v>225</v>
      </c>
      <c r="Q167" s="331" t="s">
        <v>664</v>
      </c>
      <c r="R167" s="318" t="s">
        <v>7</v>
      </c>
      <c r="S167" s="103" t="s">
        <v>43</v>
      </c>
      <c r="T167" s="204" t="s">
        <v>7</v>
      </c>
      <c r="U167" s="312"/>
      <c r="V167" s="319" t="e">
        <f>MONTH(T:T)</f>
        <v>#VALUE!</v>
      </c>
      <c r="W167" s="17">
        <f>WEEKNUM(Tabela1[[#This Row],[Data da melhoria]])</f>
        <v>0</v>
      </c>
      <c r="X167" s="314"/>
      <c r="Y167" s="320" t="str">
        <f>IF(Tabela1[[#This Row],[Severidade]]&lt;100, "Baixa",IF(Tabela1[[#This Row],[Severidade]]&gt;=500, "Alta","Média"))</f>
        <v>Baixa</v>
      </c>
      <c r="Z167" s="152" t="str">
        <f>IF(Tabela1[[#This Row],[Severidade]]&gt;499, "+500",IF(Tabela1[[#This Row],[Severidade]]&lt;=500, "-500"))</f>
        <v>-500</v>
      </c>
      <c r="AA167" s="152" t="s">
        <v>7</v>
      </c>
      <c r="AB167" s="30"/>
      <c r="AC167" s="320">
        <f>MONTH(Tabela1[[#This Row],[Data]])</f>
        <v>11</v>
      </c>
      <c r="AD167" s="307">
        <f>HOUR(Tabela1[[#This Row],[Hora]])</f>
        <v>9</v>
      </c>
      <c r="AE167" s="307" t="str">
        <f t="shared" si="11"/>
        <v>Tarde</v>
      </c>
    </row>
    <row r="168" spans="1:31" ht="29" x14ac:dyDescent="0.35">
      <c r="A168" s="158">
        <v>44895</v>
      </c>
      <c r="B168" s="246">
        <f t="shared" si="10"/>
        <v>4</v>
      </c>
      <c r="C168" s="303">
        <v>0.25138888888888888</v>
      </c>
      <c r="D168" s="304">
        <v>52</v>
      </c>
      <c r="E168" s="342">
        <v>65</v>
      </c>
      <c r="F168" s="328">
        <v>25</v>
      </c>
      <c r="G168" s="151" t="s">
        <v>8</v>
      </c>
      <c r="H168" s="161" t="s">
        <v>813</v>
      </c>
      <c r="I168" s="149" t="s">
        <v>814</v>
      </c>
      <c r="J168" s="149" t="s">
        <v>95</v>
      </c>
      <c r="K168" s="162" t="s">
        <v>853</v>
      </c>
      <c r="L168" s="150">
        <v>1</v>
      </c>
      <c r="M168" s="123" t="s">
        <v>854</v>
      </c>
      <c r="N168" s="24">
        <v>1</v>
      </c>
      <c r="O168" s="150">
        <v>42</v>
      </c>
      <c r="P168" s="300" t="s">
        <v>225</v>
      </c>
      <c r="Q168" s="157" t="s">
        <v>664</v>
      </c>
      <c r="R168" s="301" t="s">
        <v>7</v>
      </c>
      <c r="S168" s="248" t="s">
        <v>43</v>
      </c>
      <c r="T168" s="156" t="s">
        <v>7</v>
      </c>
      <c r="U168" s="302"/>
      <c r="V168" s="305" t="e">
        <f>MONTH(T:T)</f>
        <v>#VALUE!</v>
      </c>
      <c r="W168" s="151">
        <f>WEEKNUM(Tabela1[[#This Row],[Data da melhoria]])</f>
        <v>0</v>
      </c>
      <c r="X168" s="304"/>
      <c r="Y168" s="306" t="str">
        <f>IF(Tabela1[[#This Row],[Severidade]]&lt;100, "Baixa",IF(Tabela1[[#This Row],[Severidade]]&gt;=500, "Alta","Média"))</f>
        <v>Baixa</v>
      </c>
      <c r="Z168" s="152" t="str">
        <f>IF(Tabela1[[#This Row],[Severidade]]&gt;499, "+500",IF(Tabela1[[#This Row],[Severidade]]&lt;=500, "-500"))</f>
        <v>-500</v>
      </c>
      <c r="AA168" s="152" t="s">
        <v>7</v>
      </c>
      <c r="AB168" s="152"/>
      <c r="AC168" s="306">
        <f>MONTH(Tabela1[[#This Row],[Data]])</f>
        <v>11</v>
      </c>
      <c r="AD168" s="307">
        <f>HOUR(Tabela1[[#This Row],[Hora]])</f>
        <v>6</v>
      </c>
      <c r="AE168" s="307" t="str">
        <f t="shared" si="11"/>
        <v>Tarde</v>
      </c>
    </row>
    <row r="169" spans="1:31" ht="29" x14ac:dyDescent="0.35">
      <c r="A169" s="158">
        <v>44897</v>
      </c>
      <c r="B169" s="246">
        <v>6</v>
      </c>
      <c r="C169" s="159">
        <v>0.29236111111111113</v>
      </c>
      <c r="D169" s="156">
        <v>60</v>
      </c>
      <c r="E169" s="160">
        <v>56</v>
      </c>
      <c r="F169" s="328">
        <v>25</v>
      </c>
      <c r="G169" s="149" t="s">
        <v>8</v>
      </c>
      <c r="H169" s="161" t="s">
        <v>817</v>
      </c>
      <c r="I169" s="149" t="s">
        <v>818</v>
      </c>
      <c r="J169" s="149" t="s">
        <v>95</v>
      </c>
      <c r="K169" s="162"/>
      <c r="L169" s="247">
        <v>2</v>
      </c>
      <c r="M169" s="150" t="s">
        <v>819</v>
      </c>
      <c r="N169" s="150">
        <v>1</v>
      </c>
      <c r="O169" s="150">
        <v>46</v>
      </c>
      <c r="P169" s="300" t="s">
        <v>225</v>
      </c>
      <c r="Q169" s="157" t="s">
        <v>664</v>
      </c>
      <c r="R169" s="301" t="s">
        <v>7</v>
      </c>
      <c r="S169" s="248" t="s">
        <v>43</v>
      </c>
      <c r="T169" s="158" t="s">
        <v>7</v>
      </c>
      <c r="U169" s="158"/>
      <c r="V169" s="151" t="e">
        <f>MONTH(T:T)</f>
        <v>#VALUE!</v>
      </c>
      <c r="W169" s="151">
        <f>WEEKNUM(Tabela1[[#This Row],[Data da melhoria]])</f>
        <v>0</v>
      </c>
      <c r="X169" s="152"/>
      <c r="Y169" s="152" t="str">
        <f>IF(Tabela1[[#This Row],[Severidade]]&lt;100, "Baixa",IF(Tabela1[[#This Row],[Severidade]]&gt;=500, "Alta","Média"))</f>
        <v>Baixa</v>
      </c>
      <c r="Z169" s="152" t="str">
        <f>IF(Tabela1[[#This Row],[Severidade]]&gt;499, "+500",IF(Tabela1[[#This Row],[Severidade]]&lt;=500, "-500"))</f>
        <v>-500</v>
      </c>
      <c r="AA169" s="152" t="s">
        <v>7</v>
      </c>
      <c r="AB169" s="152"/>
      <c r="AC169" s="152">
        <f>MONTH(Tabela1[[#This Row],[Data]])</f>
        <v>12</v>
      </c>
      <c r="AD169" s="12">
        <f>HOUR(Tabela1[[#This Row],[Hora]])</f>
        <v>7</v>
      </c>
      <c r="AE169" s="12" t="str">
        <f t="shared" si="11"/>
        <v>Tarde</v>
      </c>
    </row>
    <row r="170" spans="1:31" ht="29" x14ac:dyDescent="0.35">
      <c r="A170" s="158">
        <v>44898</v>
      </c>
      <c r="B170" s="246">
        <f t="shared" ref="B170:B181" si="12">WEEKDAY(A170)</f>
        <v>7</v>
      </c>
      <c r="C170" s="159">
        <v>0.29444444444444445</v>
      </c>
      <c r="D170" s="156">
        <v>128</v>
      </c>
      <c r="E170" s="160">
        <v>49</v>
      </c>
      <c r="F170" s="328">
        <v>23</v>
      </c>
      <c r="G170" s="149" t="s">
        <v>8</v>
      </c>
      <c r="H170" s="161" t="s">
        <v>820</v>
      </c>
      <c r="I170" s="149" t="s">
        <v>821</v>
      </c>
      <c r="J170" s="149" t="s">
        <v>94</v>
      </c>
      <c r="K170" s="162" t="s">
        <v>832</v>
      </c>
      <c r="L170" s="247" t="s">
        <v>807</v>
      </c>
      <c r="M170" s="150" t="s">
        <v>872</v>
      </c>
      <c r="N170" s="150">
        <v>2</v>
      </c>
      <c r="O170" s="150">
        <v>18</v>
      </c>
      <c r="P170" s="300" t="s">
        <v>225</v>
      </c>
      <c r="Q170" s="157" t="s">
        <v>664</v>
      </c>
      <c r="R170" s="301" t="s">
        <v>7</v>
      </c>
      <c r="S170" s="248" t="s">
        <v>43</v>
      </c>
      <c r="T170" s="158" t="s">
        <v>7</v>
      </c>
      <c r="U170" s="158"/>
      <c r="V170" s="151" t="e">
        <f>MONTH(T:T)</f>
        <v>#VALUE!</v>
      </c>
      <c r="W170" s="151">
        <f>WEEKNUM(Tabela1[[#This Row],[Data da melhoria]])</f>
        <v>0</v>
      </c>
      <c r="X170" s="152"/>
      <c r="Y170" s="152" t="str">
        <f>IF(Tabela1[[#This Row],[Severidade]]&lt;100, "Baixa",IF(Tabela1[[#This Row],[Severidade]]&gt;=500, "Alta","Média"))</f>
        <v>Média</v>
      </c>
      <c r="Z170" s="152" t="str">
        <f>IF(Tabela1[[#This Row],[Severidade]]&gt;499, "+500",IF(Tabela1[[#This Row],[Severidade]]&lt;=500, "-500"))</f>
        <v>-500</v>
      </c>
      <c r="AA170" s="152" t="s">
        <v>7</v>
      </c>
      <c r="AB170" s="152"/>
      <c r="AC170" s="152">
        <f>MONTH(Tabela1[[#This Row],[Data]])</f>
        <v>12</v>
      </c>
      <c r="AD170" s="12">
        <f>HOUR(Tabela1[[#This Row],[Hora]])</f>
        <v>7</v>
      </c>
      <c r="AE170" s="12" t="str">
        <f t="shared" si="11"/>
        <v>Tarde</v>
      </c>
    </row>
    <row r="171" spans="1:31" ht="29" x14ac:dyDescent="0.35">
      <c r="A171" s="158">
        <v>44898</v>
      </c>
      <c r="B171" s="246">
        <f t="shared" si="12"/>
        <v>7</v>
      </c>
      <c r="C171" s="159">
        <v>0.40833333333333338</v>
      </c>
      <c r="D171" s="156">
        <v>53</v>
      </c>
      <c r="E171" s="160">
        <v>75</v>
      </c>
      <c r="F171" s="328">
        <v>23</v>
      </c>
      <c r="G171" s="149" t="s">
        <v>8</v>
      </c>
      <c r="H171" s="161" t="s">
        <v>822</v>
      </c>
      <c r="I171" s="149" t="s">
        <v>823</v>
      </c>
      <c r="J171" s="149" t="s">
        <v>94</v>
      </c>
      <c r="K171" s="162" t="s">
        <v>456</v>
      </c>
      <c r="L171" s="247" t="s">
        <v>808</v>
      </c>
      <c r="M171" s="150" t="s">
        <v>824</v>
      </c>
      <c r="N171" s="150">
        <v>1</v>
      </c>
      <c r="O171" s="150">
        <v>13</v>
      </c>
      <c r="P171" s="300"/>
      <c r="Q171" s="157" t="s">
        <v>664</v>
      </c>
      <c r="R171" s="301" t="s">
        <v>7</v>
      </c>
      <c r="S171" s="248" t="s">
        <v>43</v>
      </c>
      <c r="T171" s="158" t="s">
        <v>7</v>
      </c>
      <c r="U171" s="158"/>
      <c r="V171" s="151" t="e">
        <f>MONTH(T:T)</f>
        <v>#VALUE!</v>
      </c>
      <c r="W171" s="151">
        <f>WEEKNUM(Tabela1[[#This Row],[Data da melhoria]])</f>
        <v>0</v>
      </c>
      <c r="X171" s="152"/>
      <c r="Y171" s="152" t="str">
        <f>IF(Tabela1[[#This Row],[Severidade]]&lt;100, "Baixa",IF(Tabela1[[#This Row],[Severidade]]&gt;=500, "Alta","Média"))</f>
        <v>Baixa</v>
      </c>
      <c r="Z171" s="152" t="str">
        <f>IF(Tabela1[[#This Row],[Severidade]]&gt;499, "+500",IF(Tabela1[[#This Row],[Severidade]]&lt;=500, "-500"))</f>
        <v>-500</v>
      </c>
      <c r="AA171" s="152" t="s">
        <v>7</v>
      </c>
      <c r="AB171" s="152"/>
      <c r="AC171" s="152">
        <f>MONTH(Tabela1[[#This Row],[Data]])</f>
        <v>12</v>
      </c>
      <c r="AD171" s="12">
        <f>HOUR(Tabela1[[#This Row],[Hora]])</f>
        <v>9</v>
      </c>
      <c r="AE171" s="12" t="str">
        <f t="shared" si="11"/>
        <v>Tarde</v>
      </c>
    </row>
    <row r="172" spans="1:31" ht="29" x14ac:dyDescent="0.35">
      <c r="A172" s="158">
        <v>44898</v>
      </c>
      <c r="B172" s="246">
        <f t="shared" si="12"/>
        <v>7</v>
      </c>
      <c r="C172" s="159">
        <v>0.5</v>
      </c>
      <c r="D172" s="156">
        <v>221</v>
      </c>
      <c r="E172" s="160">
        <v>50</v>
      </c>
      <c r="F172" s="328">
        <v>31</v>
      </c>
      <c r="G172" s="149" t="s">
        <v>8</v>
      </c>
      <c r="H172" s="161" t="s">
        <v>825</v>
      </c>
      <c r="I172" s="149" t="s">
        <v>826</v>
      </c>
      <c r="J172" s="149" t="s">
        <v>94</v>
      </c>
      <c r="K172" s="162" t="s">
        <v>832</v>
      </c>
      <c r="L172" s="247" t="s">
        <v>807</v>
      </c>
      <c r="M172" s="150" t="s">
        <v>872</v>
      </c>
      <c r="N172" s="150">
        <v>2</v>
      </c>
      <c r="O172" s="150">
        <v>18</v>
      </c>
      <c r="P172" s="300" t="s">
        <v>225</v>
      </c>
      <c r="Q172" s="157" t="s">
        <v>664</v>
      </c>
      <c r="R172" s="301" t="s">
        <v>7</v>
      </c>
      <c r="S172" s="248" t="s">
        <v>43</v>
      </c>
      <c r="T172" s="158" t="s">
        <v>7</v>
      </c>
      <c r="U172" s="158"/>
      <c r="V172" s="151" t="e">
        <f>MONTH(T:T)</f>
        <v>#VALUE!</v>
      </c>
      <c r="W172" s="151">
        <f>WEEKNUM(Tabela1[[#This Row],[Data da melhoria]])</f>
        <v>0</v>
      </c>
      <c r="X172" s="152"/>
      <c r="Y172" s="152" t="str">
        <f>IF(Tabela1[[#This Row],[Severidade]]&lt;100, "Baixa",IF(Tabela1[[#This Row],[Severidade]]&gt;=500, "Alta","Média"))</f>
        <v>Média</v>
      </c>
      <c r="Z172" s="152" t="str">
        <f>IF(Tabela1[[#This Row],[Severidade]]&gt;499, "+500",IF(Tabela1[[#This Row],[Severidade]]&lt;=500, "-500"))</f>
        <v>-500</v>
      </c>
      <c r="AA172" s="152" t="s">
        <v>7</v>
      </c>
      <c r="AB172" s="152"/>
      <c r="AC172" s="152">
        <f>MONTH(Tabela1[[#This Row],[Data]])</f>
        <v>12</v>
      </c>
      <c r="AD172" s="12">
        <f>HOUR(Tabela1[[#This Row],[Hora]])</f>
        <v>12</v>
      </c>
      <c r="AE172" s="12" t="str">
        <f t="shared" si="11"/>
        <v>Tarde</v>
      </c>
    </row>
    <row r="173" spans="1:31" ht="29" x14ac:dyDescent="0.35">
      <c r="A173" s="158">
        <v>44898</v>
      </c>
      <c r="B173" s="246">
        <f t="shared" si="12"/>
        <v>7</v>
      </c>
      <c r="C173" s="159">
        <v>0.56597222222222221</v>
      </c>
      <c r="D173" s="156">
        <v>52</v>
      </c>
      <c r="E173" s="160">
        <v>61</v>
      </c>
      <c r="F173" s="328">
        <v>31</v>
      </c>
      <c r="G173" s="149" t="s">
        <v>8</v>
      </c>
      <c r="H173" s="161" t="s">
        <v>827</v>
      </c>
      <c r="I173" s="149" t="s">
        <v>828</v>
      </c>
      <c r="J173" s="149" t="s">
        <v>93</v>
      </c>
      <c r="K173" s="162" t="s">
        <v>829</v>
      </c>
      <c r="L173" s="247" t="s">
        <v>807</v>
      </c>
      <c r="M173" s="150" t="s">
        <v>225</v>
      </c>
      <c r="N173" s="150">
        <v>1</v>
      </c>
      <c r="O173" s="150" t="s">
        <v>225</v>
      </c>
      <c r="P173" s="300" t="s">
        <v>225</v>
      </c>
      <c r="Q173" s="157" t="s">
        <v>664</v>
      </c>
      <c r="R173" s="301" t="s">
        <v>7</v>
      </c>
      <c r="S173" s="248" t="s">
        <v>43</v>
      </c>
      <c r="T173" s="158" t="s">
        <v>7</v>
      </c>
      <c r="U173" s="158"/>
      <c r="V173" s="151" t="e">
        <f>MONTH(T:T)</f>
        <v>#VALUE!</v>
      </c>
      <c r="W173" s="151">
        <f>WEEKNUM(Tabela1[[#This Row],[Data da melhoria]])</f>
        <v>0</v>
      </c>
      <c r="X173" s="152"/>
      <c r="Y173" s="152" t="str">
        <f>IF(Tabela1[[#This Row],[Severidade]]&lt;100, "Baixa",IF(Tabela1[[#This Row],[Severidade]]&gt;=500, "Alta","Média"))</f>
        <v>Baixa</v>
      </c>
      <c r="Z173" s="152" t="str">
        <f>IF(Tabela1[[#This Row],[Severidade]]&gt;499, "+500",IF(Tabela1[[#This Row],[Severidade]]&lt;=500, "-500"))</f>
        <v>-500</v>
      </c>
      <c r="AA173" s="152" t="s">
        <v>7</v>
      </c>
      <c r="AB173" s="152"/>
      <c r="AC173" s="152">
        <f>MONTH(Tabela1[[#This Row],[Data]])</f>
        <v>12</v>
      </c>
      <c r="AD173" s="12">
        <f>HOUR(Tabela1[[#This Row],[Hora]])</f>
        <v>13</v>
      </c>
      <c r="AE173" s="12" t="str">
        <f t="shared" si="11"/>
        <v>Tarde</v>
      </c>
    </row>
    <row r="174" spans="1:31" ht="29" x14ac:dyDescent="0.35">
      <c r="A174" s="158">
        <v>44898</v>
      </c>
      <c r="B174" s="246">
        <f t="shared" si="12"/>
        <v>7</v>
      </c>
      <c r="C174" s="159">
        <v>0.81319444444444444</v>
      </c>
      <c r="D174" s="156">
        <v>127</v>
      </c>
      <c r="E174" s="160">
        <v>63</v>
      </c>
      <c r="F174" s="328">
        <v>23</v>
      </c>
      <c r="G174" s="149" t="s">
        <v>8</v>
      </c>
      <c r="H174" s="161" t="s">
        <v>830</v>
      </c>
      <c r="I174" s="149" t="s">
        <v>831</v>
      </c>
      <c r="J174" s="149" t="s">
        <v>96</v>
      </c>
      <c r="K174" s="162" t="s">
        <v>459</v>
      </c>
      <c r="L174" s="247" t="s">
        <v>807</v>
      </c>
      <c r="M174" s="150" t="s">
        <v>628</v>
      </c>
      <c r="N174" s="150">
        <v>1</v>
      </c>
      <c r="O174" s="150">
        <v>20</v>
      </c>
      <c r="P174" s="300" t="s">
        <v>225</v>
      </c>
      <c r="Q174" s="157" t="s">
        <v>664</v>
      </c>
      <c r="R174" s="301" t="s">
        <v>7</v>
      </c>
      <c r="S174" s="248" t="s">
        <v>43</v>
      </c>
      <c r="T174" s="158" t="s">
        <v>7</v>
      </c>
      <c r="U174" s="158"/>
      <c r="V174" s="151" t="e">
        <f>MONTH(T:T)</f>
        <v>#VALUE!</v>
      </c>
      <c r="W174" s="151">
        <f>WEEKNUM(Tabela1[[#This Row],[Data da melhoria]])</f>
        <v>0</v>
      </c>
      <c r="X174" s="152"/>
      <c r="Y174" s="152" t="str">
        <f>IF(Tabela1[[#This Row],[Severidade]]&lt;100, "Baixa",IF(Tabela1[[#This Row],[Severidade]]&gt;=500, "Alta","Média"))</f>
        <v>Média</v>
      </c>
      <c r="Z174" s="152" t="str">
        <f>IF(Tabela1[[#This Row],[Severidade]]&gt;499, "+500",IF(Tabela1[[#This Row],[Severidade]]&lt;=500, "-500"))</f>
        <v>-500</v>
      </c>
      <c r="AA174" s="152" t="s">
        <v>7</v>
      </c>
      <c r="AB174" s="152"/>
      <c r="AC174" s="152">
        <f>MONTH(Tabela1[[#This Row],[Data]])</f>
        <v>12</v>
      </c>
      <c r="AD174" s="12">
        <f>HOUR(Tabela1[[#This Row],[Hora]])</f>
        <v>19</v>
      </c>
      <c r="AE174" s="12" t="str">
        <f t="shared" si="11"/>
        <v>Noite</v>
      </c>
    </row>
    <row r="175" spans="1:31" ht="29" x14ac:dyDescent="0.35">
      <c r="A175" s="158">
        <v>44898</v>
      </c>
      <c r="B175" s="246">
        <f t="shared" si="12"/>
        <v>7</v>
      </c>
      <c r="C175" s="159">
        <v>0.82500000000000007</v>
      </c>
      <c r="D175" s="156">
        <v>52</v>
      </c>
      <c r="E175" s="160">
        <v>56</v>
      </c>
      <c r="F175" s="328">
        <v>23</v>
      </c>
      <c r="G175" s="149" t="s">
        <v>8</v>
      </c>
      <c r="H175" s="161" t="s">
        <v>833</v>
      </c>
      <c r="I175" s="149" t="s">
        <v>834</v>
      </c>
      <c r="J175" s="149" t="s">
        <v>96</v>
      </c>
      <c r="K175" s="162" t="s">
        <v>478</v>
      </c>
      <c r="L175" s="247" t="s">
        <v>329</v>
      </c>
      <c r="M175" s="150" t="s">
        <v>225</v>
      </c>
      <c r="N175" s="150">
        <v>1</v>
      </c>
      <c r="O175" s="150" t="s">
        <v>225</v>
      </c>
      <c r="P175" s="300" t="s">
        <v>225</v>
      </c>
      <c r="Q175" s="157" t="s">
        <v>664</v>
      </c>
      <c r="R175" s="301" t="s">
        <v>7</v>
      </c>
      <c r="S175" s="248" t="s">
        <v>43</v>
      </c>
      <c r="T175" s="158" t="s">
        <v>7</v>
      </c>
      <c r="U175" s="158"/>
      <c r="V175" s="151" t="e">
        <f>MONTH(T:T)</f>
        <v>#VALUE!</v>
      </c>
      <c r="W175" s="151">
        <f>WEEKNUM(Tabela1[[#This Row],[Data da melhoria]])</f>
        <v>0</v>
      </c>
      <c r="X175" s="152"/>
      <c r="Y175" s="152" t="str">
        <f>IF(Tabela1[[#This Row],[Severidade]]&lt;100, "Baixa",IF(Tabela1[[#This Row],[Severidade]]&gt;=500, "Alta","Média"))</f>
        <v>Baixa</v>
      </c>
      <c r="Z175" s="152" t="str">
        <f>IF(Tabela1[[#This Row],[Severidade]]&gt;499, "+500",IF(Tabela1[[#This Row],[Severidade]]&lt;=500, "-500"))</f>
        <v>-500</v>
      </c>
      <c r="AA175" s="152" t="s">
        <v>7</v>
      </c>
      <c r="AB175" s="152"/>
      <c r="AC175" s="152">
        <f>MONTH(Tabela1[[#This Row],[Data]])</f>
        <v>12</v>
      </c>
      <c r="AD175" s="12">
        <f>HOUR(Tabela1[[#This Row],[Hora]])</f>
        <v>19</v>
      </c>
      <c r="AE175" s="12" t="str">
        <f t="shared" si="11"/>
        <v>Noite</v>
      </c>
    </row>
    <row r="176" spans="1:31" ht="29" x14ac:dyDescent="0.35">
      <c r="A176" s="158">
        <v>44898</v>
      </c>
      <c r="B176" s="246">
        <f t="shared" si="12"/>
        <v>7</v>
      </c>
      <c r="C176" s="159">
        <v>0.8652777777777777</v>
      </c>
      <c r="D176" s="156">
        <v>126</v>
      </c>
      <c r="E176" s="160">
        <v>51</v>
      </c>
      <c r="F176" s="328">
        <v>23</v>
      </c>
      <c r="G176" s="149" t="s">
        <v>8</v>
      </c>
      <c r="H176" s="161" t="s">
        <v>835</v>
      </c>
      <c r="I176" s="149" t="s">
        <v>836</v>
      </c>
      <c r="J176" s="149" t="s">
        <v>96</v>
      </c>
      <c r="K176" s="162" t="s">
        <v>837</v>
      </c>
      <c r="L176" s="247" t="s">
        <v>329</v>
      </c>
      <c r="M176" s="150" t="s">
        <v>225</v>
      </c>
      <c r="N176" s="150">
        <v>1</v>
      </c>
      <c r="O176" s="150" t="s">
        <v>225</v>
      </c>
      <c r="P176" s="300" t="s">
        <v>225</v>
      </c>
      <c r="Q176" s="157" t="s">
        <v>664</v>
      </c>
      <c r="R176" s="301" t="s">
        <v>7</v>
      </c>
      <c r="S176" s="248" t="s">
        <v>43</v>
      </c>
      <c r="T176" s="158" t="s">
        <v>7</v>
      </c>
      <c r="U176" s="158"/>
      <c r="V176" s="151" t="e">
        <f>MONTH(T:T)</f>
        <v>#VALUE!</v>
      </c>
      <c r="W176" s="151">
        <f>WEEKNUM(Tabela1[[#This Row],[Data da melhoria]])</f>
        <v>0</v>
      </c>
      <c r="X176" s="152"/>
      <c r="Y176" s="152" t="str">
        <f>IF(Tabela1[[#This Row],[Severidade]]&lt;100, "Baixa",IF(Tabela1[[#This Row],[Severidade]]&gt;=500, "Alta","Média"))</f>
        <v>Média</v>
      </c>
      <c r="Z176" s="152" t="str">
        <f>IF(Tabela1[[#This Row],[Severidade]]&gt;499, "+500",IF(Tabela1[[#This Row],[Severidade]]&lt;=500, "-500"))</f>
        <v>-500</v>
      </c>
      <c r="AA176" s="152" t="s">
        <v>7</v>
      </c>
      <c r="AB176" s="152"/>
      <c r="AC176" s="152">
        <f>MONTH(Tabela1[[#This Row],[Data]])</f>
        <v>12</v>
      </c>
      <c r="AD176" s="12">
        <f>HOUR(Tabela1[[#This Row],[Hora]])</f>
        <v>20</v>
      </c>
      <c r="AE176" s="12" t="str">
        <f t="shared" si="11"/>
        <v>Noite</v>
      </c>
    </row>
    <row r="177" spans="1:31" ht="29" x14ac:dyDescent="0.35">
      <c r="A177" s="158">
        <v>44898</v>
      </c>
      <c r="B177" s="246">
        <f t="shared" si="12"/>
        <v>7</v>
      </c>
      <c r="C177" s="159">
        <v>0.87222222222222223</v>
      </c>
      <c r="D177" s="156">
        <v>57</v>
      </c>
      <c r="E177" s="160">
        <v>49</v>
      </c>
      <c r="F177" s="328">
        <v>23</v>
      </c>
      <c r="G177" s="149" t="s">
        <v>8</v>
      </c>
      <c r="H177" s="161" t="s">
        <v>838</v>
      </c>
      <c r="I177" s="149" t="s">
        <v>839</v>
      </c>
      <c r="J177" s="149" t="s">
        <v>96</v>
      </c>
      <c r="K177" s="162" t="s">
        <v>478</v>
      </c>
      <c r="L177" s="247" t="s">
        <v>329</v>
      </c>
      <c r="M177" s="150" t="s">
        <v>225</v>
      </c>
      <c r="N177" s="150">
        <v>1</v>
      </c>
      <c r="O177" s="150" t="s">
        <v>225</v>
      </c>
      <c r="P177" s="300" t="s">
        <v>225</v>
      </c>
      <c r="Q177" s="157" t="s">
        <v>664</v>
      </c>
      <c r="R177" s="301" t="s">
        <v>7</v>
      </c>
      <c r="S177" s="248" t="s">
        <v>43</v>
      </c>
      <c r="T177" s="158" t="s">
        <v>7</v>
      </c>
      <c r="U177" s="158"/>
      <c r="V177" s="151" t="e">
        <f>MONTH(T:T)</f>
        <v>#VALUE!</v>
      </c>
      <c r="W177" s="151">
        <f>WEEKNUM(Tabela1[[#This Row],[Data da melhoria]])</f>
        <v>0</v>
      </c>
      <c r="X177" s="152"/>
      <c r="Y177" s="152" t="str">
        <f>IF(Tabela1[[#This Row],[Severidade]]&lt;100, "Baixa",IF(Tabela1[[#This Row],[Severidade]]&gt;=500, "Alta","Média"))</f>
        <v>Baixa</v>
      </c>
      <c r="Z177" s="152" t="str">
        <f>IF(Tabela1[[#This Row],[Severidade]]&gt;499, "+500",IF(Tabela1[[#This Row],[Severidade]]&lt;=500, "-500"))</f>
        <v>-500</v>
      </c>
      <c r="AA177" s="152" t="s">
        <v>7</v>
      </c>
      <c r="AB177" s="152"/>
      <c r="AC177" s="152">
        <f>MONTH(Tabela1[[#This Row],[Data]])</f>
        <v>12</v>
      </c>
      <c r="AD177" s="12">
        <f>HOUR(Tabela1[[#This Row],[Hora]])</f>
        <v>20</v>
      </c>
      <c r="AE177" s="12" t="str">
        <f t="shared" si="11"/>
        <v>Noite</v>
      </c>
    </row>
    <row r="178" spans="1:31" ht="29" x14ac:dyDescent="0.35">
      <c r="A178" s="158">
        <v>44900</v>
      </c>
      <c r="B178" s="246">
        <f t="shared" si="12"/>
        <v>2</v>
      </c>
      <c r="C178" s="159">
        <v>0.66111111111111109</v>
      </c>
      <c r="D178" s="156">
        <v>77</v>
      </c>
      <c r="E178" s="160">
        <v>75</v>
      </c>
      <c r="F178" s="328">
        <v>23</v>
      </c>
      <c r="G178" s="149" t="s">
        <v>8</v>
      </c>
      <c r="H178" s="161" t="s">
        <v>840</v>
      </c>
      <c r="I178" s="149" t="s">
        <v>841</v>
      </c>
      <c r="J178" s="149" t="s">
        <v>94</v>
      </c>
      <c r="K178" s="162" t="s">
        <v>472</v>
      </c>
      <c r="L178" s="247" t="s">
        <v>702</v>
      </c>
      <c r="M178" s="150" t="s">
        <v>225</v>
      </c>
      <c r="N178" s="150">
        <v>1</v>
      </c>
      <c r="O178" s="150" t="s">
        <v>225</v>
      </c>
      <c r="P178" s="300" t="s">
        <v>225</v>
      </c>
      <c r="Q178" s="157" t="s">
        <v>664</v>
      </c>
      <c r="R178" s="301" t="s">
        <v>7</v>
      </c>
      <c r="S178" s="248" t="s">
        <v>43</v>
      </c>
      <c r="T178" s="158" t="s">
        <v>7</v>
      </c>
      <c r="U178" s="158"/>
      <c r="V178" s="151" t="e">
        <f>MONTH(T:T)</f>
        <v>#VALUE!</v>
      </c>
      <c r="W178" s="151">
        <f>WEEKNUM(Tabela1[[#This Row],[Data da melhoria]])</f>
        <v>0</v>
      </c>
      <c r="X178" s="152"/>
      <c r="Y178" s="152" t="str">
        <f>IF(Tabela1[[#This Row],[Severidade]]&lt;100, "Baixa",IF(Tabela1[[#This Row],[Severidade]]&gt;=500, "Alta","Média"))</f>
        <v>Baixa</v>
      </c>
      <c r="Z178" s="152" t="str">
        <f>IF(Tabela1[[#This Row],[Severidade]]&gt;499, "+500",IF(Tabela1[[#This Row],[Severidade]]&lt;=500, "-500"))</f>
        <v>-500</v>
      </c>
      <c r="AA178" s="152" t="s">
        <v>7</v>
      </c>
      <c r="AB178" s="152"/>
      <c r="AC178" s="152">
        <f>MONTH(Tabela1[[#This Row],[Data]])</f>
        <v>12</v>
      </c>
      <c r="AD178" s="12">
        <f>HOUR(Tabela1[[#This Row],[Hora]])</f>
        <v>15</v>
      </c>
      <c r="AE178" s="12" t="str">
        <f t="shared" si="11"/>
        <v>Tarde</v>
      </c>
    </row>
    <row r="179" spans="1:31" ht="29" x14ac:dyDescent="0.35">
      <c r="A179" s="302">
        <v>44907</v>
      </c>
      <c r="B179" s="246">
        <f t="shared" si="12"/>
        <v>2</v>
      </c>
      <c r="C179" s="303">
        <v>0.27430555555555552</v>
      </c>
      <c r="D179" s="304">
        <v>92</v>
      </c>
      <c r="E179" s="342">
        <v>87</v>
      </c>
      <c r="F179" s="328">
        <v>24</v>
      </c>
      <c r="G179" s="149" t="s">
        <v>8</v>
      </c>
      <c r="H179" s="358" t="s">
        <v>842</v>
      </c>
      <c r="I179" s="149" t="s">
        <v>843</v>
      </c>
      <c r="J179" s="149" t="s">
        <v>95</v>
      </c>
      <c r="K179" s="162" t="s">
        <v>452</v>
      </c>
      <c r="L179" s="247" t="s">
        <v>807</v>
      </c>
      <c r="M179" s="150" t="s">
        <v>844</v>
      </c>
      <c r="N179" s="150">
        <v>1</v>
      </c>
      <c r="O179" s="150">
        <v>57</v>
      </c>
      <c r="P179" s="300" t="s">
        <v>225</v>
      </c>
      <c r="Q179" s="157" t="s">
        <v>664</v>
      </c>
      <c r="R179" s="301" t="s">
        <v>7</v>
      </c>
      <c r="S179" s="248" t="s">
        <v>43</v>
      </c>
      <c r="T179" s="158" t="s">
        <v>7</v>
      </c>
      <c r="U179" s="302"/>
      <c r="V179" s="305" t="e">
        <f>MONTH(T:T)</f>
        <v>#VALUE!</v>
      </c>
      <c r="W179" s="151">
        <f>WEEKNUM(Tabela1[[#This Row],[Data da melhoria]])</f>
        <v>0</v>
      </c>
      <c r="X179" s="306"/>
      <c r="Y179" s="306" t="str">
        <f>IF(Tabela1[[#This Row],[Severidade]]&lt;100, "Baixa",IF(Tabela1[[#This Row],[Severidade]]&gt;=500, "Alta","Média"))</f>
        <v>Baixa</v>
      </c>
      <c r="Z179" s="152" t="str">
        <f>IF(Tabela1[[#This Row],[Severidade]]&gt;499, "+500",IF(Tabela1[[#This Row],[Severidade]]&lt;=500, "-500"))</f>
        <v>-500</v>
      </c>
      <c r="AA179" s="152" t="s">
        <v>7</v>
      </c>
      <c r="AB179" s="152"/>
      <c r="AC179" s="306">
        <f>MONTH(Tabela1[[#This Row],[Data]])</f>
        <v>12</v>
      </c>
      <c r="AD179" s="307">
        <f>HOUR(Tabela1[[#This Row],[Hora]])</f>
        <v>6</v>
      </c>
      <c r="AE179" s="307" t="str">
        <f t="shared" si="11"/>
        <v>Tarde</v>
      </c>
    </row>
    <row r="180" spans="1:31" ht="29" x14ac:dyDescent="0.35">
      <c r="A180" s="158">
        <v>44908</v>
      </c>
      <c r="B180" s="246">
        <f t="shared" si="12"/>
        <v>3</v>
      </c>
      <c r="C180" s="159">
        <v>0.49256944444444445</v>
      </c>
      <c r="D180" s="156">
        <v>99</v>
      </c>
      <c r="E180" s="160">
        <v>61</v>
      </c>
      <c r="F180" s="328">
        <v>21</v>
      </c>
      <c r="G180" s="149" t="s">
        <v>8</v>
      </c>
      <c r="H180" s="161" t="s">
        <v>861</v>
      </c>
      <c r="I180" s="149" t="s">
        <v>862</v>
      </c>
      <c r="J180" s="149" t="s">
        <v>93</v>
      </c>
      <c r="K180" s="162" t="s">
        <v>491</v>
      </c>
      <c r="L180" s="247" t="s">
        <v>808</v>
      </c>
      <c r="M180" s="150" t="s">
        <v>859</v>
      </c>
      <c r="N180" s="150">
        <v>1</v>
      </c>
      <c r="O180" s="150">
        <v>42</v>
      </c>
      <c r="P180" s="300" t="s">
        <v>225</v>
      </c>
      <c r="Q180" s="157" t="s">
        <v>664</v>
      </c>
      <c r="R180" s="301" t="s">
        <v>7</v>
      </c>
      <c r="S180" s="248" t="s">
        <v>43</v>
      </c>
      <c r="T180" s="158" t="s">
        <v>7</v>
      </c>
      <c r="U180" s="158"/>
      <c r="V180" s="151" t="e">
        <f>MONTH(T:T)</f>
        <v>#VALUE!</v>
      </c>
      <c r="W180" s="151">
        <f>WEEKNUM(Tabela1[[#This Row],[Data da melhoria]])</f>
        <v>0</v>
      </c>
      <c r="X180" s="152"/>
      <c r="Y180" s="152" t="str">
        <f>IF(Tabela1[[#This Row],[Severidade]]&lt;100, "Baixa",IF(Tabela1[[#This Row],[Severidade]]&gt;=500, "Alta","Média"))</f>
        <v>Baixa</v>
      </c>
      <c r="Z180" s="152" t="str">
        <f>IF(Tabela1[[#This Row],[Severidade]]&gt;499, "+500",IF(Tabela1[[#This Row],[Severidade]]&lt;=500, "-500"))</f>
        <v>-500</v>
      </c>
      <c r="AA180" s="152" t="s">
        <v>7</v>
      </c>
      <c r="AB180" s="152"/>
      <c r="AC180" s="152">
        <f>MONTH(Tabela1[[#This Row],[Data]])</f>
        <v>12</v>
      </c>
      <c r="AD180" s="12">
        <f>HOUR(Tabela1[[#This Row],[Hora]])</f>
        <v>11</v>
      </c>
      <c r="AE180" s="12" t="str">
        <f t="shared" si="11"/>
        <v>Tarde</v>
      </c>
    </row>
    <row r="181" spans="1:31" ht="29" x14ac:dyDescent="0.35">
      <c r="A181" s="363">
        <v>44909</v>
      </c>
      <c r="B181" s="246">
        <f t="shared" si="12"/>
        <v>4</v>
      </c>
      <c r="C181" s="364">
        <v>0.40972222222222227</v>
      </c>
      <c r="D181" s="365">
        <v>274</v>
      </c>
      <c r="E181" s="366">
        <v>67</v>
      </c>
      <c r="F181" s="328">
        <v>20</v>
      </c>
      <c r="G181" s="149" t="s">
        <v>8</v>
      </c>
      <c r="H181" s="367" t="s">
        <v>863</v>
      </c>
      <c r="I181" s="149" t="s">
        <v>864</v>
      </c>
      <c r="J181" s="149" t="s">
        <v>94</v>
      </c>
      <c r="K181" s="162" t="s">
        <v>865</v>
      </c>
      <c r="L181" s="247" t="s">
        <v>653</v>
      </c>
      <c r="M181" s="150" t="s">
        <v>873</v>
      </c>
      <c r="N181" s="150">
        <v>1</v>
      </c>
      <c r="O181" s="150">
        <v>8</v>
      </c>
      <c r="P181" s="300" t="s">
        <v>225</v>
      </c>
      <c r="Q181" s="157" t="s">
        <v>664</v>
      </c>
      <c r="R181" s="301" t="s">
        <v>7</v>
      </c>
      <c r="S181" s="248" t="s">
        <v>43</v>
      </c>
      <c r="T181" s="158" t="s">
        <v>7</v>
      </c>
      <c r="U181" s="363"/>
      <c r="V181" s="368" t="e">
        <f>MONTH(T:T)</f>
        <v>#VALUE!</v>
      </c>
      <c r="W181" s="151">
        <f>WEEKNUM(Tabela1[[#This Row],[Data da melhoria]])</f>
        <v>0</v>
      </c>
      <c r="X181" s="369"/>
      <c r="Y181" s="369" t="str">
        <f>IF(Tabela1[[#This Row],[Severidade]]&lt;100, "Baixa",IF(Tabela1[[#This Row],[Severidade]]&gt;=500, "Alta","Média"))</f>
        <v>Média</v>
      </c>
      <c r="Z181" s="152" t="str">
        <f>IF(Tabela1[[#This Row],[Severidade]]&gt;499, "+500",IF(Tabela1[[#This Row],[Severidade]]&lt;=500, "-500"))</f>
        <v>-500</v>
      </c>
      <c r="AA181" s="152" t="s">
        <v>7</v>
      </c>
      <c r="AB181" s="152"/>
      <c r="AC181" s="369">
        <f>MONTH(Tabela1[[#This Row],[Data]])</f>
        <v>12</v>
      </c>
      <c r="AD181" s="370">
        <f>HOUR(Tabela1[[#This Row],[Hora]])</f>
        <v>9</v>
      </c>
      <c r="AE181" s="370" t="str">
        <f t="shared" si="11"/>
        <v>Tarde</v>
      </c>
    </row>
    <row r="182" spans="1:31" ht="29" x14ac:dyDescent="0.35">
      <c r="A182" s="363">
        <v>44914</v>
      </c>
      <c r="B182" s="509">
        <f>WEEKDAY(A182)</f>
        <v>2</v>
      </c>
      <c r="C182" s="364">
        <v>0.26503472222222219</v>
      </c>
      <c r="D182" s="365">
        <v>60</v>
      </c>
      <c r="E182" s="366">
        <v>80</v>
      </c>
      <c r="F182" s="328"/>
      <c r="G182" s="512" t="s">
        <v>8</v>
      </c>
      <c r="H182" s="508" t="s">
        <v>880</v>
      </c>
      <c r="I182" s="512" t="s">
        <v>881</v>
      </c>
      <c r="J182" s="512" t="s">
        <v>95</v>
      </c>
      <c r="K182" s="519" t="s">
        <v>888</v>
      </c>
      <c r="L182" s="247" t="s">
        <v>807</v>
      </c>
      <c r="M182" s="150" t="s">
        <v>882</v>
      </c>
      <c r="N182" s="513">
        <v>1</v>
      </c>
      <c r="O182" s="150">
        <v>51</v>
      </c>
      <c r="P182" s="300" t="s">
        <v>225</v>
      </c>
      <c r="Q182" s="157" t="s">
        <v>664</v>
      </c>
      <c r="R182" s="301" t="s">
        <v>7</v>
      </c>
      <c r="S182" s="248" t="s">
        <v>43</v>
      </c>
      <c r="T182" s="520" t="s">
        <v>7</v>
      </c>
      <c r="U182" s="363"/>
      <c r="V182" s="515" t="e">
        <f>MONTH(T:T)</f>
        <v>#VALUE!</v>
      </c>
      <c r="W182" s="516">
        <f>WEEKNUM(Tabela1[[#This Row],[Data da melhoria]])</f>
        <v>0</v>
      </c>
      <c r="X182" s="369"/>
      <c r="Y182" s="517" t="str">
        <f>IF(Tabela1[[#This Row],[Severidade]]&lt;100, "Baixa",IF(Tabela1[[#This Row],[Severidade]]&gt;=500, "Alta","Média"))</f>
        <v>Baixa</v>
      </c>
      <c r="Z182" s="510" t="str">
        <f>IF(Tabela1[[#This Row],[Severidade]]&gt;499, "+500",IF(Tabela1[[#This Row],[Severidade]]&lt;=500, "-500"))</f>
        <v>-500</v>
      </c>
      <c r="AA182" s="511" t="s">
        <v>7</v>
      </c>
      <c r="AB182" s="511"/>
      <c r="AC182" s="517">
        <f>MONTH(Tabela1[[#This Row],[Data]])</f>
        <v>12</v>
      </c>
      <c r="AD182" s="518">
        <f>HOUR(Tabela1[[#This Row],[Hora]])</f>
        <v>6</v>
      </c>
      <c r="AE182" s="518" t="str">
        <f>IF(AND(AD182&gt;=6,AD182&lt;18),"Tarde","Noite")</f>
        <v>Tarde</v>
      </c>
    </row>
    <row r="183" spans="1:31" ht="29" x14ac:dyDescent="0.35">
      <c r="A183" s="520">
        <v>44914</v>
      </c>
      <c r="B183" s="509">
        <f>WEEKDAY(A183)</f>
        <v>2</v>
      </c>
      <c r="C183" s="521">
        <v>0.38081018518518522</v>
      </c>
      <c r="D183" s="522">
        <v>137</v>
      </c>
      <c r="E183" s="523">
        <v>39</v>
      </c>
      <c r="F183" s="328"/>
      <c r="G183" s="512" t="s">
        <v>8</v>
      </c>
      <c r="H183" s="508" t="s">
        <v>886</v>
      </c>
      <c r="I183" s="512" t="s">
        <v>887</v>
      </c>
      <c r="J183" s="512" t="s">
        <v>94</v>
      </c>
      <c r="K183" s="519" t="s">
        <v>883</v>
      </c>
      <c r="L183" s="247" t="s">
        <v>808</v>
      </c>
      <c r="M183" s="150" t="s">
        <v>890</v>
      </c>
      <c r="N183" s="513"/>
      <c r="O183" s="150">
        <v>8</v>
      </c>
      <c r="P183" s="300" t="s">
        <v>225</v>
      </c>
      <c r="Q183" s="157" t="s">
        <v>664</v>
      </c>
      <c r="R183" s="301" t="s">
        <v>7</v>
      </c>
      <c r="S183" s="248" t="s">
        <v>43</v>
      </c>
      <c r="T183" s="520" t="s">
        <v>7</v>
      </c>
      <c r="U183" s="520"/>
      <c r="V183" s="516" t="e">
        <f>MONTH(T:T)</f>
        <v>#VALUE!</v>
      </c>
      <c r="W183" s="516">
        <f>WEEKNUM(Tabela1[[#This Row],[Data da melhoria]])</f>
        <v>0</v>
      </c>
      <c r="X183" s="524"/>
      <c r="Y183" s="511" t="str">
        <f>IF(Tabela1[[#This Row],[Severidade]]&lt;100, "Baixa",IF(Tabela1[[#This Row],[Severidade]]&gt;=500, "Alta","Média"))</f>
        <v>Média</v>
      </c>
      <c r="Z183" s="510" t="str">
        <f>IF(Tabela1[[#This Row],[Severidade]]&gt;499, "+500",IF(Tabela1[[#This Row],[Severidade]]&lt;=500, "-500"))</f>
        <v>-500</v>
      </c>
      <c r="AA183" s="511" t="s">
        <v>7</v>
      </c>
      <c r="AB183" s="511"/>
      <c r="AC183" s="511">
        <f>MONTH(Tabela1[[#This Row],[Data]])</f>
        <v>12</v>
      </c>
      <c r="AD183" s="525">
        <f>HOUR(Tabela1[[#This Row],[Hora]])</f>
        <v>9</v>
      </c>
      <c r="AE183" s="525" t="str">
        <f>IF(AND(AD183&gt;=6,AD183&lt;18),"Tarde","Noite")</f>
        <v>Tarde</v>
      </c>
    </row>
    <row r="184" spans="1:31" ht="43.5" x14ac:dyDescent="0.35">
      <c r="A184" s="520">
        <v>44916</v>
      </c>
      <c r="B184" s="509">
        <f>WEEKDAY(A184)</f>
        <v>4</v>
      </c>
      <c r="C184" s="521">
        <v>0.35319444444444442</v>
      </c>
      <c r="D184" s="522">
        <v>83</v>
      </c>
      <c r="E184" s="523">
        <v>38</v>
      </c>
      <c r="F184" s="328"/>
      <c r="G184" s="512" t="s">
        <v>8</v>
      </c>
      <c r="H184" s="508" t="s">
        <v>884</v>
      </c>
      <c r="I184" s="512" t="s">
        <v>885</v>
      </c>
      <c r="J184" s="512" t="s">
        <v>95</v>
      </c>
      <c r="K184" s="519" t="s">
        <v>889</v>
      </c>
      <c r="L184" s="247" t="s">
        <v>807</v>
      </c>
      <c r="M184" s="150" t="s">
        <v>225</v>
      </c>
      <c r="N184" s="513">
        <v>1</v>
      </c>
      <c r="O184" s="150" t="s">
        <v>225</v>
      </c>
      <c r="P184" s="300" t="s">
        <v>225</v>
      </c>
      <c r="Q184" s="157" t="s">
        <v>664</v>
      </c>
      <c r="R184" s="301" t="s">
        <v>7</v>
      </c>
      <c r="S184" s="248" t="s">
        <v>43</v>
      </c>
      <c r="T184" s="520" t="s">
        <v>7</v>
      </c>
      <c r="U184" s="520"/>
      <c r="V184" s="516" t="e">
        <f>MONTH(T:T)</f>
        <v>#VALUE!</v>
      </c>
      <c r="W184" s="516">
        <f>WEEKNUM(Tabela1[[#This Row],[Data da melhoria]])</f>
        <v>0</v>
      </c>
      <c r="X184" s="524"/>
      <c r="Y184" s="511" t="str">
        <f>IF(Tabela1[[#This Row],[Severidade]]&lt;100, "Baixa",IF(Tabela1[[#This Row],[Severidade]]&gt;=500, "Alta","Média"))</f>
        <v>Baixa</v>
      </c>
      <c r="Z184" s="510" t="str">
        <f>IF(Tabela1[[#This Row],[Severidade]]&gt;499, "+500",IF(Tabela1[[#This Row],[Severidade]]&lt;=500, "-500"))</f>
        <v>-500</v>
      </c>
      <c r="AA184" s="511" t="s">
        <v>7</v>
      </c>
      <c r="AB184" s="511"/>
      <c r="AC184" s="511">
        <f>MONTH(Tabela1[[#This Row],[Data]])</f>
        <v>12</v>
      </c>
      <c r="AD184" s="525">
        <f>HOUR(Tabela1[[#This Row],[Hora]])</f>
        <v>8</v>
      </c>
      <c r="AE184" s="525" t="str">
        <f>IF(AND(AD184&gt;=6,AD184&lt;18),"Tarde","Noite")</f>
        <v>Tarde</v>
      </c>
    </row>
    <row r="185" spans="1:31" x14ac:dyDescent="0.35">
      <c r="A185" s="520">
        <v>21</v>
      </c>
      <c r="B185" s="509">
        <f>WEEKDAY(A185)</f>
        <v>7</v>
      </c>
      <c r="C185" s="521"/>
      <c r="D185" s="522"/>
      <c r="E185" s="523"/>
      <c r="F185" s="328"/>
      <c r="G185" s="512"/>
      <c r="H185" s="508"/>
      <c r="I185" s="512"/>
      <c r="J185" s="512"/>
      <c r="K185" s="519"/>
      <c r="L185" s="247"/>
      <c r="M185" s="150"/>
      <c r="N185" s="513"/>
      <c r="O185" s="150"/>
      <c r="P185" s="300"/>
      <c r="Q185" s="514"/>
      <c r="R185" s="301"/>
      <c r="S185" s="248"/>
      <c r="T185" s="520"/>
      <c r="U185" s="520"/>
      <c r="V185" s="516">
        <f>MONTH(T:T)</f>
        <v>1</v>
      </c>
      <c r="W185" s="516">
        <f>WEEKNUM(Tabela1[[#This Row],[Data da melhoria]])</f>
        <v>0</v>
      </c>
      <c r="X185" s="524"/>
      <c r="Y185" s="511" t="str">
        <f>IF(Tabela1[[#This Row],[Severidade]]&lt;100, "Baixa",IF(Tabela1[[#This Row],[Severidade]]&gt;=500, "Alta","Média"))</f>
        <v>Baixa</v>
      </c>
      <c r="Z185" s="510" t="str">
        <f>IF(Tabela1[[#This Row],[Severidade]]&gt;499, "+500",IF(Tabela1[[#This Row],[Severidade]]&lt;=500, "-500"))</f>
        <v>-500</v>
      </c>
      <c r="AA185" s="511"/>
      <c r="AB185" s="511"/>
      <c r="AC185" s="511">
        <f>MONTH(Tabela1[[#This Row],[Data]])</f>
        <v>1</v>
      </c>
      <c r="AD185" s="525">
        <f>HOUR(Tabela1[[#This Row],[Hora]])</f>
        <v>0</v>
      </c>
      <c r="AE185" s="525" t="str">
        <f>IF(AND(AD185&gt;=6,AD185&lt;18),"Tarde","Noite")</f>
        <v>Noite</v>
      </c>
    </row>
  </sheetData>
  <mergeCells count="1">
    <mergeCell ref="D1:J1"/>
  </mergeCells>
  <phoneticPr fontId="5" type="noConversion"/>
  <conditionalFormatting sqref="A27:B27 A14:B14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Q125:S125">
    <cfRule type="iconSet" priority="84">
      <iconSet>
        <cfvo type="percent" val="0"/>
        <cfvo type="percent" val="33"/>
        <cfvo type="percent" val="67"/>
      </iconSet>
    </cfRule>
  </conditionalFormatting>
  <conditionalFormatting sqref="A5:AE185">
    <cfRule type="expression" dxfId="17" priority="7">
      <formula>$Y5 ="Baixa"</formula>
    </cfRule>
    <cfRule type="expression" dxfId="16" priority="8">
      <formula>$Y5 ="Alta"</formula>
    </cfRule>
    <cfRule type="expression" dxfId="15" priority="9">
      <formula>$Y5 = "Média"</formula>
    </cfRule>
  </conditionalFormatting>
  <conditionalFormatting sqref="A143">
    <cfRule type="expression" dxfId="14" priority="4">
      <formula>$Y143 ="Baixa"</formula>
    </cfRule>
    <cfRule type="expression" dxfId="13" priority="5">
      <formula>$Y143 ="Alta"</formula>
    </cfRule>
    <cfRule type="expression" dxfId="12" priority="6">
      <formula>$Y143 = "Média"</formula>
    </cfRule>
  </conditionalFormatting>
  <conditionalFormatting sqref="A175">
    <cfRule type="expression" dxfId="11" priority="1">
      <formula>$Y175 ="Baixa"</formula>
    </cfRule>
    <cfRule type="expression" dxfId="10" priority="2">
      <formula>$Y175 ="Alta"</formula>
    </cfRule>
    <cfRule type="expression" dxfId="9" priority="3">
      <formula>$Y175 = "Média"</formula>
    </cfRule>
  </conditionalFormatting>
  <hyperlinks>
    <hyperlink ref="Q16" r:id="rId1" display="https://tdp.telemattica.com/ohw-monitoring/event/62ac95eaf009af0012a25aa2" xr:uid="{7A8F19E1-98E7-46CB-8550-1DC44B178031}"/>
    <hyperlink ref="Q13" r:id="rId2" display="https://tdp.telemattica.com/ohw-monitoring/event/62a76a3ef009af0012a1116f" xr:uid="{AE394751-B6E7-47DD-8768-74DA880B0852}"/>
    <hyperlink ref="Q17" r:id="rId3" display="https://tdp.telemattica.com/ohw-monitoring/event/62ae26415c49e40012e9fadc" xr:uid="{83AAC049-E640-40D8-AE98-6F3DB379808A}"/>
    <hyperlink ref="Q18" r:id="rId4" display="https://tdp.telemattica.com/ohw-monitoring/event/62b0906bf009af0012a34666" xr:uid="{82437B6C-838B-41CA-9D7D-AB6D0907B8F3}"/>
    <hyperlink ref="Q15" r:id="rId5" display="https://tdp.telemattica.com/ohw-monitoring/event/62ab3a250ac579001264aa38" xr:uid="{098ADDCC-CFBA-4968-BDE4-BF8D78124D3D}"/>
    <hyperlink ref="Q12" r:id="rId6" display="https://tdp.telemattica.com/ohw-monitoring/event/62a7bf2b0ac579001263cf5d" xr:uid="{C78299DE-B489-4A37-8FC8-11D6FC9994B7}"/>
    <hyperlink ref="Q8" r:id="rId7" display="https://tdp.telemattica.com/ohw-monitoring/event/62a68f4d5c49e40012e842a7" xr:uid="{D604E76C-0ABE-4238-BD01-4EBD8BA1265A}"/>
    <hyperlink ref="Q19" r:id="rId8" display="https://tdp.telemattica.com/ohw-monitoring/event/62b1a34a5c49e40012ead630" xr:uid="{935CC227-4C23-4293-9A7C-AEB86048857F}"/>
    <hyperlink ref="Q21" r:id="rId9" display="https://tdp.telemattica.com/ohw-monitoring/event/62b23f2e2446a70012e0142c" xr:uid="{0B597058-692F-41FB-BC9C-28CD05AE994A}"/>
    <hyperlink ref="Q23" r:id="rId10" display="https://tdp.telemattica.com/ohw-monitoring/event/62b9da630ac5790012681fcf" xr:uid="{8A0E79C1-EE0A-48C5-8F57-D86083B3C3F6}"/>
    <hyperlink ref="Q24" r:id="rId11" display="https://tdp.telemattica.com/ohw-monitoring/event/62ba3b155c49e40012ecc5f1" xr:uid="{536A2BB5-BFCA-444E-B040-CA36D2A101E7}"/>
    <hyperlink ref="Q20" r:id="rId12" display="https://tdp.telemattica.com/ohw-monitoring/event/62b19ff72446a70012dff91f" xr:uid="{7EA44F53-1010-4F84-B669-3FF9ABBC6B90}"/>
    <hyperlink ref="Q26" r:id="rId13" display="https://tdp.telemattica.com/ohw-monitoring/event/62be2b240ac5790012692713" xr:uid="{EED55F8F-3822-48B9-9C76-CD815FB3847C}"/>
    <hyperlink ref="Q27" r:id="rId14" display="https://tdp.telemattica.com/ohw-monitoring/event/62be46d95c49e40012edc646" xr:uid="{BEDB46E6-06B2-4F7F-ADB7-DAC32C6846E2}"/>
    <hyperlink ref="Q28" r:id="rId15" display="https://tdp.telemattica.com/ohw-monitoring/event/62c0c3d35c49e40012ee4572" xr:uid="{CE681314-07B8-4011-BF1F-04C83B2EE216}"/>
    <hyperlink ref="Q30" r:id="rId16" display="https://tdp.telemattica.com/ohw-monitoring/event/62c1622ef009af0012a73feb" xr:uid="{F8170AD1-8589-42F2-AEA8-03F65F3875A9}"/>
    <hyperlink ref="Q31" r:id="rId17" display="https://tdp.telemattica.com/ohw-monitoring/event/62c2a38a2446a70012e3eaf6" xr:uid="{36B0C985-C7DF-48E0-9529-F4418C39EF1C}"/>
    <hyperlink ref="Q33" r:id="rId18" display="https://tdp.telemattica.com/ohw-monitoring/event/62c40098f009af0012a7d547" xr:uid="{014F3703-2BAA-4D31-A31C-76F4DF5D4AF1}"/>
    <hyperlink ref="Q32" r:id="rId19" display="https://tdp.telemattica.com/ohw-monitoring/event/62c40f0f2446a70012e4389d" xr:uid="{91D8DA1B-81B0-4294-B314-E161FB9B9332}"/>
    <hyperlink ref="Q35" r:id="rId20" display="https://tdp.telemattica.com/ohw-monitoring/event/62c563df5c49e40012ef6d8b" xr:uid="{24293BF5-953D-4D8F-A0AD-B0EF8251E411}"/>
    <hyperlink ref="Q34" r:id="rId21" display="https://tdp.telemattica.com/ohw-monitoring/event/62c627c25c49e40012ef9833" xr:uid="{761D983B-D975-4AB6-917F-27C0CD77D47E}"/>
    <hyperlink ref="Q37" r:id="rId22" display="https://tdp.telemattica.com/ohw-monitoring/event/62c6eed70ac57900126b2acb" xr:uid="{E1933DB8-2994-428C-BEB7-A4F00AE8C6B2}"/>
    <hyperlink ref="Q38" r:id="rId23" display="https://tdp.telemattica.com/ohw-monitoring/event/62c73528f009af0012a8a278" xr:uid="{12101BDA-34FE-4234-9190-764C22CCD7C2}"/>
    <hyperlink ref="Q42" r:id="rId24" display="https://tdp.telemattica.com/ohw-monitoring/event/62c8b05af009af0012a8ff40" xr:uid="{050200E2-AB46-44AA-9118-BAD796D474B8}"/>
    <hyperlink ref="Q43" r:id="rId25" display="https://tdp.telemattica.com/ohw-monitoring/event/62c95a71f009af0012a92f03" xr:uid="{EB801536-08B2-4796-ADFA-E23C2F5AB24E}"/>
    <hyperlink ref="Q44" r:id="rId26" display="https://tdp.telemattica.com/ohw-monitoring/event/62ccb5c95c49e40012f11e3e" xr:uid="{C9A1CEF9-8017-4F71-BB3C-FFB99FF6A249}"/>
    <hyperlink ref="Q45" r:id="rId27" display="https://tdp.telemattica.com/ohw-monitoring/event/62cd7bcc2446a70012e67254" xr:uid="{1057A5D3-23D4-4BB1-B645-903F6E31B8F7}"/>
    <hyperlink ref="Q47" r:id="rId28" display="https://tdp.telemattica.com/ohw-monitoring/event/62cdacb4f009af0012aa170d" xr:uid="{21DCF478-D329-42D9-A368-1A3B38DB7CBE}"/>
    <hyperlink ref="Q46" r:id="rId29" display="https://tdp.telemattica.com/ohw-monitoring/event/62cdbb61f009af0012aa18b2" xr:uid="{C4A0C3CD-04BF-4C5A-A755-444DAA61B352}"/>
    <hyperlink ref="Q48" r:id="rId30" display="https://tdp.telemattica.com/ohw-monitoring/event/62cf4fb65c49e40012f1c7cd" xr:uid="{EC9585FA-DD8B-49A2-A9B1-10002AE8B6CA}"/>
    <hyperlink ref="Q50" r:id="rId31" display="https://tdp.telemattica.com/ohw-monitoring/event/62d53a305c49e40012f33445" xr:uid="{90DA4D64-821B-435F-81EA-0270B4E8DFE1}"/>
    <hyperlink ref="Q51" r:id="rId32" display="https://tdp.telemattica.com/ohw-monitoring/event/62d6e51ef009af0012ac5fb4" xr:uid="{DC7AE690-FB9B-4C18-B0ED-769AE489FF8C}"/>
    <hyperlink ref="Q52" r:id="rId33" display="https://tdp.telemattica.com/ohw-monitoring/event/62d728082446a70012e8c3ee" xr:uid="{B0AED8A7-2012-4466-9DDF-D2DA3C24A403}"/>
    <hyperlink ref="Q53" r:id="rId34" display="https://tdp.telemattica.com/ohw-monitoring/event/62d751c6f009af0012ac746f" xr:uid="{76D88081-7B05-426F-BAFB-4867A5B16510}"/>
    <hyperlink ref="Q54" r:id="rId35" display="https://tdp.telemattica.com/ohw-monitoring/event/62d7cdfd5c49e40012f3cebc" xr:uid="{66EBB2E7-34CE-48F5-883E-D73A268B2DE3}"/>
    <hyperlink ref="Q55" r:id="rId36" display="https://tdp.telemattica.com/ohw-monitoring/event/62dc1d012446a70012e9d83b" xr:uid="{0ECF9AF6-CE29-4C11-92D5-731F7733FBFC}"/>
    <hyperlink ref="Q56" r:id="rId37" display="https://tdp.telemattica.com/ohw-monitoring/event/62dc76870ac5790012703078" xr:uid="{8861CC5E-FA51-454E-9256-1607A0D5CCC7}"/>
    <hyperlink ref="Q60" r:id="rId38" display="https://tdp.telemattica.com/ohw-monitoring/event/62dffe282446a70012eab729" xr:uid="{0D79DDBE-63A7-42BA-A615-54F38A604F11}"/>
    <hyperlink ref="Q59" r:id="rId39" display="https://tdp.telemattica.com/ohw-monitoring/event/62e037ab0ac579001270fa23" xr:uid="{310BC32A-A8E4-44EA-B03B-5ADB10E0EB17}"/>
    <hyperlink ref="Q62" r:id="rId40" display="https://tdp.telemattica.com/ohw-monitoring/event/62e106c4f009af0012ae75ad" xr:uid="{444F342A-6A9B-484E-A699-BC9F3AF7995A}"/>
    <hyperlink ref="Q61" r:id="rId41" display="https://tdp.telemattica.com/ohw-monitoring/event/62e1b4542446a70012eb12ca" xr:uid="{E5757201-5611-480F-8B14-E124514C67E4}"/>
    <hyperlink ref="Q64" r:id="rId42" display="https://tdp.telemattica.com/ohw-monitoring/event/62e982372446a70012ecc58e" xr:uid="{8A9A4606-7F22-4081-A1DB-CF2CFEFBB2CE}"/>
    <hyperlink ref="Q58" r:id="rId43" display="https://tdp.telemattica.com/ohw-monitoring/event/62e076acf009af0012ae50d0" xr:uid="{F3958A7F-EB5F-4B32-81C5-47BC643C0293}"/>
    <hyperlink ref="Q65" r:id="rId44" display="https://tdp.telemattica.com/ohw-monitoring/event/62e982970ac579001272f861" xr:uid="{9482DDD1-82A5-44C6-BD69-4269DB11CD3D}"/>
    <hyperlink ref="Q66" r:id="rId45" display="https://tdp.telemattica.com/ohw-monitoring/event/62ea53baf009af0012b07437" xr:uid="{3F9B5FB5-94F2-4A59-9FD7-89BA5E355EBB}"/>
    <hyperlink ref="Q67" r:id="rId46" display="https://tdp.telemattica.com/ohw-monitoring/event/62eb07280ac5790012735029" xr:uid="{D1775FF0-1618-448C-B580-9DC0B1A3AAF9}"/>
    <hyperlink ref="Q68" r:id="rId47" display="https://tdp.telemattica.com/ohw-monitoring/event/62eb153a2446a70012ed18b6" xr:uid="{A3B6BBA7-02ED-49CF-B26F-1967FE726139}"/>
    <hyperlink ref="Q72" r:id="rId48" display="https://tdp.telemattica.com/ohw-monitoring/event/62ed268b5c49e40012f85de8" xr:uid="{BB767977-7BA4-485A-A455-2068BE347C18}"/>
    <hyperlink ref="Q73" r:id="rId49" display="https://tdp.telemattica.com/ohw-monitoring/event/62ed42f55c49e40012f8624a" xr:uid="{5E5CD97C-F99B-4CBB-94A3-615104FCC0FB}"/>
    <hyperlink ref="Q76" r:id="rId50" display="https://tdp.telemattica.com/ohw-monitoring/event/62ee8c392446a70012edc2cf" xr:uid="{D7B6E36D-F090-480F-962E-94C757AD08A5}"/>
    <hyperlink ref="Q75" r:id="rId51" display="https://tdp.telemattica.com/ohw-monitoring/event/62ee8c575c49e40012f89465" xr:uid="{B9FCF7D5-3DD8-45A2-B013-755DD161991D}"/>
    <hyperlink ref="Q77" r:id="rId52" display="https://tdp.telemattica.com/ohw-monitoring/event/62eeb29a0ac579001274008b" xr:uid="{D40501AD-3C7F-48CA-B16D-C9BA0F7BBF76}"/>
    <hyperlink ref="Q78" r:id="rId53" display="https://tdp.telemattica.com/ohw-monitoring/event/62eecd152446a70012edcea2" xr:uid="{36473F2F-1381-41CD-93B5-649FCE39E179}"/>
    <hyperlink ref="Q79" r:id="rId54" display="https://tdp.telemattica.com/ohw-monitoring/event/62f180fe0ac57900127485d4" xr:uid="{51890E71-B805-4652-A872-3A751537D7F7}"/>
    <hyperlink ref="Q83" r:id="rId55" display="https://tdp.telemattica.com/ohw-monitoring/event/6303c7d8f009af0012b588b8" xr:uid="{1D91F86B-8287-4C90-BE32-43B72BDF4212}"/>
    <hyperlink ref="Q84" r:id="rId56" display="https://tdp.telemattica.com/ohw-monitoring/event/6303cef9f009af0012b58988" xr:uid="{755E8CA1-52A8-4B53-8DEE-ACC36E3A5E6F}"/>
    <hyperlink ref="Q85" r:id="rId57" display="https://tdp.telemattica.com/ohw-monitoring/event/6303e405f009af0012b58ee8" xr:uid="{9373BD52-7655-411D-ADD1-1D3A013E1D34}"/>
    <hyperlink ref="Q86" r:id="rId58" display="https://tdp.telemattica.com/ohw-monitoring/event/63056d8ef009af0012b5d1a2" xr:uid="{424A2B95-6FDA-412C-B44A-119FC9D49021}"/>
    <hyperlink ref="Q88" r:id="rId59" display="https://tdp.telemattica.com/ohw-monitoring/event/63074d020ac579001279442c" xr:uid="{145CC900-6D45-4B02-A570-FA72A4C079B4}"/>
    <hyperlink ref="Q87" r:id="rId60" display="https://tdp.telemattica.com/ohw-monitoring/event/6307e0350ac5790012795f27" xr:uid="{D15A74D2-2013-4E03-AD6D-3DE2600128B5}"/>
    <hyperlink ref="Q89" r:id="rId61" display="https://tdp.telemattica.com/ohw-monitoring/event/630cf7ea0ac57900127a5b5c" xr:uid="{E5B5BE07-985F-4B11-8F1A-B8D0CDF6FC48}"/>
    <hyperlink ref="Q90" r:id="rId62" display="https://tdp.telemattica.com/ohw-monitoring/event/630d45180ac57900127a6b86" xr:uid="{55D0EFFC-8071-4F09-9B0F-E317E84032E7}"/>
    <hyperlink ref="Q91" r:id="rId63" display="https://tdp.telemattica.com/ohw-monitoring/event/630f48025c49e40012ff9c97" xr:uid="{CB4D3E21-93D9-45E0-9F70-5A3C04B5404B}"/>
    <hyperlink ref="Q92" r:id="rId64" display="https://tdp.telemattica.com/ohw-monitoring/event/630f639c5c49e40012ffa267" xr:uid="{3553C2F6-C94E-4010-A878-1FE7E0EA2327}"/>
    <hyperlink ref="Q110" r:id="rId65" display="https://tdp.telemattica.com/ohw-monitoring/event/631088662446a70012f50576" xr:uid="{4A3560A5-384B-4985-97DE-CBC0BE92912B}"/>
    <hyperlink ref="Q101" r:id="rId66" display="https://tdp.telemattica.com/ohw-monitoring/event/631095920ac57900127b4e18" xr:uid="{55F0C105-FBA1-4CC2-821D-321FB71F3A8E}"/>
    <hyperlink ref="Q106" r:id="rId67" display="https://tdp.telemattica.com/ohw-monitoring/event/6310a3a0f009af0012b87a5c" xr:uid="{62608388-D56F-42DA-A0AC-7A144D9E8239}"/>
    <hyperlink ref="Q105" r:id="rId68" display="https://tdp.telemattica.com/ohw-monitoring/event/631095cdf009af0012b8780e" xr:uid="{224F5786-6A32-432B-B5F0-985530CEA209}"/>
    <hyperlink ref="Q103" r:id="rId69" display="https://tdp.telemattica.com/ohw-monitoring/event/6310ab320ac57900127b53ef" xr:uid="{80506325-EACD-49A1-870C-E9CEBA929807}"/>
    <hyperlink ref="Q107" r:id="rId70" display="https://tdp.telemattica.com/ohw-monitoring/event/6310bd4a0ac57900127b5887" xr:uid="{115B858D-9061-4D01-B354-37B8532609B6}"/>
    <hyperlink ref="Q100" r:id="rId71" display="https://tdp.telemattica.com/ohw-monitoring/event/6310bd5c2446a70012f5112d" xr:uid="{F933E822-ECBC-42AE-8C74-0DF8DBB8EF29}"/>
    <hyperlink ref="Q116" r:id="rId72" display="https://tdp.telemattica.com/ohw-monitoring/event/63133310f009af0012b8fed7" xr:uid="{6B750900-2C08-4957-9F60-B074B6DDFE76}"/>
    <hyperlink ref="Q114" r:id="rId73" display="https://tdp.telemattica.com/ohw-monitoring/event/631333272446a70012f58b45" xr:uid="{340A59DC-0CA1-42DE-91CB-9E9DC5B06C14}"/>
    <hyperlink ref="Q111" r:id="rId74" display="https://tdp.telemattica.com/ohw-monitoring/event/63136cb0f009af0012b90843" xr:uid="{7B590B33-E76F-48C4-A2D6-20E43CCB532B}"/>
    <hyperlink ref="Q113" r:id="rId75" display="https://tdp.telemattica.com/ohw-monitoring/event/6313a2ee5c49e40012008404" xr:uid="{373383A1-E4E8-4D6C-8960-7A6FB9D2EE0E}"/>
    <hyperlink ref="Q115" r:id="rId76" display="https://tdp.telemattica.com/ohw-monitoring/event/63131b5f2446a70012f5889e" xr:uid="{5E97AAE7-A35B-4658-9715-8391BFADE612}"/>
    <hyperlink ref="Q108" r:id="rId77" display="https://tdp.telemattica.com/ohw-monitoring/event/6310fac95c49e40012000461" xr:uid="{AAF6CA04-6D56-44AD-B0A1-F276E73E6CD2}"/>
    <hyperlink ref="Q121" r:id="rId78" display="https://tdp.telemattica.com/ohw-monitoring/event/631b1f5f0ac57900127dc1e7" xr:uid="{AA78A5FE-7E68-4504-80B1-7531C077D7F7}"/>
    <hyperlink ref="Q124" r:id="rId79" display="https://tdp.telemattica.com/ohw-monitoring/event/632080f1f009af0012bc0c21" xr:uid="{9F439D9F-8B07-41D3-85EF-1FF4F5F76983}"/>
    <hyperlink ref="Q7" r:id="rId80" display="https://tdp.telemattica.com/ohw-monitoring/event/62a50fe9f009af0012a09f95" xr:uid="{15095832-38B9-42F4-82FF-32A6FFD7BED1}"/>
    <hyperlink ref="Q25" r:id="rId81" display="https://tdp.telemattica.com/ohw-monitoring/event/62bd82fd5c49e40012ed9ccd" xr:uid="{926C8AC6-955B-4A66-A67A-429EC2D7F30E}"/>
    <hyperlink ref="Q126" r:id="rId82" display="https://tdp.telemattica.com/ohw-monitoring/event/63235f1a0ac57900127fc948" xr:uid="{B688D787-F4D6-45C0-8D82-A943A7A8E9F5}"/>
    <hyperlink ref="Q128" r:id="rId83" display="https://tdp.telemattica.com/ohw-monitoring/event/6325cec20ac5790012807659" xr:uid="{7C129933-C371-424F-8084-8FCF4EC08B7E}"/>
    <hyperlink ref="Q129" r:id="rId84" display="https://tdp.telemattica.com/ohw-monitoring/event/63262b340ac57900128086ef" xr:uid="{26BBED3B-CDAD-4EFE-8E0A-8C8D058FFC89}"/>
    <hyperlink ref="Q81" r:id="rId85" display="https://tdp.telemattica.com/ohw-monitoring/event/63011b782446a70012f181f2" xr:uid="{57E4B176-1ADA-4AF3-B677-0D5D5B37F635}"/>
    <hyperlink ref="Q93" r:id="rId86" display="https://tdp.telemattica.com/ohw-monitoring/event/630fbe2c2446a70012f4c540" xr:uid="{F28B285B-8F8A-45CB-B265-45A9E28D7D6A}"/>
    <hyperlink ref="Q94" r:id="rId87" display="https://tdp.telemattica.com/ohw-monitoring/event/630fcd74f009af0012b8357b" xr:uid="{535ACC8A-02C7-46F2-A4B0-31682D206A2D}"/>
    <hyperlink ref="Q109" r:id="rId88" display="https://tdp.telemattica.com/ohw-monitoring/event/63108ea6f009af0012b87693" xr:uid="{070CF14B-0DEE-4AF0-8809-35AAF7744BD0}"/>
    <hyperlink ref="Q104" r:id="rId89" display="https://tdp.telemattica.com/ohw-monitoring/event/63108eb20ac57900127b4d31" xr:uid="{9BC2E8ED-7B81-4044-B207-A86C3536F367}"/>
    <hyperlink ref="Q99" r:id="rId90" display="https://tdp.telemattica.com/ohw-monitoring/event/63109cbcf009af0012b879a6" xr:uid="{E46CF104-0530-42F8-A5E8-4BCB3241B709}"/>
    <hyperlink ref="Q102" r:id="rId91" display="https://tdp.telemattica.com/ohw-monitoring/event/6310aaac5c49e40012fff39a" xr:uid="{28D08820-048F-446D-8909-4CAC99FA48E2}"/>
    <hyperlink ref="Q112" r:id="rId92" display="https://tdp.telemattica.com/ohw-monitoring/event/63136c2c2446a70012f59228" xr:uid="{DC2207CB-A218-4C6B-9115-950B7BF3B0DF}"/>
    <hyperlink ref="Q117" r:id="rId93" display="https://tdp.telemattica.com/ohw-monitoring/event/6317a7320ac57900127cd502" xr:uid="{82D4F0DC-19B7-4C12-A020-D062DA33A96B}"/>
    <hyperlink ref="Q131" r:id="rId94" display="https://tdp.telemattica.com/ohw-monitoring/event/632dd7da5c49e4001206ec12" xr:uid="{88855243-F3B4-4A7F-B146-60BBB9EBA49A}"/>
    <hyperlink ref="Q132" r:id="rId95" display="https://tdp.telemattica.com/ohw-monitoring/event/6335f0f3f009af0012c14185" xr:uid="{7DF13FA0-89D5-4D24-8BB2-854864DCEE53}"/>
    <hyperlink ref="Q133" r:id="rId96" display="https://tdp.telemattica.com/ohw-monitoring/event/633b17010ac5790012852e98" xr:uid="{CA56D8A6-71B7-4F34-92B8-0D0D9423D0B6}"/>
    <hyperlink ref="Q134" r:id="rId97" display="https://tdp.telemattica.com/ohw-monitoring/event/633c91cff009af0012c2bb17" xr:uid="{0983F554-41B6-48BD-A208-26EFF4A2B4FB}"/>
    <hyperlink ref="Q135" r:id="rId98" display="https://tdp.telemattica.com/ohw-monitoring/event/633d8b7f0ac579001285ce51" xr:uid="{BAD0CE25-3996-44E7-8A44-880794F3A863}"/>
    <hyperlink ref="Q136" r:id="rId99" display="https://tdp.telemattica.com/ohw-monitoring/event/633de6ef2446a70012ff22d7" xr:uid="{6C845C63-DEA0-4175-8914-B0E3F83C9665}"/>
    <hyperlink ref="Q137" r:id="rId100" display="https://tdp.telemattica.com/ohw-monitoring/event/6341a1665c49e400120b6108" xr:uid="{FD20C3F2-CB97-49BC-87DE-3A2332423761}"/>
    <hyperlink ref="Q138" r:id="rId101" display="https://tdp.telemattica.com/ohw-monitoring/event/6341af632446a700120020f2" xr:uid="{DC2D4B90-C15D-4ED8-852B-B5F324A8B6A1}"/>
    <hyperlink ref="Q139" r:id="rId102" display="https://tdp.telemattica.com/ohw-monitoring/event/6341d6a22446a7001200290f" xr:uid="{DDEA7D9F-A0F4-49C4-A12D-5318254A1049}"/>
    <hyperlink ref="Q140" r:id="rId103" display="https://tdp.telemattica.com/ohw-monitoring/event/634807ac5c49e400120d0cfb" xr:uid="{345A8C1E-12AB-401B-AE46-B54520A14F51}"/>
    <hyperlink ref="Q141" r:id="rId104" display="https://tdp.telemattica.com/ohw-monitoring/event/634d3d6e0ac579001289c516" xr:uid="{3AA43EEC-D9B6-49AE-993D-9800AE7E2321}"/>
    <hyperlink ref="Q142" r:id="rId105" display="https://tdp.telemattica.com/ohw-monitoring/event/634d756c2446a70012030b3d" xr:uid="{68142C55-EFFD-4D55-90FA-2D359246937E}"/>
    <hyperlink ref="Q143" r:id="rId106" display="https://tdp.telemattica.com/ohw-monitoring/event/634d74dd2446a70012030b32" xr:uid="{E1553DAC-D1DD-41E6-8CF7-C51794933768}"/>
    <hyperlink ref="Q144" r:id="rId107" display="https://tdp.telemattica.com/ohw-monitoring/event/63501128f009af0012c7c38a" xr:uid="{39C18811-DBBC-40A0-ABDC-90FA99552649}"/>
    <hyperlink ref="Q145" r:id="rId108" display="https://tdp.telemattica.com/ohw-monitoring/event/63567cfa0ac57900128bf257" xr:uid="{68F42EDF-2514-4DAF-BB0F-A177E10BCD15}"/>
    <hyperlink ref="Q146" r:id="rId109" display="https://tdp.telemattica.com/ohw-monitoring/event/6356bbd80ac57900128bfc73" xr:uid="{2CA91D8F-2763-4969-BB02-BE9D21E0A296}"/>
    <hyperlink ref="Q147" r:id="rId110" display="https://tdp.telemattica.com/ohw-monitoring/event/63585cee0ac57900128c6600" xr:uid="{4DA9E09A-FD39-4997-89D8-76871DEB51E1}"/>
    <hyperlink ref="Q122" r:id="rId111" xr:uid="{8480361A-6FA1-478F-9513-4F5D1527D74D}"/>
    <hyperlink ref="Q130" r:id="rId112" xr:uid="{44F94651-CE3A-48F1-A786-A8205D48C543}"/>
    <hyperlink ref="Q95" r:id="rId113" xr:uid="{446A4DCB-24EB-4767-B6F3-6D8B8E243882}"/>
    <hyperlink ref="Q9" r:id="rId114" xr:uid="{FFA07EC5-1827-481F-855C-51B9BDA377D0}"/>
    <hyperlink ref="Q119" r:id="rId115" xr:uid="{2270F6B2-82DC-4AAA-81A7-57F82390B3BA}"/>
    <hyperlink ref="Q10" r:id="rId116" xr:uid="{D15A6658-8715-4707-9699-9EBD8078EB31}"/>
    <hyperlink ref="Q39" r:id="rId117" xr:uid="{4AE6CCFC-FC94-48E3-924C-AAD69D7296CF}"/>
    <hyperlink ref="Q11" r:id="rId118" xr:uid="{33F39806-B95B-465C-87BC-6CA7AEEE5A66}"/>
    <hyperlink ref="Q63" r:id="rId119" xr:uid="{2478209D-D03F-41FD-9554-A182BE9361F9}"/>
    <hyperlink ref="Q118" r:id="rId120" xr:uid="{9C09E765-245C-4F13-BBE5-A429C12EF254}"/>
    <hyperlink ref="Q96" r:id="rId121" xr:uid="{CC8863AA-1E4A-42CD-9324-6944B95BB472}"/>
    <hyperlink ref="Q120" r:id="rId122" xr:uid="{20BFE7BB-EDFA-408D-808B-F29BF024E8AC}"/>
    <hyperlink ref="Q125" r:id="rId123" xr:uid="{34AA3BDE-F66C-4F6C-81D8-2652CECC4566}"/>
    <hyperlink ref="Q97" r:id="rId124" xr:uid="{7D1F41E7-42EA-4BF7-8F8D-A21B05729BF4}"/>
    <hyperlink ref="Q80" r:id="rId125" xr:uid="{80B651EA-324A-499F-A62D-BB12A8397642}"/>
    <hyperlink ref="Q49" r:id="rId126" xr:uid="{FB841135-8B91-4ACF-BEDA-F9F08DC29984}"/>
    <hyperlink ref="Q82" r:id="rId127" xr:uid="{A6FE38AA-FAE4-44CD-87A6-C08034FB5FC4}"/>
    <hyperlink ref="Q98" r:id="rId128" xr:uid="{0C0CC229-4174-4D13-B0FF-A4C278BCCAA6}"/>
    <hyperlink ref="Q74" r:id="rId129" xr:uid="{DA947A68-6865-4FE5-A8EF-1506929C5BDA}"/>
    <hyperlink ref="Q6" r:id="rId130" xr:uid="{12D59CE6-9F5A-476B-9960-C412F893D2A5}"/>
    <hyperlink ref="Q40" r:id="rId131" xr:uid="{7445DBF6-D7C5-446A-86D0-C3E82C2C73CB}"/>
    <hyperlink ref="Q70" r:id="rId132" xr:uid="{E0F84D97-8C43-4627-BB55-887F602C8A9B}"/>
    <hyperlink ref="Q14" r:id="rId133" xr:uid="{C99E3615-5675-4966-AC45-BD69EDF560AE}"/>
    <hyperlink ref="Q22" r:id="rId134" xr:uid="{65F11915-CABA-4DCD-9ACC-32077C6B6218}"/>
    <hyperlink ref="Q29" r:id="rId135" xr:uid="{787E979A-3E44-4C8E-9A1E-9CBEC26E623C}"/>
    <hyperlink ref="Q41" r:id="rId136" xr:uid="{BC5B1D4C-4781-4933-B00A-BEE7350EE2DB}"/>
    <hyperlink ref="Q71" r:id="rId137" xr:uid="{35439FEA-DCF9-413A-837B-404EF21DDDF0}"/>
    <hyperlink ref="Q57" r:id="rId138" xr:uid="{092C98C4-F3B8-435F-8D22-68D90272C84E}"/>
    <hyperlink ref="Q123" r:id="rId139" xr:uid="{5EAE674D-69A4-48CA-9164-4F1F7CFCF443}"/>
    <hyperlink ref="Q36" r:id="rId140" xr:uid="{AB4570AE-BF9C-41C6-B035-C5775B416ED5}"/>
    <hyperlink ref="Q127" r:id="rId141" display="https://tdp.telemattica.com/ohw-monitoring/event/6325a4002446a70012f9caba" xr:uid="{2E2C43D4-FED2-4259-95A2-996DD883C1D9}"/>
    <hyperlink ref="Q148" r:id="rId142" xr:uid="{DAD82CE3-38AD-4766-A2BE-6BC504FE978F}"/>
    <hyperlink ref="Q149" r:id="rId143" xr:uid="{1B4FA332-B107-4F65-892A-8877E733DA8C}"/>
    <hyperlink ref="Q150" r:id="rId144" xr:uid="{E36BD602-9B6E-47B8-BE4F-25EDD6CB5752}"/>
    <hyperlink ref="Q151" r:id="rId145" xr:uid="{581116D9-DBE2-4C9A-9182-EC5505975DA0}"/>
    <hyperlink ref="Q152" r:id="rId146" xr:uid="{6BC42B03-54CD-4B9E-BDF8-BCE0D4F22997}"/>
    <hyperlink ref="Q153" r:id="rId147" xr:uid="{5BFC2A57-5A64-4AEA-8794-B81D83D18EFD}"/>
    <hyperlink ref="Q154" r:id="rId148" xr:uid="{09304DC7-32D0-43E2-8264-01EDA29EA04D}"/>
    <hyperlink ref="Q157" r:id="rId149" display="https://tdp.telemattica.com/ohw-monitoring/event/636535220ac57900128f91fd" xr:uid="{0D07D954-B8C8-495E-AF1D-17CF7CCB24CF}"/>
    <hyperlink ref="Q156" r:id="rId150" display="https://tdp.telemattica.com/ohw-monitoring/event/63655b77f009af0012ccc809" xr:uid="{D40B74C0-E356-4819-9BAF-F20F282F49BE}"/>
    <hyperlink ref="Q159" r:id="rId151" display="https://tdp.telemattica.com/ohw-monitoring/event/6368f76e0ac5790012906970" xr:uid="{FE87214E-61A5-40D9-8EAA-8767E286CFF0}"/>
    <hyperlink ref="Q158" r:id="rId152" display="https://tdp.telemattica.com/ohw-monitoring/event/63693126f009af0012cdb293" xr:uid="{844B7C5A-070E-423E-B1E7-9CB0E5BE14D9}"/>
    <hyperlink ref="Q160" r:id="rId153" display="https://tdp.telemattica.com/ohw-monitoring/event/636a24b62446a7001209d739" xr:uid="{3C6E62C9-047B-47FD-8D69-9FE8494E529A}"/>
    <hyperlink ref="Q161" r:id="rId154" display="https://tdp.telemattica.com/ohw-monitoring/event/636a9a64f009af0012ce133a" xr:uid="{E79F21F4-48FB-4690-8848-90784A3326C6}"/>
    <hyperlink ref="Q162" r:id="rId155" display="https://tdp.telemattica.com/ohw-monitoring/event/636b8c39f009af0012ce5bbe" xr:uid="{C1C51739-331A-422F-BFB5-263A0CD4A4A2}"/>
    <hyperlink ref="Q163" r:id="rId156" display="https://tdp.telemattica.com/ohw-monitoring/event/636b92eb5c49e4001215c5e8" xr:uid="{A00F0030-AB90-444E-9A74-FB81C3A0DF16}"/>
    <hyperlink ref="Q164" r:id="rId157" display="https://tdp.telemattica.com/ohw-monitoring/event/636d77f22446a700120ab85e" xr:uid="{F85EE153-A183-4C0B-AB29-26CB91BECA87}"/>
    <hyperlink ref="Q165" r:id="rId158" display="https://tdp.telemattica.com/ohw-monitoring/event/637cc7eb0ac5790012955729" xr:uid="{448C8426-66C7-4190-8158-0F1FA52AF802}"/>
    <hyperlink ref="Q166" r:id="rId159" display="https://tdp.telemattica.com/ohw-monitoring/event/63824dd50ac579001296ac95" xr:uid="{80F7B359-CB8C-4B6A-A6C7-8A050A0468A5}"/>
    <hyperlink ref="Q168" r:id="rId160" display="https://tdp.telemattica.com/ohw-monitoring/event/63871f282446a70012125d78" xr:uid="{1BBAA849-A803-4EF1-89E3-59829F6C3756}"/>
    <hyperlink ref="Q167" r:id="rId161" display="https://tdp.telemattica.com/ohw-monitoring/event/638756d45c49e400121d8629" xr:uid="{C0615D91-939B-417E-8832-71C1B0143FC7}"/>
    <hyperlink ref="Q169" r:id="rId162" xr:uid="{2C4FD879-B279-4392-AB35-795CEBA6F297}"/>
    <hyperlink ref="Q170" r:id="rId163" xr:uid="{BA60219E-340B-425F-ADFC-8EE402B1D317}"/>
    <hyperlink ref="Q171" r:id="rId164" xr:uid="{9C891640-91F7-487D-B0DC-91ED99CDF0E7}"/>
    <hyperlink ref="Q172" r:id="rId165" xr:uid="{2CE1A76A-95C0-460E-9E8B-B26351426578}"/>
    <hyperlink ref="Q173" r:id="rId166" xr:uid="{DB29EC52-B17F-4E90-97CA-E5DC3654DD9B}"/>
    <hyperlink ref="Q174" r:id="rId167" xr:uid="{5C809486-BE08-46BF-B123-AEB8B8064097}"/>
    <hyperlink ref="Q175" r:id="rId168" xr:uid="{AF993D7D-2980-447A-A65B-B640E1DF28B9}"/>
    <hyperlink ref="Q176" r:id="rId169" xr:uid="{EAFF5609-CC29-499E-A752-BF1EB540B78B}"/>
    <hyperlink ref="Q177" r:id="rId170" xr:uid="{2473D25F-007A-4248-9151-944C73D5BCD0}"/>
    <hyperlink ref="Q178" r:id="rId171" xr:uid="{50B8213C-65DD-44FE-A9EF-4429F10B42F6}"/>
    <hyperlink ref="Q179" r:id="rId172" xr:uid="{2AF35A73-0718-4C9F-97C4-55C64CD8404B}"/>
    <hyperlink ref="Q155" r:id="rId173" xr:uid="{3248A6D4-1E2E-4C9C-A52E-EA9C28375E75}"/>
    <hyperlink ref="Q180" r:id="rId174" xr:uid="{395D0F1C-CB65-4952-8C16-188E42903C46}"/>
    <hyperlink ref="Q181" r:id="rId175" xr:uid="{1558D145-3C3F-4238-B473-EF8390168490}"/>
    <hyperlink ref="Q182" r:id="rId176" xr:uid="{CE9574F2-F28A-4725-8E71-5C50F78412FE}"/>
    <hyperlink ref="Q184" r:id="rId177" xr:uid="{9B1954B1-A31E-4118-80A4-44DBAA49FFD1}"/>
    <hyperlink ref="Q183" r:id="rId178" xr:uid="{4AAF9F23-BC67-408F-BC14-246BB0EE1FAB}"/>
  </hyperlinks>
  <pageMargins left="0.511811024" right="0.511811024" top="0.78740157499999996" bottom="0.78740157499999996" header="0.31496062000000002" footer="0.31496062000000002"/>
  <pageSetup paperSize="9" orientation="portrait" r:id="rId179"/>
  <ignoredErrors>
    <ignoredError sqref="L184" numberStoredAsText="1"/>
  </ignoredErrors>
  <drawing r:id="rId180"/>
  <legacyDrawing r:id="rId181"/>
  <tableParts count="1">
    <tablePart r:id="rId18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" id="{A80C3C01-FB20-462A-9ED1-4BBDF16A7C7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A6:B6</xm:sqref>
        </x14:conditionalFormatting>
        <x14:conditionalFormatting xmlns:xm="http://schemas.microsoft.com/office/excel/2006/main">
          <x14:cfRule type="iconSet" priority="51" id="{458D78EF-FD93-4015-8D8C-E06843CC5B3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A20:B20</xm:sqref>
        </x14:conditionalFormatting>
        <x14:conditionalFormatting xmlns:xm="http://schemas.microsoft.com/office/excel/2006/main">
          <x14:cfRule type="iconSet" priority="50" id="{67D0965C-2940-43F3-83AF-60199D83690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A11:B13</xm:sqref>
        </x14:conditionalFormatting>
        <x14:conditionalFormatting xmlns:xm="http://schemas.microsoft.com/office/excel/2006/main">
          <x14:cfRule type="iconSet" priority="49" id="{67E978EE-458D-4D27-AB85-77E48DBFD34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A23:B24</xm:sqref>
        </x14:conditionalFormatting>
        <x14:conditionalFormatting xmlns:xm="http://schemas.microsoft.com/office/excel/2006/main">
          <x14:cfRule type="iconSet" priority="48" id="{5E663CD0-C9F0-4B28-A263-2A1754623C3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A21:B21</xm:sqref>
        </x14:conditionalFormatting>
        <x14:conditionalFormatting xmlns:xm="http://schemas.microsoft.com/office/excel/2006/main">
          <x14:cfRule type="iconSet" priority="47" id="{AD1E2337-54B0-4094-8145-2E92A5E9A49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A18:B18</xm:sqref>
        </x14:conditionalFormatting>
        <x14:conditionalFormatting xmlns:xm="http://schemas.microsoft.com/office/excel/2006/main">
          <x14:cfRule type="iconSet" priority="45" id="{498D05C1-B8A2-4DC6-8169-56E5AD927D7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A11:B11</xm:sqref>
        </x14:conditionalFormatting>
        <x14:conditionalFormatting xmlns:xm="http://schemas.microsoft.com/office/excel/2006/main">
          <x14:cfRule type="iconSet" priority="44" id="{E97CD20D-E9EA-4CD7-9905-194961A965C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A12:B12</xm:sqref>
        </x14:conditionalFormatting>
        <x14:conditionalFormatting xmlns:xm="http://schemas.microsoft.com/office/excel/2006/main">
          <x14:cfRule type="iconSet" priority="31" id="{F59FE1EC-30DD-4119-91A2-EBC259F6D60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A24:B24</xm:sqref>
        </x14:conditionalFormatting>
        <x14:conditionalFormatting xmlns:xm="http://schemas.microsoft.com/office/excel/2006/main">
          <x14:cfRule type="iconSet" priority="29" id="{06D87B77-58DD-4992-9B04-B2E6B4E0228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A14:B14</xm:sqref>
        </x14:conditionalFormatting>
        <x14:conditionalFormatting xmlns:xm="http://schemas.microsoft.com/office/excel/2006/main">
          <x14:cfRule type="iconSet" priority="28" id="{476F7EF9-E825-4DC3-AF52-D8246C99DCC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A23:B23 A27:B27</xm:sqref>
        </x14:conditionalFormatting>
        <x14:conditionalFormatting xmlns:xm="http://schemas.microsoft.com/office/excel/2006/main">
          <x14:cfRule type="iconSet" priority="25" id="{11EE4BB4-E0D9-4239-BBF5-ABDFC293841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A33:B33 A43:B43</xm:sqref>
        </x14:conditionalFormatting>
        <x14:conditionalFormatting xmlns:xm="http://schemas.microsoft.com/office/excel/2006/main">
          <x14:cfRule type="iconSet" priority="24" id="{52216FAE-FB12-4214-AD79-F4994105535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A40:B40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1565-2B51-4BF5-949A-4DDBED9D841A}">
  <dimension ref="A2:S30"/>
  <sheetViews>
    <sheetView showGridLines="0" topLeftCell="A18" workbookViewId="0">
      <selection activeCell="S29" sqref="S29"/>
    </sheetView>
  </sheetViews>
  <sheetFormatPr defaultRowHeight="14.5" x14ac:dyDescent="0.35"/>
  <cols>
    <col min="1" max="1" width="9.81640625" bestFit="1" customWidth="1"/>
    <col min="6" max="6" width="3.26953125" bestFit="1" customWidth="1"/>
    <col min="7" max="7" width="8.1796875" bestFit="1" customWidth="1"/>
    <col min="8" max="8" width="3.36328125" bestFit="1" customWidth="1"/>
    <col min="9" max="9" width="8.1796875" bestFit="1" customWidth="1"/>
    <col min="10" max="10" width="3.36328125" bestFit="1" customWidth="1"/>
    <col min="11" max="11" width="8.1796875" bestFit="1" customWidth="1"/>
    <col min="12" max="12" width="3.36328125" bestFit="1" customWidth="1"/>
    <col min="13" max="13" width="8.1796875" bestFit="1" customWidth="1"/>
    <col min="14" max="14" width="3.36328125" bestFit="1" customWidth="1"/>
    <col min="15" max="15" width="8.1796875" bestFit="1" customWidth="1"/>
    <col min="16" max="16" width="1" customWidth="1"/>
    <col min="17" max="18" width="9.54296875" bestFit="1" customWidth="1"/>
    <col min="19" max="19" width="9.26953125" bestFit="1" customWidth="1"/>
    <col min="23" max="23" width="8.7265625" customWidth="1"/>
  </cols>
  <sheetData>
    <row r="2" spans="1:19" ht="15" thickBot="1" x14ac:dyDescent="0.4">
      <c r="B2" s="436" t="s">
        <v>146</v>
      </c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</row>
    <row r="3" spans="1:19" ht="15" thickBot="1" x14ac:dyDescent="0.4">
      <c r="A3" s="80" t="s">
        <v>251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</row>
    <row r="4" spans="1:19" x14ac:dyDescent="0.35">
      <c r="B4" s="436"/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</row>
    <row r="5" spans="1:19" x14ac:dyDescent="0.35">
      <c r="B5" s="436"/>
      <c r="C5" s="436"/>
      <c r="D5" s="436"/>
      <c r="E5" s="436"/>
      <c r="F5" s="436"/>
      <c r="G5" s="436"/>
      <c r="H5" s="436"/>
      <c r="I5" s="436"/>
      <c r="J5" s="436"/>
      <c r="K5" s="436"/>
      <c r="L5" s="436"/>
      <c r="M5" s="436"/>
      <c r="N5" s="436"/>
      <c r="O5" s="436"/>
    </row>
    <row r="6" spans="1:19" x14ac:dyDescent="0.35"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</row>
    <row r="7" spans="1:19" ht="24" thickBot="1" x14ac:dyDescent="0.4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10"/>
    </row>
    <row r="8" spans="1:19" ht="26.5" thickBot="1" x14ac:dyDescent="0.4">
      <c r="B8" s="443" t="s">
        <v>25</v>
      </c>
      <c r="C8" s="444"/>
      <c r="D8" s="444"/>
      <c r="E8" s="444"/>
      <c r="F8" s="444"/>
      <c r="G8" s="444"/>
      <c r="H8" s="444"/>
      <c r="I8" s="444"/>
      <c r="J8" s="444"/>
      <c r="K8" s="444"/>
      <c r="L8" s="444"/>
      <c r="M8" s="444"/>
      <c r="N8" s="444"/>
      <c r="O8" s="445"/>
      <c r="Q8" s="96" t="s">
        <v>206</v>
      </c>
      <c r="R8" s="97" t="s">
        <v>207</v>
      </c>
      <c r="S8" s="98" t="s">
        <v>208</v>
      </c>
    </row>
    <row r="9" spans="1:19" ht="15" customHeight="1" thickBot="1" x14ac:dyDescent="0.4">
      <c r="B9" s="446" t="s">
        <v>153</v>
      </c>
      <c r="C9" s="447"/>
      <c r="D9" s="447"/>
      <c r="E9" s="448"/>
      <c r="F9" s="449" t="s">
        <v>154</v>
      </c>
      <c r="G9" s="449"/>
      <c r="H9" s="449"/>
      <c r="I9" s="449"/>
      <c r="J9" s="449"/>
      <c r="K9" s="449"/>
      <c r="L9" s="449"/>
      <c r="M9" s="449"/>
      <c r="N9" s="449"/>
      <c r="O9" s="450"/>
      <c r="Q9" s="75">
        <v>44773</v>
      </c>
      <c r="R9" s="76">
        <f ca="1">TODAY()</f>
        <v>44918</v>
      </c>
      <c r="S9" s="73">
        <f ca="1">R9-Q9</f>
        <v>145</v>
      </c>
    </row>
    <row r="10" spans="1:19" ht="15" thickBot="1" x14ac:dyDescent="0.4">
      <c r="B10" s="437" t="s">
        <v>147</v>
      </c>
      <c r="C10" s="438"/>
      <c r="D10" s="438" t="s">
        <v>148</v>
      </c>
      <c r="E10" s="438"/>
      <c r="F10" s="94" t="s">
        <v>147</v>
      </c>
      <c r="G10" s="93" t="s">
        <v>155</v>
      </c>
      <c r="H10" s="94" t="s">
        <v>147</v>
      </c>
      <c r="I10" s="93" t="s">
        <v>156</v>
      </c>
      <c r="J10" s="94" t="s">
        <v>147</v>
      </c>
      <c r="K10" s="93" t="s">
        <v>157</v>
      </c>
      <c r="L10" s="94" t="s">
        <v>147</v>
      </c>
      <c r="M10" s="95" t="s">
        <v>158</v>
      </c>
      <c r="N10" s="94" t="s">
        <v>147</v>
      </c>
      <c r="O10" s="95" t="s">
        <v>244</v>
      </c>
    </row>
    <row r="11" spans="1:19" ht="15" thickTop="1" x14ac:dyDescent="0.35">
      <c r="B11" s="439" t="s">
        <v>245</v>
      </c>
      <c r="C11" s="440"/>
      <c r="D11" s="453" t="s">
        <v>93</v>
      </c>
      <c r="E11" s="453"/>
      <c r="F11" s="81" t="s">
        <v>259</v>
      </c>
      <c r="G11" s="64">
        <v>0</v>
      </c>
      <c r="H11" s="81" t="s">
        <v>255</v>
      </c>
      <c r="I11" s="65">
        <v>0</v>
      </c>
      <c r="J11" s="81" t="s">
        <v>266</v>
      </c>
      <c r="K11" s="66">
        <v>1</v>
      </c>
      <c r="L11" s="84" t="s">
        <v>273</v>
      </c>
      <c r="M11" s="67">
        <v>0</v>
      </c>
      <c r="N11" s="87">
        <v>29</v>
      </c>
      <c r="O11" s="78">
        <v>1</v>
      </c>
    </row>
    <row r="12" spans="1:19" x14ac:dyDescent="0.35">
      <c r="B12" s="441" t="s">
        <v>246</v>
      </c>
      <c r="C12" s="442"/>
      <c r="D12" s="454" t="s">
        <v>95</v>
      </c>
      <c r="E12" s="454"/>
      <c r="F12" s="82" t="s">
        <v>260</v>
      </c>
      <c r="G12" s="68">
        <v>1</v>
      </c>
      <c r="H12" s="82" t="s">
        <v>256</v>
      </c>
      <c r="I12" s="68">
        <v>1</v>
      </c>
      <c r="J12" s="81" t="s">
        <v>267</v>
      </c>
      <c r="K12" s="68">
        <v>1</v>
      </c>
      <c r="L12" s="85" t="s">
        <v>274</v>
      </c>
      <c r="M12" s="69">
        <v>1</v>
      </c>
      <c r="N12" s="88">
        <v>30</v>
      </c>
      <c r="O12" s="69">
        <v>1</v>
      </c>
    </row>
    <row r="13" spans="1:19" ht="15" thickBot="1" x14ac:dyDescent="0.4">
      <c r="B13" s="441" t="s">
        <v>247</v>
      </c>
      <c r="C13" s="442"/>
      <c r="D13" s="454" t="s">
        <v>151</v>
      </c>
      <c r="E13" s="454"/>
      <c r="F13" s="82" t="s">
        <v>261</v>
      </c>
      <c r="G13" s="68">
        <v>1</v>
      </c>
      <c r="H13" s="82" t="s">
        <v>257</v>
      </c>
      <c r="I13" s="68">
        <v>1</v>
      </c>
      <c r="J13" s="81" t="s">
        <v>268</v>
      </c>
      <c r="K13" s="70">
        <v>0</v>
      </c>
      <c r="L13" s="85" t="s">
        <v>275</v>
      </c>
      <c r="M13" s="69">
        <v>0</v>
      </c>
      <c r="N13" s="88">
        <v>31</v>
      </c>
      <c r="O13" s="69">
        <v>1</v>
      </c>
    </row>
    <row r="14" spans="1:19" ht="15" thickBot="1" x14ac:dyDescent="0.4">
      <c r="B14" s="441" t="s">
        <v>248</v>
      </c>
      <c r="C14" s="442"/>
      <c r="D14" s="455" t="s">
        <v>94</v>
      </c>
      <c r="E14" s="455"/>
      <c r="F14" s="82" t="s">
        <v>262</v>
      </c>
      <c r="G14" s="68">
        <v>1</v>
      </c>
      <c r="H14" s="82" t="s">
        <v>258</v>
      </c>
      <c r="I14" s="68">
        <v>1</v>
      </c>
      <c r="J14" s="81" t="s">
        <v>269</v>
      </c>
      <c r="K14" s="68">
        <v>1</v>
      </c>
      <c r="L14" s="85" t="s">
        <v>276</v>
      </c>
      <c r="M14" s="69">
        <v>1</v>
      </c>
      <c r="N14" s="90"/>
      <c r="O14" s="69"/>
      <c r="Q14" s="99" t="s">
        <v>191</v>
      </c>
    </row>
    <row r="15" spans="1:19" ht="15.5" thickTop="1" thickBot="1" x14ac:dyDescent="0.4">
      <c r="B15" s="441" t="s">
        <v>249</v>
      </c>
      <c r="C15" s="442"/>
      <c r="D15" s="456" t="s">
        <v>96</v>
      </c>
      <c r="E15" s="456"/>
      <c r="F15" s="82" t="s">
        <v>252</v>
      </c>
      <c r="G15" s="68">
        <v>1</v>
      </c>
      <c r="H15" s="82" t="s">
        <v>263</v>
      </c>
      <c r="I15" s="68">
        <v>1</v>
      </c>
      <c r="J15" s="81" t="s">
        <v>270</v>
      </c>
      <c r="K15" s="68">
        <v>1</v>
      </c>
      <c r="L15" s="85" t="s">
        <v>277</v>
      </c>
      <c r="M15" s="69">
        <v>0</v>
      </c>
      <c r="N15" s="90"/>
      <c r="O15" s="69"/>
      <c r="Q15" s="77">
        <f ca="1">(SUM(G11:G17,I11:I17,K11:K17,M11:M17,O11:O17))/S9</f>
        <v>0.11724137931034483</v>
      </c>
    </row>
    <row r="16" spans="1:19" x14ac:dyDescent="0.35">
      <c r="B16" s="441" t="s">
        <v>149</v>
      </c>
      <c r="C16" s="442"/>
      <c r="D16" s="456" t="s">
        <v>97</v>
      </c>
      <c r="E16" s="456"/>
      <c r="F16" s="82" t="s">
        <v>253</v>
      </c>
      <c r="G16" s="70">
        <v>0</v>
      </c>
      <c r="H16" s="82" t="s">
        <v>264</v>
      </c>
      <c r="I16" s="70">
        <v>0</v>
      </c>
      <c r="J16" s="81" t="s">
        <v>271</v>
      </c>
      <c r="K16" s="70">
        <v>0</v>
      </c>
      <c r="L16" s="85" t="s">
        <v>278</v>
      </c>
      <c r="M16" s="69">
        <v>0</v>
      </c>
      <c r="N16" s="90"/>
      <c r="O16" s="69"/>
    </row>
    <row r="17" spans="2:19" ht="15" thickBot="1" x14ac:dyDescent="0.4">
      <c r="B17" s="451" t="s">
        <v>150</v>
      </c>
      <c r="C17" s="452"/>
      <c r="D17" s="460" t="s">
        <v>152</v>
      </c>
      <c r="E17" s="460"/>
      <c r="F17" s="83" t="s">
        <v>254</v>
      </c>
      <c r="G17" s="71">
        <v>0</v>
      </c>
      <c r="H17" s="83" t="s">
        <v>265</v>
      </c>
      <c r="I17" s="71">
        <v>0</v>
      </c>
      <c r="J17" s="127" t="s">
        <v>272</v>
      </c>
      <c r="K17" s="71">
        <v>0</v>
      </c>
      <c r="L17" s="86" t="s">
        <v>279</v>
      </c>
      <c r="M17" s="72">
        <v>0</v>
      </c>
      <c r="N17" s="91"/>
      <c r="O17" s="72"/>
    </row>
    <row r="19" spans="2:19" ht="4" customHeight="1" x14ac:dyDescent="0.35"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</row>
    <row r="20" spans="2:19" ht="15" thickBot="1" x14ac:dyDescent="0.4"/>
    <row r="21" spans="2:19" ht="26.5" thickBot="1" x14ac:dyDescent="0.4">
      <c r="B21" s="457" t="s">
        <v>26</v>
      </c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8"/>
      <c r="N21" s="458"/>
      <c r="O21" s="459"/>
      <c r="Q21" s="96" t="s">
        <v>206</v>
      </c>
      <c r="R21" s="97" t="s">
        <v>207</v>
      </c>
      <c r="S21" s="98" t="s">
        <v>208</v>
      </c>
    </row>
    <row r="22" spans="2:19" ht="16.5" thickTop="1" thickBot="1" x14ac:dyDescent="0.4">
      <c r="B22" s="461" t="s">
        <v>153</v>
      </c>
      <c r="C22" s="462"/>
      <c r="D22" s="462"/>
      <c r="E22" s="463"/>
      <c r="F22" s="449" t="s">
        <v>154</v>
      </c>
      <c r="G22" s="449"/>
      <c r="H22" s="449"/>
      <c r="I22" s="449"/>
      <c r="J22" s="449"/>
      <c r="K22" s="449"/>
      <c r="L22" s="449"/>
      <c r="M22" s="449"/>
      <c r="N22" s="449"/>
      <c r="O22" s="450"/>
      <c r="Q22" s="75">
        <v>44804</v>
      </c>
      <c r="R22" s="76">
        <f ca="1">TODAY()</f>
        <v>44918</v>
      </c>
      <c r="S22" s="73">
        <f ca="1">R22-Q22</f>
        <v>114</v>
      </c>
    </row>
    <row r="23" spans="2:19" ht="15" thickBot="1" x14ac:dyDescent="0.4">
      <c r="B23" s="437" t="s">
        <v>147</v>
      </c>
      <c r="C23" s="438"/>
      <c r="D23" s="438" t="s">
        <v>148</v>
      </c>
      <c r="E23" s="438"/>
      <c r="F23" s="94" t="s">
        <v>147</v>
      </c>
      <c r="G23" s="93" t="s">
        <v>155</v>
      </c>
      <c r="H23" s="94" t="s">
        <v>147</v>
      </c>
      <c r="I23" s="93" t="s">
        <v>156</v>
      </c>
      <c r="J23" s="94" t="s">
        <v>147</v>
      </c>
      <c r="K23" s="93" t="s">
        <v>157</v>
      </c>
      <c r="L23" s="94" t="s">
        <v>147</v>
      </c>
      <c r="M23" s="95" t="s">
        <v>158</v>
      </c>
      <c r="N23" s="94" t="s">
        <v>147</v>
      </c>
      <c r="O23" s="95" t="s">
        <v>244</v>
      </c>
    </row>
    <row r="24" spans="2:19" ht="15.5" thickTop="1" thickBot="1" x14ac:dyDescent="0.4">
      <c r="B24" s="467" t="s">
        <v>245</v>
      </c>
      <c r="C24" s="453"/>
      <c r="D24" s="453" t="s">
        <v>93</v>
      </c>
      <c r="E24" s="453"/>
      <c r="F24" s="81"/>
      <c r="G24" s="64"/>
      <c r="H24" s="81" t="s">
        <v>252</v>
      </c>
      <c r="I24" s="64">
        <v>0</v>
      </c>
      <c r="J24" s="81" t="s">
        <v>263</v>
      </c>
      <c r="K24" s="64"/>
      <c r="L24" s="81" t="s">
        <v>270</v>
      </c>
      <c r="M24" s="64"/>
      <c r="N24" s="92">
        <v>26</v>
      </c>
      <c r="O24" s="78"/>
    </row>
    <row r="25" spans="2:19" ht="15" thickBot="1" x14ac:dyDescent="0.4">
      <c r="B25" s="468" t="s">
        <v>246</v>
      </c>
      <c r="C25" s="469"/>
      <c r="D25" s="469" t="s">
        <v>95</v>
      </c>
      <c r="E25" s="469"/>
      <c r="F25" s="82"/>
      <c r="G25" s="79"/>
      <c r="H25" s="82" t="s">
        <v>253</v>
      </c>
      <c r="I25" s="79">
        <v>0</v>
      </c>
      <c r="J25" s="82" t="s">
        <v>264</v>
      </c>
      <c r="K25" s="79"/>
      <c r="L25" s="82" t="s">
        <v>271</v>
      </c>
      <c r="M25" s="79"/>
      <c r="N25" s="89">
        <v>27</v>
      </c>
      <c r="O25" s="69"/>
      <c r="Q25" s="99" t="s">
        <v>191</v>
      </c>
    </row>
    <row r="26" spans="2:19" ht="15.5" thickTop="1" thickBot="1" x14ac:dyDescent="0.4">
      <c r="B26" s="468" t="s">
        <v>247</v>
      </c>
      <c r="C26" s="469"/>
      <c r="D26" s="469" t="s">
        <v>151</v>
      </c>
      <c r="E26" s="469"/>
      <c r="F26" s="82"/>
      <c r="G26" s="79"/>
      <c r="H26" s="82" t="s">
        <v>254</v>
      </c>
      <c r="I26" s="79"/>
      <c r="J26" s="82" t="s">
        <v>265</v>
      </c>
      <c r="K26" s="79"/>
      <c r="L26" s="82" t="s">
        <v>272</v>
      </c>
      <c r="M26" s="79"/>
      <c r="N26" s="89">
        <v>28</v>
      </c>
      <c r="O26" s="69"/>
      <c r="Q26" s="77">
        <f ca="1">(SUM(G24:G30,I24:I30,K24:K30,M24:M30))/S22</f>
        <v>0</v>
      </c>
    </row>
    <row r="27" spans="2:19" x14ac:dyDescent="0.35">
      <c r="B27" s="465" t="s">
        <v>248</v>
      </c>
      <c r="C27" s="455"/>
      <c r="D27" s="455" t="s">
        <v>94</v>
      </c>
      <c r="E27" s="455"/>
      <c r="F27" s="82" t="s">
        <v>259</v>
      </c>
      <c r="G27" s="79">
        <v>0</v>
      </c>
      <c r="H27" s="82" t="s">
        <v>255</v>
      </c>
      <c r="I27" s="79"/>
      <c r="J27" s="82" t="s">
        <v>266</v>
      </c>
      <c r="K27" s="79"/>
      <c r="L27" s="82" t="s">
        <v>273</v>
      </c>
      <c r="M27" s="79"/>
      <c r="N27" s="89">
        <v>29</v>
      </c>
      <c r="O27" s="69"/>
    </row>
    <row r="28" spans="2:19" x14ac:dyDescent="0.35">
      <c r="B28" s="466" t="s">
        <v>249</v>
      </c>
      <c r="C28" s="456"/>
      <c r="D28" s="456" t="s">
        <v>96</v>
      </c>
      <c r="E28" s="456"/>
      <c r="F28" s="82" t="s">
        <v>260</v>
      </c>
      <c r="G28" s="79">
        <v>0</v>
      </c>
      <c r="H28" s="82" t="s">
        <v>256</v>
      </c>
      <c r="I28" s="79"/>
      <c r="J28" s="82" t="s">
        <v>267</v>
      </c>
      <c r="K28" s="79"/>
      <c r="L28" s="82" t="s">
        <v>274</v>
      </c>
      <c r="M28" s="79"/>
      <c r="N28" s="89">
        <v>30</v>
      </c>
      <c r="O28" s="69"/>
    </row>
    <row r="29" spans="2:19" x14ac:dyDescent="0.35">
      <c r="B29" s="466" t="s">
        <v>149</v>
      </c>
      <c r="C29" s="456"/>
      <c r="D29" s="456" t="s">
        <v>97</v>
      </c>
      <c r="E29" s="456"/>
      <c r="F29" s="82" t="s">
        <v>261</v>
      </c>
      <c r="G29" s="79">
        <v>0</v>
      </c>
      <c r="H29" s="82" t="s">
        <v>257</v>
      </c>
      <c r="I29" s="79"/>
      <c r="J29" s="82" t="s">
        <v>268</v>
      </c>
      <c r="K29" s="79"/>
      <c r="L29" s="82" t="s">
        <v>275</v>
      </c>
      <c r="M29" s="79"/>
      <c r="N29" s="89"/>
      <c r="O29" s="69"/>
    </row>
    <row r="30" spans="2:19" ht="15" thickBot="1" x14ac:dyDescent="0.4">
      <c r="B30" s="464" t="s">
        <v>150</v>
      </c>
      <c r="C30" s="460"/>
      <c r="D30" s="460" t="s">
        <v>152</v>
      </c>
      <c r="E30" s="460"/>
      <c r="F30" s="83" t="s">
        <v>262</v>
      </c>
      <c r="G30" s="125">
        <v>0</v>
      </c>
      <c r="H30" s="83" t="s">
        <v>258</v>
      </c>
      <c r="I30" s="125"/>
      <c r="J30" s="83" t="s">
        <v>269</v>
      </c>
      <c r="K30" s="125"/>
      <c r="L30" s="83" t="s">
        <v>276</v>
      </c>
      <c r="M30" s="125"/>
      <c r="N30" s="126"/>
      <c r="O30" s="72"/>
    </row>
  </sheetData>
  <mergeCells count="39">
    <mergeCell ref="B24:C24"/>
    <mergeCell ref="D24:E24"/>
    <mergeCell ref="B25:C25"/>
    <mergeCell ref="D25:E25"/>
    <mergeCell ref="B26:C26"/>
    <mergeCell ref="D26:E26"/>
    <mergeCell ref="B30:C30"/>
    <mergeCell ref="D30:E30"/>
    <mergeCell ref="B27:C27"/>
    <mergeCell ref="D27:E27"/>
    <mergeCell ref="B28:C28"/>
    <mergeCell ref="D28:E28"/>
    <mergeCell ref="B29:C29"/>
    <mergeCell ref="D29:E29"/>
    <mergeCell ref="B21:O21"/>
    <mergeCell ref="B23:C23"/>
    <mergeCell ref="D23:E23"/>
    <mergeCell ref="D17:E17"/>
    <mergeCell ref="B22:E22"/>
    <mergeCell ref="F22:O22"/>
    <mergeCell ref="B14:C14"/>
    <mergeCell ref="B15:C15"/>
    <mergeCell ref="B16:C16"/>
    <mergeCell ref="B17:C17"/>
    <mergeCell ref="D11:E11"/>
    <mergeCell ref="D12:E12"/>
    <mergeCell ref="D13:E13"/>
    <mergeCell ref="D14:E14"/>
    <mergeCell ref="D15:E15"/>
    <mergeCell ref="D16:E16"/>
    <mergeCell ref="B13:C13"/>
    <mergeCell ref="B2:O6"/>
    <mergeCell ref="B10:C10"/>
    <mergeCell ref="D10:E10"/>
    <mergeCell ref="B11:C11"/>
    <mergeCell ref="B12:C12"/>
    <mergeCell ref="B8:O8"/>
    <mergeCell ref="B9:E9"/>
    <mergeCell ref="F9:O9"/>
  </mergeCells>
  <conditionalFormatting sqref="G11:G17 O11:O17 M11:M17 K11:K17 I11:I17">
    <cfRule type="containsBlanks" dxfId="8" priority="4" stopIfTrue="1">
      <formula>LEN(TRIM(G11))=0</formula>
    </cfRule>
    <cfRule type="containsText" dxfId="7" priority="5" stopIfTrue="1" operator="containsText" text="1">
      <formula>NOT(ISERROR(SEARCH("1",G11)))</formula>
    </cfRule>
    <cfRule type="containsText" dxfId="6" priority="6" stopIfTrue="1" operator="containsText" text="0">
      <formula>NOT(ISERROR(SEARCH("0",G11)))</formula>
    </cfRule>
  </conditionalFormatting>
  <conditionalFormatting sqref="G24:G30 I24:I30 K24:K30 M24:M30 O24:O30">
    <cfRule type="containsBlanks" dxfId="5" priority="1" stopIfTrue="1">
      <formula>LEN(TRIM(G24))=0</formula>
    </cfRule>
    <cfRule type="containsText" dxfId="4" priority="2" stopIfTrue="1" operator="containsText" text="1">
      <formula>NOT(ISERROR(SEARCH("1",G24)))</formula>
    </cfRule>
    <cfRule type="containsText" dxfId="3" priority="3" stopIfTrue="1" operator="containsText" text="0">
      <formula>NOT(ISERROR(SEARCH("0",G24)))</formula>
    </cfRule>
  </conditionalFormatting>
  <hyperlinks>
    <hyperlink ref="A3" location="Calendario!A1" display="Calendário" xr:uid="{E7ED70E1-CA32-44B1-AB7F-BCFEA6B50A78}"/>
  </hyperlink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7:F30 H24:H30 J24:J30 L24:L30 F11:F17 H11:H17 J11:J17 L11:L1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0534-6FAE-420C-9059-B19AF57993B8}">
  <dimension ref="A1:AG24"/>
  <sheetViews>
    <sheetView showGridLines="0" topLeftCell="A4" zoomScale="60" zoomScaleNormal="60" zoomScaleSheetLayoutView="70" workbookViewId="0">
      <selection activeCell="E8" sqref="E8:F8"/>
    </sheetView>
  </sheetViews>
  <sheetFormatPr defaultColWidth="9.1796875" defaultRowHeight="14.5" x14ac:dyDescent="0.35"/>
  <cols>
    <col min="1" max="2" width="11.453125" style="171" customWidth="1"/>
    <col min="3" max="18" width="7.81640625" style="171" customWidth="1"/>
    <col min="19" max="22" width="8.1796875" style="171" customWidth="1"/>
    <col min="23" max="26" width="7.81640625" style="171" customWidth="1"/>
    <col min="27" max="30" width="8.54296875" style="171" customWidth="1"/>
    <col min="31" max="33" width="7.81640625" style="171" customWidth="1"/>
    <col min="34" max="34" width="5.81640625" style="171" customWidth="1"/>
    <col min="35" max="16384" width="9.1796875" style="171"/>
  </cols>
  <sheetData>
    <row r="1" spans="1:33" x14ac:dyDescent="0.35">
      <c r="A1" s="167"/>
      <c r="B1" s="168"/>
      <c r="C1" s="169" t="s">
        <v>419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70"/>
    </row>
    <row r="2" spans="1:33" x14ac:dyDescent="0.35">
      <c r="A2" s="172"/>
      <c r="B2" s="173"/>
      <c r="C2" s="171" t="s">
        <v>420</v>
      </c>
      <c r="AG2" s="174"/>
    </row>
    <row r="3" spans="1:33" ht="15" thickBot="1" x14ac:dyDescent="0.4">
      <c r="A3" s="172"/>
      <c r="B3" s="173"/>
      <c r="C3" s="171" t="s">
        <v>421</v>
      </c>
      <c r="W3" s="432"/>
      <c r="X3" s="432"/>
      <c r="Y3" s="432"/>
      <c r="Z3" s="432"/>
      <c r="AG3" s="174"/>
    </row>
    <row r="4" spans="1:33" ht="24" thickBot="1" x14ac:dyDescent="0.4">
      <c r="A4" s="433" t="s">
        <v>422</v>
      </c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4"/>
      <c r="X4" s="434"/>
      <c r="Y4" s="434"/>
      <c r="Z4" s="434"/>
      <c r="AA4" s="434"/>
      <c r="AB4" s="434"/>
      <c r="AC4" s="434"/>
      <c r="AD4" s="434"/>
      <c r="AE4" s="434"/>
      <c r="AF4" s="434"/>
      <c r="AG4" s="435"/>
    </row>
    <row r="5" spans="1:33" ht="24" thickBot="1" x14ac:dyDescent="0.4">
      <c r="A5" s="176"/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261"/>
      <c r="AF5" s="261"/>
      <c r="AG5" s="178"/>
    </row>
    <row r="6" spans="1:33" ht="24" thickBot="1" x14ac:dyDescent="0.4">
      <c r="A6" s="179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413" t="s">
        <v>423</v>
      </c>
      <c r="N6" s="414"/>
      <c r="O6" s="414"/>
      <c r="P6" s="414"/>
      <c r="Q6" s="414"/>
      <c r="R6" s="414"/>
      <c r="S6" s="414"/>
      <c r="T6" s="414"/>
      <c r="U6" s="414"/>
      <c r="V6" s="414"/>
      <c r="W6" s="414"/>
      <c r="X6" s="414"/>
      <c r="Y6" s="414"/>
      <c r="Z6" s="414"/>
      <c r="AA6" s="414"/>
      <c r="AB6" s="414"/>
      <c r="AC6" s="414"/>
      <c r="AD6" s="415"/>
      <c r="AE6" s="177"/>
      <c r="AF6" s="177"/>
      <c r="AG6" s="180"/>
    </row>
    <row r="7" spans="1:33" ht="24" thickBot="1" x14ac:dyDescent="0.4">
      <c r="A7" s="179"/>
      <c r="B7" s="177"/>
      <c r="C7" s="416" t="s">
        <v>424</v>
      </c>
      <c r="D7" s="417"/>
      <c r="E7" s="417" t="s">
        <v>207</v>
      </c>
      <c r="F7" s="417"/>
      <c r="G7" s="417" t="s">
        <v>208</v>
      </c>
      <c r="H7" s="417"/>
      <c r="I7" s="418"/>
      <c r="J7" s="413" t="s">
        <v>425</v>
      </c>
      <c r="K7" s="415"/>
      <c r="L7" s="177"/>
      <c r="M7" s="419" t="s">
        <v>391</v>
      </c>
      <c r="N7" s="420"/>
      <c r="O7" s="421" t="s">
        <v>95</v>
      </c>
      <c r="P7" s="421"/>
      <c r="Q7" s="421" t="s">
        <v>151</v>
      </c>
      <c r="R7" s="421"/>
      <c r="S7" s="422"/>
      <c r="T7" s="423" t="s">
        <v>94</v>
      </c>
      <c r="U7" s="424"/>
      <c r="V7" s="425" t="s">
        <v>97</v>
      </c>
      <c r="W7" s="426"/>
      <c r="X7" s="425" t="s">
        <v>96</v>
      </c>
      <c r="Y7" s="426"/>
      <c r="Z7" s="427" t="s">
        <v>359</v>
      </c>
      <c r="AA7" s="428"/>
      <c r="AB7" s="416" t="s">
        <v>426</v>
      </c>
      <c r="AC7" s="417"/>
      <c r="AD7" s="418"/>
      <c r="AE7" s="177"/>
      <c r="AF7" s="177"/>
      <c r="AG7" s="180"/>
    </row>
    <row r="8" spans="1:33" ht="24" thickBot="1" x14ac:dyDescent="0.4">
      <c r="A8" s="179"/>
      <c r="B8" s="177"/>
      <c r="C8" s="406">
        <v>44896</v>
      </c>
      <c r="D8" s="407"/>
      <c r="E8" s="408">
        <f ca="1">TODAY()</f>
        <v>44918</v>
      </c>
      <c r="F8" s="407"/>
      <c r="G8" s="409">
        <f ca="1">E8-C8</f>
        <v>22</v>
      </c>
      <c r="H8" s="402"/>
      <c r="I8" s="403"/>
      <c r="J8" s="410">
        <f>SUM(C14:AG24)/60</f>
        <v>0.43333333333333335</v>
      </c>
      <c r="K8" s="411"/>
      <c r="L8" s="177"/>
      <c r="M8" s="401">
        <f>SUM(C14:AG14)</f>
        <v>7</v>
      </c>
      <c r="N8" s="412"/>
      <c r="O8" s="409">
        <f>SUM(C15:AG15)</f>
        <v>5</v>
      </c>
      <c r="P8" s="412"/>
      <c r="Q8" s="409">
        <f>SUM(C16:AG16)</f>
        <v>0</v>
      </c>
      <c r="R8" s="402"/>
      <c r="S8" s="403"/>
      <c r="T8" s="398">
        <f>SUM(C17:AG17)</f>
        <v>8</v>
      </c>
      <c r="U8" s="399"/>
      <c r="V8" s="398">
        <f>SUM(C23:AG23)</f>
        <v>4</v>
      </c>
      <c r="W8" s="399"/>
      <c r="X8" s="398">
        <f>SUM(C22:AG22)</f>
        <v>2</v>
      </c>
      <c r="Y8" s="399"/>
      <c r="Z8" s="398">
        <f>SUM(C24:AG24)</f>
        <v>0</v>
      </c>
      <c r="AA8" s="400"/>
      <c r="AB8" s="401">
        <f>SUM(M8:AA8)</f>
        <v>26</v>
      </c>
      <c r="AC8" s="402"/>
      <c r="AD8" s="403"/>
      <c r="AE8" s="177"/>
      <c r="AF8" s="177"/>
      <c r="AG8" s="180"/>
    </row>
    <row r="9" spans="1:33" ht="23.5" x14ac:dyDescent="0.35">
      <c r="A9" s="179"/>
      <c r="B9" s="177"/>
      <c r="C9" s="181"/>
      <c r="D9" s="181"/>
      <c r="E9" s="181"/>
      <c r="F9" s="181"/>
      <c r="G9" s="182"/>
      <c r="H9" s="182"/>
      <c r="I9" s="182"/>
      <c r="J9" s="183"/>
      <c r="K9" s="183"/>
      <c r="L9" s="177"/>
      <c r="M9" s="404"/>
      <c r="N9" s="404"/>
      <c r="O9" s="404"/>
      <c r="P9" s="404"/>
      <c r="Q9" s="404"/>
      <c r="R9" s="404"/>
      <c r="S9" s="404"/>
      <c r="T9" s="405"/>
      <c r="U9" s="405"/>
      <c r="V9" s="405"/>
      <c r="W9" s="405"/>
      <c r="X9" s="405"/>
      <c r="Y9" s="405"/>
      <c r="Z9" s="405"/>
      <c r="AA9" s="405"/>
      <c r="AB9" s="177"/>
      <c r="AC9" s="177"/>
      <c r="AD9" s="177"/>
      <c r="AE9" s="177"/>
      <c r="AF9" s="177"/>
      <c r="AG9" s="180"/>
    </row>
    <row r="10" spans="1:33" ht="24" thickBot="1" x14ac:dyDescent="0.4">
      <c r="A10" s="179"/>
      <c r="B10" s="177"/>
      <c r="C10" s="181"/>
      <c r="D10" s="181"/>
      <c r="E10" s="181"/>
      <c r="F10" s="181"/>
      <c r="G10" s="182"/>
      <c r="H10" s="182"/>
      <c r="I10" s="182"/>
      <c r="J10" s="183"/>
      <c r="K10" s="183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80"/>
    </row>
    <row r="11" spans="1:33" ht="21.5" thickBot="1" x14ac:dyDescent="0.4">
      <c r="A11" s="381" t="s">
        <v>427</v>
      </c>
      <c r="B11" s="382"/>
      <c r="C11" s="382"/>
      <c r="D11" s="382"/>
      <c r="E11" s="382"/>
      <c r="F11" s="382"/>
      <c r="G11" s="382"/>
      <c r="H11" s="382"/>
      <c r="I11" s="382"/>
      <c r="J11" s="382"/>
      <c r="K11" s="382"/>
      <c r="L11" s="382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3"/>
    </row>
    <row r="12" spans="1:33" ht="19" thickBot="1" x14ac:dyDescent="0.4">
      <c r="A12" s="384" t="str">
        <f>TEXT(C13,"MMMMMM")</f>
        <v>dezembro</v>
      </c>
      <c r="B12" s="385"/>
      <c r="C12" s="184" t="str">
        <f>TEXT(C13,"DDD")</f>
        <v>qui</v>
      </c>
      <c r="D12" s="184" t="str">
        <f t="shared" ref="D12:AG12" si="0">TEXT(D13,"DDD")</f>
        <v>sex</v>
      </c>
      <c r="E12" s="184" t="str">
        <f t="shared" si="0"/>
        <v>sáb</v>
      </c>
      <c r="F12" s="184" t="str">
        <f t="shared" si="0"/>
        <v>dom</v>
      </c>
      <c r="G12" s="184" t="str">
        <f t="shared" si="0"/>
        <v>seg</v>
      </c>
      <c r="H12" s="184" t="str">
        <f t="shared" si="0"/>
        <v>ter</v>
      </c>
      <c r="I12" s="184" t="str">
        <f t="shared" si="0"/>
        <v>qua</v>
      </c>
      <c r="J12" s="184" t="str">
        <f t="shared" si="0"/>
        <v>qui</v>
      </c>
      <c r="K12" s="184" t="str">
        <f t="shared" si="0"/>
        <v>sex</v>
      </c>
      <c r="L12" s="184" t="str">
        <f t="shared" si="0"/>
        <v>sáb</v>
      </c>
      <c r="M12" s="184" t="str">
        <f t="shared" si="0"/>
        <v>dom</v>
      </c>
      <c r="N12" s="184" t="str">
        <f t="shared" si="0"/>
        <v>seg</v>
      </c>
      <c r="O12" s="184" t="str">
        <f t="shared" si="0"/>
        <v>ter</v>
      </c>
      <c r="P12" s="184" t="str">
        <f t="shared" si="0"/>
        <v>qua</v>
      </c>
      <c r="Q12" s="184" t="str">
        <f t="shared" si="0"/>
        <v>qui</v>
      </c>
      <c r="R12" s="184" t="str">
        <f t="shared" si="0"/>
        <v>sex</v>
      </c>
      <c r="S12" s="184" t="str">
        <f t="shared" si="0"/>
        <v>sáb</v>
      </c>
      <c r="T12" s="184" t="str">
        <f t="shared" si="0"/>
        <v>dom</v>
      </c>
      <c r="U12" s="184" t="str">
        <f t="shared" si="0"/>
        <v>seg</v>
      </c>
      <c r="V12" s="184" t="str">
        <f t="shared" si="0"/>
        <v>ter</v>
      </c>
      <c r="W12" s="184" t="str">
        <f t="shared" si="0"/>
        <v>qua</v>
      </c>
      <c r="X12" s="184" t="str">
        <f t="shared" si="0"/>
        <v>qui</v>
      </c>
      <c r="Y12" s="184" t="str">
        <f t="shared" si="0"/>
        <v>sex</v>
      </c>
      <c r="Z12" s="184" t="str">
        <f t="shared" si="0"/>
        <v>sáb</v>
      </c>
      <c r="AA12" s="184" t="str">
        <f t="shared" si="0"/>
        <v>dom</v>
      </c>
      <c r="AB12" s="184" t="str">
        <f t="shared" si="0"/>
        <v>seg</v>
      </c>
      <c r="AC12" s="184" t="str">
        <f t="shared" si="0"/>
        <v>ter</v>
      </c>
      <c r="AD12" s="184" t="str">
        <f t="shared" si="0"/>
        <v>qua</v>
      </c>
      <c r="AE12" s="184" t="str">
        <f t="shared" si="0"/>
        <v>qui</v>
      </c>
      <c r="AF12" s="184" t="str">
        <f t="shared" si="0"/>
        <v>sex</v>
      </c>
      <c r="AG12" s="359" t="str">
        <f t="shared" si="0"/>
        <v>sáb</v>
      </c>
    </row>
    <row r="13" spans="1:33" ht="19" thickBot="1" x14ac:dyDescent="0.4">
      <c r="A13" s="386"/>
      <c r="B13" s="387"/>
      <c r="C13" s="188">
        <v>44896</v>
      </c>
      <c r="D13" s="188">
        <v>44897</v>
      </c>
      <c r="E13" s="188">
        <v>44898</v>
      </c>
      <c r="F13" s="188">
        <v>44899</v>
      </c>
      <c r="G13" s="188">
        <v>44900</v>
      </c>
      <c r="H13" s="188">
        <v>44901</v>
      </c>
      <c r="I13" s="188">
        <v>44902</v>
      </c>
      <c r="J13" s="188">
        <v>44903</v>
      </c>
      <c r="K13" s="188">
        <v>44904</v>
      </c>
      <c r="L13" s="188">
        <v>44905</v>
      </c>
      <c r="M13" s="188">
        <v>44906</v>
      </c>
      <c r="N13" s="188">
        <v>44907</v>
      </c>
      <c r="O13" s="188">
        <v>44908</v>
      </c>
      <c r="P13" s="188">
        <v>44909</v>
      </c>
      <c r="Q13" s="188">
        <v>44910</v>
      </c>
      <c r="R13" s="188">
        <v>44911</v>
      </c>
      <c r="S13" s="188">
        <v>44912</v>
      </c>
      <c r="T13" s="188">
        <v>44913</v>
      </c>
      <c r="U13" s="188">
        <v>44914</v>
      </c>
      <c r="V13" s="188">
        <v>44915</v>
      </c>
      <c r="W13" s="188">
        <v>44916</v>
      </c>
      <c r="X13" s="188">
        <v>44917</v>
      </c>
      <c r="Y13" s="188">
        <v>44918</v>
      </c>
      <c r="Z13" s="188">
        <v>44919</v>
      </c>
      <c r="AA13" s="188">
        <v>44920</v>
      </c>
      <c r="AB13" s="188">
        <v>44921</v>
      </c>
      <c r="AC13" s="188">
        <v>44922</v>
      </c>
      <c r="AD13" s="188">
        <v>44923</v>
      </c>
      <c r="AE13" s="188">
        <v>44924</v>
      </c>
      <c r="AF13" s="188">
        <v>44925</v>
      </c>
      <c r="AG13" s="360">
        <v>44926</v>
      </c>
    </row>
    <row r="14" spans="1:33" ht="21" x14ac:dyDescent="0.35">
      <c r="A14" s="388" t="s">
        <v>93</v>
      </c>
      <c r="B14" s="389"/>
      <c r="C14" s="190">
        <v>1</v>
      </c>
      <c r="D14" s="190">
        <v>1</v>
      </c>
      <c r="E14" s="190">
        <v>1</v>
      </c>
      <c r="F14" s="193">
        <v>0</v>
      </c>
      <c r="G14" s="193">
        <v>1</v>
      </c>
      <c r="H14" s="192">
        <v>1</v>
      </c>
      <c r="I14" s="192">
        <v>1</v>
      </c>
      <c r="J14" s="193">
        <v>0</v>
      </c>
      <c r="K14" s="193">
        <v>1</v>
      </c>
      <c r="L14" s="192">
        <v>0</v>
      </c>
      <c r="M14" s="192">
        <v>0</v>
      </c>
      <c r="N14" s="193"/>
      <c r="O14" s="193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4"/>
    </row>
    <row r="15" spans="1:33" ht="21" x14ac:dyDescent="0.35">
      <c r="A15" s="390" t="s">
        <v>95</v>
      </c>
      <c r="B15" s="391"/>
      <c r="C15" s="190">
        <v>1</v>
      </c>
      <c r="D15" s="190">
        <v>1</v>
      </c>
      <c r="E15" s="190">
        <v>0</v>
      </c>
      <c r="F15" s="195">
        <v>0</v>
      </c>
      <c r="G15" s="196">
        <v>1</v>
      </c>
      <c r="H15" s="196">
        <v>1</v>
      </c>
      <c r="I15" s="195">
        <v>0</v>
      </c>
      <c r="J15" s="195">
        <v>0</v>
      </c>
      <c r="K15" s="196">
        <v>1</v>
      </c>
      <c r="L15" s="196">
        <v>0</v>
      </c>
      <c r="M15" s="195">
        <v>0</v>
      </c>
      <c r="N15" s="195"/>
      <c r="O15" s="196"/>
      <c r="P15" s="196"/>
      <c r="Q15" s="195"/>
      <c r="R15" s="196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4"/>
    </row>
    <row r="16" spans="1:33" ht="21" x14ac:dyDescent="0.35">
      <c r="A16" s="390" t="s">
        <v>151</v>
      </c>
      <c r="B16" s="391"/>
      <c r="C16" s="190">
        <v>0</v>
      </c>
      <c r="D16" s="190">
        <v>0</v>
      </c>
      <c r="E16" s="190">
        <v>0</v>
      </c>
      <c r="F16" s="195">
        <v>0</v>
      </c>
      <c r="G16" s="195">
        <v>0</v>
      </c>
      <c r="H16" s="196">
        <v>0</v>
      </c>
      <c r="I16" s="196">
        <v>0</v>
      </c>
      <c r="J16" s="195">
        <v>0</v>
      </c>
      <c r="K16" s="195">
        <v>0</v>
      </c>
      <c r="L16" s="196">
        <v>0</v>
      </c>
      <c r="M16" s="196">
        <v>0</v>
      </c>
      <c r="N16" s="195"/>
      <c r="O16" s="195"/>
      <c r="P16" s="196"/>
      <c r="Q16" s="196"/>
      <c r="R16" s="196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4"/>
    </row>
    <row r="17" spans="1:33" ht="21" x14ac:dyDescent="0.35">
      <c r="A17" s="392" t="s">
        <v>846</v>
      </c>
      <c r="B17" s="393"/>
      <c r="C17" s="190">
        <v>1</v>
      </c>
      <c r="D17" s="190">
        <v>1</v>
      </c>
      <c r="E17" s="190">
        <v>1</v>
      </c>
      <c r="F17" s="196">
        <v>0</v>
      </c>
      <c r="G17" s="195">
        <v>1</v>
      </c>
      <c r="H17" s="196">
        <v>1</v>
      </c>
      <c r="I17" s="196">
        <v>1</v>
      </c>
      <c r="J17" s="196">
        <v>1</v>
      </c>
      <c r="K17" s="195">
        <v>1</v>
      </c>
      <c r="L17" s="195">
        <v>0</v>
      </c>
      <c r="M17" s="196">
        <v>0</v>
      </c>
      <c r="N17" s="196"/>
      <c r="O17" s="195"/>
      <c r="P17" s="196"/>
      <c r="Q17" s="196"/>
      <c r="R17" s="196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4"/>
    </row>
    <row r="18" spans="1:33" ht="21" x14ac:dyDescent="0.35">
      <c r="A18" s="392" t="s">
        <v>847</v>
      </c>
      <c r="B18" s="393"/>
      <c r="C18" s="190"/>
      <c r="D18" s="190"/>
      <c r="E18" s="190"/>
      <c r="F18" s="196"/>
      <c r="G18" s="195"/>
      <c r="H18" s="196"/>
      <c r="I18" s="196"/>
      <c r="J18" s="196"/>
      <c r="K18" s="195"/>
      <c r="L18" s="195"/>
      <c r="M18" s="196"/>
      <c r="N18" s="196"/>
      <c r="O18" s="195"/>
      <c r="P18" s="196"/>
      <c r="Q18" s="196"/>
      <c r="R18" s="196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4"/>
    </row>
    <row r="19" spans="1:33" ht="21" x14ac:dyDescent="0.35">
      <c r="A19" s="392" t="s">
        <v>848</v>
      </c>
      <c r="B19" s="393"/>
      <c r="C19" s="190"/>
      <c r="D19" s="190"/>
      <c r="E19" s="190"/>
      <c r="F19" s="196"/>
      <c r="G19" s="195"/>
      <c r="H19" s="196"/>
      <c r="I19" s="196"/>
      <c r="J19" s="196"/>
      <c r="K19" s="195"/>
      <c r="L19" s="195"/>
      <c r="M19" s="196"/>
      <c r="N19" s="196"/>
      <c r="O19" s="195"/>
      <c r="P19" s="196"/>
      <c r="Q19" s="196"/>
      <c r="R19" s="196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4"/>
    </row>
    <row r="20" spans="1:33" ht="21" x14ac:dyDescent="0.35">
      <c r="A20" s="392" t="s">
        <v>849</v>
      </c>
      <c r="B20" s="393"/>
      <c r="C20" s="190"/>
      <c r="D20" s="190"/>
      <c r="E20" s="190"/>
      <c r="F20" s="196"/>
      <c r="G20" s="195"/>
      <c r="H20" s="196"/>
      <c r="I20" s="196"/>
      <c r="J20" s="196"/>
      <c r="K20" s="195"/>
      <c r="L20" s="195"/>
      <c r="M20" s="196"/>
      <c r="N20" s="196"/>
      <c r="O20" s="195"/>
      <c r="P20" s="196"/>
      <c r="Q20" s="196"/>
      <c r="R20" s="196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4"/>
    </row>
    <row r="21" spans="1:33" ht="21" x14ac:dyDescent="0.35">
      <c r="A21" s="392" t="s">
        <v>850</v>
      </c>
      <c r="B21" s="393"/>
      <c r="C21" s="190"/>
      <c r="D21" s="190"/>
      <c r="E21" s="190"/>
      <c r="F21" s="196"/>
      <c r="G21" s="195"/>
      <c r="H21" s="196"/>
      <c r="I21" s="196"/>
      <c r="J21" s="196"/>
      <c r="K21" s="195"/>
      <c r="L21" s="195"/>
      <c r="M21" s="196"/>
      <c r="N21" s="196"/>
      <c r="O21" s="195"/>
      <c r="P21" s="196"/>
      <c r="Q21" s="196"/>
      <c r="R21" s="196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4"/>
    </row>
    <row r="22" spans="1:33" ht="21" x14ac:dyDescent="0.35">
      <c r="A22" s="394" t="s">
        <v>96</v>
      </c>
      <c r="B22" s="395"/>
      <c r="C22" s="190">
        <v>0</v>
      </c>
      <c r="D22" s="190">
        <v>0</v>
      </c>
      <c r="E22" s="190">
        <v>1</v>
      </c>
      <c r="F22" s="196">
        <v>0</v>
      </c>
      <c r="G22" s="195">
        <v>0</v>
      </c>
      <c r="H22" s="196">
        <v>0</v>
      </c>
      <c r="I22" s="196">
        <v>0</v>
      </c>
      <c r="J22" s="196">
        <v>0</v>
      </c>
      <c r="K22" s="195">
        <v>0</v>
      </c>
      <c r="L22" s="195">
        <v>1</v>
      </c>
      <c r="M22" s="196">
        <v>0</v>
      </c>
      <c r="N22" s="196"/>
      <c r="O22" s="196"/>
      <c r="P22" s="196"/>
      <c r="Q22" s="196"/>
      <c r="R22" s="195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4"/>
    </row>
    <row r="23" spans="1:33" ht="21" x14ac:dyDescent="0.35">
      <c r="A23" s="394" t="s">
        <v>97</v>
      </c>
      <c r="B23" s="395"/>
      <c r="C23" s="190">
        <v>0</v>
      </c>
      <c r="D23" s="190">
        <v>0</v>
      </c>
      <c r="E23" s="190">
        <v>1</v>
      </c>
      <c r="F23" s="195">
        <v>0</v>
      </c>
      <c r="G23" s="195">
        <v>1</v>
      </c>
      <c r="H23" s="196">
        <v>0</v>
      </c>
      <c r="I23" s="196">
        <v>0</v>
      </c>
      <c r="J23" s="195">
        <v>1</v>
      </c>
      <c r="K23" s="195">
        <v>0</v>
      </c>
      <c r="L23" s="196">
        <v>1</v>
      </c>
      <c r="M23" s="196">
        <v>0</v>
      </c>
      <c r="N23" s="195"/>
      <c r="O23" s="196"/>
      <c r="P23" s="196"/>
      <c r="Q23" s="196"/>
      <c r="R23" s="195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4"/>
    </row>
    <row r="24" spans="1:33" ht="21.5" thickBot="1" x14ac:dyDescent="0.4">
      <c r="A24" s="396" t="s">
        <v>359</v>
      </c>
      <c r="B24" s="397"/>
      <c r="C24" s="262">
        <v>0</v>
      </c>
      <c r="D24" s="262">
        <v>0</v>
      </c>
      <c r="E24" s="262">
        <v>0</v>
      </c>
      <c r="F24" s="200">
        <v>0</v>
      </c>
      <c r="G24" s="200">
        <v>0</v>
      </c>
      <c r="H24" s="200">
        <v>0</v>
      </c>
      <c r="I24" s="200">
        <v>0</v>
      </c>
      <c r="J24" s="200">
        <v>0</v>
      </c>
      <c r="K24" s="200">
        <v>0</v>
      </c>
      <c r="L24" s="200">
        <v>0</v>
      </c>
      <c r="M24" s="200">
        <v>0</v>
      </c>
      <c r="N24" s="200"/>
      <c r="O24" s="200"/>
      <c r="P24" s="200"/>
      <c r="Q24" s="200"/>
      <c r="R24" s="200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  <c r="AD24" s="361"/>
      <c r="AE24" s="361"/>
      <c r="AF24" s="361"/>
      <c r="AG24" s="362"/>
    </row>
  </sheetData>
  <mergeCells count="47">
    <mergeCell ref="W3:Z3"/>
    <mergeCell ref="A4:AG4"/>
    <mergeCell ref="AB7:AD7"/>
    <mergeCell ref="M6:AD6"/>
    <mergeCell ref="C7:D7"/>
    <mergeCell ref="E7:F7"/>
    <mergeCell ref="G7:I7"/>
    <mergeCell ref="J7:K7"/>
    <mergeCell ref="M7:N7"/>
    <mergeCell ref="O7:P7"/>
    <mergeCell ref="Q7:S7"/>
    <mergeCell ref="T7:U7"/>
    <mergeCell ref="V7:W7"/>
    <mergeCell ref="X7:Y7"/>
    <mergeCell ref="Z7:AA7"/>
    <mergeCell ref="AB8:AD8"/>
    <mergeCell ref="C8:D8"/>
    <mergeCell ref="E8:F8"/>
    <mergeCell ref="G8:I8"/>
    <mergeCell ref="J8:K8"/>
    <mergeCell ref="M8:N8"/>
    <mergeCell ref="O8:P8"/>
    <mergeCell ref="Q8:S8"/>
    <mergeCell ref="T8:U8"/>
    <mergeCell ref="V8:W8"/>
    <mergeCell ref="X8:Y8"/>
    <mergeCell ref="Z8:AA8"/>
    <mergeCell ref="A16:B16"/>
    <mergeCell ref="M9:N9"/>
    <mergeCell ref="O9:P9"/>
    <mergeCell ref="Q9:S9"/>
    <mergeCell ref="T9:U9"/>
    <mergeCell ref="Z9:AA9"/>
    <mergeCell ref="A11:AG11"/>
    <mergeCell ref="A12:B13"/>
    <mergeCell ref="A14:B14"/>
    <mergeCell ref="A15:B15"/>
    <mergeCell ref="V9:W9"/>
    <mergeCell ref="X9:Y9"/>
    <mergeCell ref="A17:B17"/>
    <mergeCell ref="A22:B22"/>
    <mergeCell ref="A23:B23"/>
    <mergeCell ref="A24:B24"/>
    <mergeCell ref="A21:B21"/>
    <mergeCell ref="A18:B18"/>
    <mergeCell ref="A19:B19"/>
    <mergeCell ref="A20:B20"/>
  </mergeCells>
  <conditionalFormatting sqref="C14:AG24">
    <cfRule type="colorScale" priority="1">
      <colorScale>
        <cfvo type="num" val="0"/>
        <cfvo type="num" val="1"/>
        <color rgb="FFFF2F2F"/>
        <color rgb="FF00B050"/>
      </colorScale>
    </cfRule>
  </conditionalFormatting>
  <pageMargins left="0.19685039370078741" right="0.19685039370078741" top="0.23622047244094491" bottom="0.19685039370078741" header="0.15748031496062992" footer="0.15748031496062992"/>
  <pageSetup paperSize="9" scale="53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6B07-7A08-484D-8CE2-953E7562D844}">
  <dimension ref="B1:K18"/>
  <sheetViews>
    <sheetView showGridLines="0" zoomScale="89" zoomScaleNormal="89" workbookViewId="0">
      <selection activeCell="H11" sqref="H11:J12"/>
    </sheetView>
  </sheetViews>
  <sheetFormatPr defaultRowHeight="14.5" x14ac:dyDescent="0.35"/>
  <sheetData>
    <row r="1" spans="2:11" x14ac:dyDescent="0.35">
      <c r="K1" s="10"/>
    </row>
    <row r="2" spans="2:11" ht="14.5" customHeight="1" x14ac:dyDescent="0.35">
      <c r="B2" s="470" t="s">
        <v>31</v>
      </c>
      <c r="C2" s="470"/>
      <c r="D2" s="470"/>
      <c r="E2" s="470"/>
      <c r="F2" s="470"/>
      <c r="G2" s="470"/>
      <c r="H2" s="470"/>
      <c r="I2" s="470"/>
      <c r="J2" s="470"/>
      <c r="K2" s="16"/>
    </row>
    <row r="3" spans="2:11" ht="15" customHeight="1" thickBot="1" x14ac:dyDescent="0.4">
      <c r="B3" s="471"/>
      <c r="C3" s="471"/>
      <c r="D3" s="471"/>
      <c r="E3" s="471"/>
      <c r="F3" s="471"/>
      <c r="G3" s="471"/>
      <c r="H3" s="471"/>
      <c r="I3" s="471"/>
      <c r="J3" s="471"/>
      <c r="K3" s="16"/>
    </row>
    <row r="4" spans="2:11" ht="14.5" customHeight="1" x14ac:dyDescent="0.35">
      <c r="B4" s="475" t="s">
        <v>23</v>
      </c>
      <c r="C4" s="476"/>
      <c r="D4" s="477"/>
      <c r="E4" s="475" t="s">
        <v>24</v>
      </c>
      <c r="F4" s="476"/>
      <c r="G4" s="477"/>
      <c r="H4" s="475" t="s">
        <v>25</v>
      </c>
      <c r="I4" s="476"/>
      <c r="J4" s="477"/>
      <c r="K4" s="22"/>
    </row>
    <row r="5" spans="2:11" ht="15" customHeight="1" thickBot="1" x14ac:dyDescent="0.4">
      <c r="B5" s="478"/>
      <c r="C5" s="479"/>
      <c r="D5" s="480"/>
      <c r="E5" s="478"/>
      <c r="F5" s="479"/>
      <c r="G5" s="480"/>
      <c r="H5" s="478"/>
      <c r="I5" s="479"/>
      <c r="J5" s="480"/>
      <c r="K5" s="22"/>
    </row>
    <row r="6" spans="2:11" ht="15" thickBot="1" x14ac:dyDescent="0.4"/>
    <row r="7" spans="2:11" ht="15" thickBot="1" x14ac:dyDescent="0.4">
      <c r="B7" s="472" t="s">
        <v>32</v>
      </c>
      <c r="C7" s="473"/>
      <c r="D7" s="474"/>
      <c r="E7" s="472" t="s">
        <v>34</v>
      </c>
      <c r="F7" s="473"/>
      <c r="G7" s="474"/>
      <c r="H7" s="472" t="s">
        <v>39</v>
      </c>
      <c r="I7" s="473"/>
      <c r="J7" s="474"/>
    </row>
    <row r="8" spans="2:11" x14ac:dyDescent="0.35">
      <c r="B8" s="481">
        <f>(COUNTIF('Alertas PCDS'!V:V,26))</f>
        <v>0</v>
      </c>
      <c r="C8" s="482"/>
      <c r="D8" s="483"/>
      <c r="E8" s="481">
        <f>(COUNTIF('Alertas PCDS'!V:V,28))</f>
        <v>0</v>
      </c>
      <c r="F8" s="482"/>
      <c r="G8" s="483"/>
      <c r="H8" s="481">
        <f>(COUNTIF('Alertas PCDS'!V:V,32))</f>
        <v>0</v>
      </c>
      <c r="I8" s="482"/>
      <c r="J8" s="483"/>
    </row>
    <row r="9" spans="2:11" ht="15" thickBot="1" x14ac:dyDescent="0.4">
      <c r="B9" s="484"/>
      <c r="C9" s="485"/>
      <c r="D9" s="486"/>
      <c r="E9" s="484"/>
      <c r="F9" s="485"/>
      <c r="G9" s="486"/>
      <c r="H9" s="484"/>
      <c r="I9" s="485"/>
      <c r="J9" s="486"/>
    </row>
    <row r="10" spans="2:11" ht="15" thickBot="1" x14ac:dyDescent="0.4">
      <c r="B10" s="472" t="s">
        <v>33</v>
      </c>
      <c r="C10" s="473"/>
      <c r="D10" s="474"/>
      <c r="E10" s="472" t="s">
        <v>36</v>
      </c>
      <c r="F10" s="473"/>
      <c r="G10" s="474"/>
      <c r="H10" s="472" t="s">
        <v>40</v>
      </c>
      <c r="I10" s="473"/>
      <c r="J10" s="474"/>
    </row>
    <row r="11" spans="2:11" x14ac:dyDescent="0.35">
      <c r="B11" s="481">
        <f>(COUNTIF('Alertas PCDS'!V:V,27))</f>
        <v>0</v>
      </c>
      <c r="C11" s="482"/>
      <c r="D11" s="483"/>
      <c r="E11" s="481">
        <f>(COUNTIF('Alertas PCDS'!V:V,29))</f>
        <v>0</v>
      </c>
      <c r="F11" s="482"/>
      <c r="G11" s="483"/>
      <c r="H11" s="481">
        <f>(COUNTIF('Alertas PCDS'!V:V,33))</f>
        <v>0</v>
      </c>
      <c r="I11" s="482"/>
      <c r="J11" s="483"/>
    </row>
    <row r="12" spans="2:11" ht="15" thickBot="1" x14ac:dyDescent="0.4">
      <c r="B12" s="484"/>
      <c r="C12" s="485"/>
      <c r="D12" s="486"/>
      <c r="E12" s="484"/>
      <c r="F12" s="485"/>
      <c r="G12" s="486"/>
      <c r="H12" s="484"/>
      <c r="I12" s="485"/>
      <c r="J12" s="486"/>
    </row>
    <row r="13" spans="2:11" ht="15" thickBot="1" x14ac:dyDescent="0.4">
      <c r="E13" s="472" t="s">
        <v>35</v>
      </c>
      <c r="F13" s="473"/>
      <c r="G13" s="474"/>
      <c r="H13" s="472" t="s">
        <v>41</v>
      </c>
      <c r="I13" s="473"/>
      <c r="J13" s="474"/>
    </row>
    <row r="14" spans="2:11" x14ac:dyDescent="0.35">
      <c r="E14" s="481">
        <f>(COUNTIF('Alertas PCDS'!V:V,30))</f>
        <v>0</v>
      </c>
      <c r="F14" s="482"/>
      <c r="G14" s="483"/>
      <c r="H14" s="481">
        <f>(COUNTIF('Alertas PCDS'!V:V,34))</f>
        <v>0</v>
      </c>
      <c r="I14" s="482"/>
      <c r="J14" s="483"/>
    </row>
    <row r="15" spans="2:11" ht="15" thickBot="1" x14ac:dyDescent="0.4">
      <c r="E15" s="484"/>
      <c r="F15" s="485"/>
      <c r="G15" s="486"/>
      <c r="H15" s="484"/>
      <c r="I15" s="485"/>
      <c r="J15" s="486"/>
    </row>
    <row r="16" spans="2:11" ht="15" thickBot="1" x14ac:dyDescent="0.4">
      <c r="E16" s="472" t="s">
        <v>38</v>
      </c>
      <c r="F16" s="473"/>
      <c r="G16" s="474"/>
      <c r="H16" s="472" t="s">
        <v>42</v>
      </c>
      <c r="I16" s="473"/>
      <c r="J16" s="474"/>
    </row>
    <row r="17" spans="5:10" x14ac:dyDescent="0.35">
      <c r="E17" s="481">
        <f>(COUNTIF('Alertas PCDS'!V:V,31))</f>
        <v>0</v>
      </c>
      <c r="F17" s="482"/>
      <c r="G17" s="483"/>
      <c r="H17" s="481">
        <f>(COUNTIF('Alertas PCDS'!V:V,35))</f>
        <v>0</v>
      </c>
      <c r="I17" s="482"/>
      <c r="J17" s="483"/>
    </row>
    <row r="18" spans="5:10" ht="15" thickBot="1" x14ac:dyDescent="0.4">
      <c r="E18" s="484"/>
      <c r="F18" s="485"/>
      <c r="G18" s="486"/>
      <c r="H18" s="484"/>
      <c r="I18" s="485"/>
      <c r="J18" s="486"/>
    </row>
  </sheetData>
  <mergeCells count="24">
    <mergeCell ref="E14:G15"/>
    <mergeCell ref="E16:G16"/>
    <mergeCell ref="E17:G18"/>
    <mergeCell ref="H7:J7"/>
    <mergeCell ref="H8:J9"/>
    <mergeCell ref="H10:J10"/>
    <mergeCell ref="H11:J12"/>
    <mergeCell ref="H13:J13"/>
    <mergeCell ref="H14:J15"/>
    <mergeCell ref="H16:J16"/>
    <mergeCell ref="H17:J18"/>
    <mergeCell ref="B10:D10"/>
    <mergeCell ref="B11:D12"/>
    <mergeCell ref="E10:G10"/>
    <mergeCell ref="E11:G12"/>
    <mergeCell ref="E13:G13"/>
    <mergeCell ref="B2:J3"/>
    <mergeCell ref="B7:D7"/>
    <mergeCell ref="B4:D5"/>
    <mergeCell ref="B8:D9"/>
    <mergeCell ref="E4:G5"/>
    <mergeCell ref="H4:J5"/>
    <mergeCell ref="E7:G7"/>
    <mergeCell ref="E8:G9"/>
  </mergeCells>
  <conditionalFormatting sqref="A1:XFD1 A4:XFD1048576 A2:B2 A3 L2:XFD3">
    <cfRule type="iconSet" priority="1">
      <iconSet iconSet="3Symbols">
        <cfvo type="percent" val="0"/>
        <cfvo type="num" val="2"/>
        <cfvo type="num" val="3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A269-0C06-4681-A976-D9BE93C32A33}">
  <dimension ref="C3:M11"/>
  <sheetViews>
    <sheetView showGridLines="0" zoomScale="90" zoomScaleNormal="90" workbookViewId="0">
      <selection activeCell="F11" sqref="F11:G11"/>
    </sheetView>
  </sheetViews>
  <sheetFormatPr defaultRowHeight="14.5" x14ac:dyDescent="0.35"/>
  <cols>
    <col min="3" max="3" width="13.26953125" customWidth="1"/>
  </cols>
  <sheetData>
    <row r="3" spans="3:13" ht="15" customHeight="1" x14ac:dyDescent="0.35">
      <c r="C3" s="470" t="s">
        <v>19</v>
      </c>
      <c r="D3" s="470"/>
      <c r="E3" s="470"/>
      <c r="F3" s="470"/>
      <c r="G3" s="470"/>
      <c r="H3" s="470"/>
      <c r="I3" s="470"/>
      <c r="J3" s="470"/>
      <c r="K3" s="470"/>
      <c r="L3" s="16"/>
      <c r="M3" s="16"/>
    </row>
    <row r="4" spans="3:13" ht="15" customHeight="1" x14ac:dyDescent="0.35">
      <c r="C4" s="470"/>
      <c r="D4" s="470"/>
      <c r="E4" s="470"/>
      <c r="F4" s="470"/>
      <c r="G4" s="470"/>
      <c r="H4" s="470"/>
      <c r="I4" s="470"/>
      <c r="J4" s="470"/>
      <c r="K4" s="470"/>
      <c r="L4" s="16"/>
      <c r="M4" s="16"/>
    </row>
    <row r="5" spans="3:13" ht="15" customHeight="1" x14ac:dyDescent="0.35">
      <c r="C5" s="470"/>
      <c r="D5" s="470"/>
      <c r="E5" s="470"/>
      <c r="F5" s="470"/>
      <c r="G5" s="470"/>
      <c r="H5" s="470"/>
      <c r="I5" s="470"/>
      <c r="J5" s="470"/>
      <c r="K5" s="470"/>
      <c r="L5" s="16"/>
      <c r="M5" s="16"/>
    </row>
    <row r="10" spans="3:13" ht="15.5" x14ac:dyDescent="0.35">
      <c r="C10" s="14" t="s">
        <v>22</v>
      </c>
      <c r="D10" s="488" t="s">
        <v>23</v>
      </c>
      <c r="E10" s="489"/>
      <c r="F10" s="490" t="s">
        <v>24</v>
      </c>
      <c r="G10" s="489"/>
      <c r="H10" s="490" t="s">
        <v>25</v>
      </c>
      <c r="I10" s="489"/>
      <c r="J10" s="490" t="s">
        <v>26</v>
      </c>
      <c r="K10" s="490"/>
    </row>
    <row r="11" spans="3:13" ht="15.5" x14ac:dyDescent="0.35">
      <c r="C11" s="15" t="s">
        <v>20</v>
      </c>
      <c r="D11" s="487">
        <f>COUNTIF('Alertas PCDS'!AB:AB,6)</f>
        <v>0</v>
      </c>
      <c r="E11" s="487"/>
      <c r="F11" s="487">
        <f>COUNTIF('Alertas PCDS'!AB:AB,7)</f>
        <v>0</v>
      </c>
      <c r="G11" s="487"/>
      <c r="H11" s="487">
        <f>COUNTIF('Alertas PCDS'!AB:AB,8)</f>
        <v>0</v>
      </c>
      <c r="I11" s="487"/>
      <c r="J11" s="487">
        <f>COUNTIF('Alertas PCDS'!AB:AB,8)</f>
        <v>0</v>
      </c>
      <c r="K11" s="487"/>
    </row>
  </sheetData>
  <mergeCells count="9">
    <mergeCell ref="C3:K5"/>
    <mergeCell ref="D11:E11"/>
    <mergeCell ref="F11:G11"/>
    <mergeCell ref="H11:I11"/>
    <mergeCell ref="J11:K11"/>
    <mergeCell ref="D10:E10"/>
    <mergeCell ref="F10:G10"/>
    <mergeCell ref="H10:I10"/>
    <mergeCell ref="J10:K10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showGridLines="0" workbookViewId="0">
      <selection activeCell="J16" sqref="J16"/>
    </sheetView>
  </sheetViews>
  <sheetFormatPr defaultRowHeight="14.5" x14ac:dyDescent="0.35"/>
  <cols>
    <col min="1" max="1" width="12.81640625" customWidth="1"/>
    <col min="2" max="2" width="12" customWidth="1"/>
    <col min="3" max="3" width="14.453125" customWidth="1"/>
    <col min="4" max="4" width="12" customWidth="1"/>
    <col min="6" max="6" width="11.1796875" customWidth="1"/>
  </cols>
  <sheetData>
    <row r="1" spans="1:7" s="2" customFormat="1" ht="34.5" customHeight="1" x14ac:dyDescent="0.35">
      <c r="B1" s="5"/>
      <c r="C1" s="4"/>
      <c r="D1" s="4"/>
      <c r="E1" s="4"/>
      <c r="F1" s="4"/>
      <c r="G1" s="4"/>
    </row>
    <row r="2" spans="1:7" s="2" customFormat="1" ht="34.5" customHeight="1" x14ac:dyDescent="0.35">
      <c r="B2" s="491" t="s">
        <v>27</v>
      </c>
      <c r="C2" s="491"/>
      <c r="D2" s="491"/>
      <c r="E2" s="491"/>
      <c r="F2" s="491"/>
      <c r="G2" s="491"/>
    </row>
    <row r="3" spans="1:7" x14ac:dyDescent="0.35">
      <c r="B3" s="3"/>
      <c r="C3" s="3"/>
      <c r="D3" s="3"/>
      <c r="E3" s="3"/>
      <c r="F3" s="3"/>
      <c r="G3" s="3"/>
    </row>
    <row r="4" spans="1:7" ht="15.5" x14ac:dyDescent="0.35">
      <c r="A4" s="493" t="s">
        <v>14</v>
      </c>
      <c r="B4" s="493"/>
      <c r="C4" s="493" t="s">
        <v>18</v>
      </c>
      <c r="D4" s="493"/>
    </row>
    <row r="5" spans="1:7" x14ac:dyDescent="0.35">
      <c r="A5" s="492" t="s">
        <v>15</v>
      </c>
      <c r="B5" s="492"/>
      <c r="C5" s="492">
        <f>COUNTIF('Alertas PCDS'!X:X,"Baixa")</f>
        <v>0</v>
      </c>
      <c r="D5" s="492"/>
    </row>
    <row r="6" spans="1:7" x14ac:dyDescent="0.35">
      <c r="A6" s="492" t="s">
        <v>16</v>
      </c>
      <c r="B6" s="492"/>
      <c r="C6" s="492">
        <f>COUNTIF('Alertas PCDS'!X:X,"Média")</f>
        <v>0</v>
      </c>
      <c r="D6" s="492"/>
    </row>
    <row r="7" spans="1:7" x14ac:dyDescent="0.35">
      <c r="A7" s="492" t="s">
        <v>17</v>
      </c>
      <c r="B7" s="492"/>
      <c r="C7" s="492">
        <f>COUNTIF('Alertas PCDS'!X:X,"Alta")</f>
        <v>0</v>
      </c>
      <c r="D7" s="492"/>
    </row>
    <row r="10" spans="1:7" x14ac:dyDescent="0.35">
      <c r="B10" s="6"/>
    </row>
    <row r="11" spans="1:7" x14ac:dyDescent="0.35">
      <c r="B11" s="6"/>
    </row>
    <row r="12" spans="1:7" x14ac:dyDescent="0.35">
      <c r="B12" s="3"/>
    </row>
  </sheetData>
  <mergeCells count="9">
    <mergeCell ref="B2:G2"/>
    <mergeCell ref="A5:B5"/>
    <mergeCell ref="A6:B6"/>
    <mergeCell ref="A7:B7"/>
    <mergeCell ref="C5:D5"/>
    <mergeCell ref="C6:D6"/>
    <mergeCell ref="C7:D7"/>
    <mergeCell ref="A4:B4"/>
    <mergeCell ref="C4:D4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E6C4-A750-4DD7-8D46-B370DA0DC07B}">
  <dimension ref="B3:L11"/>
  <sheetViews>
    <sheetView showGridLines="0" workbookViewId="0">
      <selection activeCell="K21" sqref="K21"/>
    </sheetView>
  </sheetViews>
  <sheetFormatPr defaultRowHeight="14.5" x14ac:dyDescent="0.35"/>
  <sheetData>
    <row r="3" spans="2:12" x14ac:dyDescent="0.35">
      <c r="B3" s="470" t="s">
        <v>28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</row>
    <row r="4" spans="2:12" x14ac:dyDescent="0.35"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70"/>
    </row>
    <row r="5" spans="2:12" x14ac:dyDescent="0.35">
      <c r="B5" s="470"/>
      <c r="C5" s="470"/>
      <c r="D5" s="470"/>
      <c r="E5" s="470"/>
      <c r="F5" s="470"/>
      <c r="G5" s="470"/>
      <c r="H5" s="470"/>
      <c r="I5" s="470"/>
      <c r="J5" s="470"/>
      <c r="K5" s="470"/>
      <c r="L5" s="470"/>
    </row>
    <row r="7" spans="2:12" ht="15" thickBot="1" x14ac:dyDescent="0.4"/>
    <row r="8" spans="2:12" x14ac:dyDescent="0.35">
      <c r="C8" s="494" t="s">
        <v>29</v>
      </c>
      <c r="D8" s="494"/>
      <c r="E8" s="494"/>
      <c r="F8" s="494" t="s">
        <v>28</v>
      </c>
      <c r="G8" s="494"/>
      <c r="H8" s="494"/>
      <c r="I8" s="496" t="s">
        <v>30</v>
      </c>
      <c r="J8" s="497"/>
      <c r="K8" s="498"/>
    </row>
    <row r="9" spans="2:12" x14ac:dyDescent="0.35">
      <c r="C9" s="494"/>
      <c r="D9" s="494"/>
      <c r="E9" s="494"/>
      <c r="F9" s="494"/>
      <c r="G9" s="494"/>
      <c r="H9" s="494"/>
      <c r="I9" s="499"/>
      <c r="J9" s="500"/>
      <c r="K9" s="501"/>
    </row>
    <row r="10" spans="2:12" x14ac:dyDescent="0.35">
      <c r="C10" s="495">
        <f>COUNTA('Alertas PCDS'!A:A)</f>
        <v>181</v>
      </c>
      <c r="D10" s="495"/>
      <c r="E10" s="495"/>
      <c r="F10" s="495">
        <f>COUNTIF('Alertas PCDS'!S:S,"Sim")</f>
        <v>0</v>
      </c>
      <c r="G10" s="495"/>
      <c r="H10" s="495"/>
      <c r="I10" s="502">
        <f>F10/C10</f>
        <v>0</v>
      </c>
      <c r="J10" s="503"/>
      <c r="K10" s="504"/>
    </row>
    <row r="11" spans="2:12" ht="15" thickBot="1" x14ac:dyDescent="0.4">
      <c r="C11" s="495"/>
      <c r="D11" s="495"/>
      <c r="E11" s="495"/>
      <c r="F11" s="495"/>
      <c r="G11" s="495"/>
      <c r="H11" s="495"/>
      <c r="I11" s="505"/>
      <c r="J11" s="506"/>
      <c r="K11" s="507"/>
    </row>
  </sheetData>
  <mergeCells count="7">
    <mergeCell ref="B3:L5"/>
    <mergeCell ref="C8:E9"/>
    <mergeCell ref="F8:H9"/>
    <mergeCell ref="F10:H11"/>
    <mergeCell ref="C10:E11"/>
    <mergeCell ref="I8:K9"/>
    <mergeCell ref="I10:K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E8FD-4ABF-4BCF-B654-4009B19B01CA}">
  <dimension ref="C4:E11"/>
  <sheetViews>
    <sheetView workbookViewId="0">
      <selection activeCell="C5" sqref="C5"/>
    </sheetView>
  </sheetViews>
  <sheetFormatPr defaultRowHeight="14.5" x14ac:dyDescent="0.35"/>
  <cols>
    <col min="3" max="3" width="10.81640625" style="59" customWidth="1"/>
    <col min="4" max="4" width="39.1796875" style="59" customWidth="1"/>
    <col min="5" max="5" width="12.7265625" style="60" customWidth="1"/>
  </cols>
  <sheetData>
    <row r="4" spans="3:5" x14ac:dyDescent="0.35">
      <c r="C4" s="61" t="s">
        <v>194</v>
      </c>
      <c r="D4" s="62" t="s">
        <v>195</v>
      </c>
      <c r="E4" s="63" t="s">
        <v>196</v>
      </c>
    </row>
    <row r="5" spans="3:5" x14ac:dyDescent="0.35">
      <c r="C5" s="59">
        <v>1</v>
      </c>
      <c r="D5" s="59" t="s">
        <v>197</v>
      </c>
      <c r="E5" s="60">
        <v>0.33333333333333331</v>
      </c>
    </row>
    <row r="6" spans="3:5" x14ac:dyDescent="0.35">
      <c r="C6" s="59">
        <v>1</v>
      </c>
      <c r="D6" s="59" t="s">
        <v>198</v>
      </c>
      <c r="E6" s="60">
        <v>0.3347222222222222</v>
      </c>
    </row>
    <row r="7" spans="3:5" x14ac:dyDescent="0.35">
      <c r="C7" s="59">
        <v>1</v>
      </c>
      <c r="D7" s="59" t="s">
        <v>199</v>
      </c>
      <c r="E7" s="60">
        <v>0.34027777777777773</v>
      </c>
    </row>
    <row r="8" spans="3:5" x14ac:dyDescent="0.35">
      <c r="C8" s="59">
        <v>1</v>
      </c>
      <c r="D8" s="59" t="s">
        <v>200</v>
      </c>
      <c r="E8" s="60">
        <v>0.35416666666666669</v>
      </c>
    </row>
    <row r="9" spans="3:5" x14ac:dyDescent="0.35">
      <c r="C9" s="59">
        <v>2</v>
      </c>
      <c r="D9" s="59" t="s">
        <v>201</v>
      </c>
      <c r="E9" s="60">
        <v>0.375</v>
      </c>
    </row>
    <row r="10" spans="3:5" x14ac:dyDescent="0.35">
      <c r="C10" s="59">
        <v>1</v>
      </c>
      <c r="D10" s="59" t="s">
        <v>202</v>
      </c>
      <c r="E10" s="60">
        <v>0.58333333333333337</v>
      </c>
    </row>
    <row r="11" spans="3:5" x14ac:dyDescent="0.35">
      <c r="C11" s="59">
        <v>2</v>
      </c>
      <c r="D11" s="59" t="s">
        <v>203</v>
      </c>
      <c r="E11" s="60">
        <v>0.33333333333333331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CC33-B947-463A-A279-CD41FFB7D937}">
  <dimension ref="A1:AB49"/>
  <sheetViews>
    <sheetView showGridLines="0" zoomScale="90" zoomScaleNormal="90" workbookViewId="0">
      <selection activeCell="L9" sqref="L9"/>
    </sheetView>
  </sheetViews>
  <sheetFormatPr defaultRowHeight="14.5" x14ac:dyDescent="0.35"/>
  <cols>
    <col min="1" max="1" width="30.81640625" bestFit="1" customWidth="1"/>
    <col min="2" max="2" width="10.36328125" bestFit="1" customWidth="1"/>
    <col min="3" max="3" width="3.90625" bestFit="1" customWidth="1"/>
    <col min="4" max="4" width="10.26953125" bestFit="1" customWidth="1"/>
    <col min="6" max="6" width="16.7265625" customWidth="1"/>
    <col min="7" max="7" width="10.36328125" bestFit="1" customWidth="1"/>
    <col min="8" max="8" width="3.90625" bestFit="1" customWidth="1"/>
    <col min="9" max="10" width="16.81640625" bestFit="1" customWidth="1"/>
    <col min="11" max="11" width="10.36328125" bestFit="1" customWidth="1"/>
    <col min="12" max="12" width="3.90625" bestFit="1" customWidth="1"/>
    <col min="13" max="14" width="10.26953125" bestFit="1" customWidth="1"/>
  </cols>
  <sheetData>
    <row r="1" spans="1:28" s="10" customFormat="1" ht="46" customHeight="1" x14ac:dyDescent="0.35">
      <c r="A1" s="372" t="s">
        <v>699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9"/>
      <c r="N1"/>
      <c r="O1"/>
      <c r="P1"/>
      <c r="Q1"/>
      <c r="R1"/>
      <c r="S1"/>
      <c r="T1" s="6"/>
      <c r="U1"/>
      <c r="V1"/>
      <c r="W1"/>
    </row>
    <row r="2" spans="1:28" s="10" customFormat="1" ht="4" customHeight="1" x14ac:dyDescent="0.35">
      <c r="A2" s="128"/>
      <c r="B2" s="308"/>
      <c r="C2" s="211"/>
      <c r="D2" s="129"/>
      <c r="E2" s="130"/>
      <c r="F2" s="130"/>
      <c r="G2" s="130"/>
      <c r="H2" s="130"/>
      <c r="I2" s="130"/>
      <c r="J2" s="130"/>
      <c r="K2" s="130"/>
      <c r="L2" s="128"/>
      <c r="M2" s="131"/>
      <c r="N2" s="128"/>
      <c r="O2" s="128"/>
      <c r="P2" s="128"/>
      <c r="Q2" s="128"/>
      <c r="R2" s="128"/>
      <c r="S2" s="128"/>
      <c r="T2" s="132"/>
      <c r="U2" s="128"/>
      <c r="V2" s="128"/>
      <c r="W2" s="128"/>
      <c r="X2" s="128"/>
      <c r="Y2" s="128"/>
      <c r="Z2" s="128"/>
      <c r="AA2" s="128"/>
      <c r="AB2" s="128"/>
    </row>
    <row r="3" spans="1:28" s="10" customFormat="1" ht="4" customHeight="1" x14ac:dyDescent="0.35">
      <c r="A3" s="133"/>
      <c r="B3" s="309"/>
      <c r="C3" s="212"/>
      <c r="D3" s="134"/>
      <c r="E3" s="135"/>
      <c r="F3" s="135"/>
      <c r="G3" s="135"/>
      <c r="H3" s="135"/>
      <c r="I3" s="135"/>
      <c r="J3" s="135"/>
      <c r="K3" s="135"/>
      <c r="L3" s="133"/>
      <c r="M3" s="136"/>
      <c r="N3" s="133"/>
      <c r="O3" s="133"/>
      <c r="P3" s="133"/>
      <c r="Q3" s="133"/>
      <c r="R3" s="133"/>
      <c r="S3" s="133"/>
      <c r="T3" s="137"/>
      <c r="U3" s="133"/>
      <c r="V3" s="133"/>
      <c r="W3" s="133"/>
      <c r="X3" s="133"/>
      <c r="Y3" s="133"/>
      <c r="Z3" s="133"/>
      <c r="AA3" s="133"/>
      <c r="AB3" s="133"/>
    </row>
    <row r="5" spans="1:28" ht="29" x14ac:dyDescent="0.35">
      <c r="J5" s="311" t="s">
        <v>700</v>
      </c>
      <c r="K5" s="310" t="s">
        <v>701</v>
      </c>
    </row>
    <row r="6" spans="1:28" x14ac:dyDescent="0.35">
      <c r="J6" s="153" t="s">
        <v>328</v>
      </c>
      <c r="K6" s="59" t="s">
        <v>7</v>
      </c>
      <c r="L6" s="59" t="s">
        <v>12</v>
      </c>
      <c r="M6" s="59" t="s">
        <v>350</v>
      </c>
    </row>
    <row r="7" spans="1:28" x14ac:dyDescent="0.35">
      <c r="J7" s="154">
        <v>2</v>
      </c>
      <c r="K7" s="59">
        <v>4</v>
      </c>
      <c r="L7" s="59"/>
      <c r="M7" s="59">
        <v>4</v>
      </c>
    </row>
    <row r="8" spans="1:28" x14ac:dyDescent="0.35">
      <c r="J8" s="154">
        <v>4</v>
      </c>
      <c r="K8" s="59"/>
      <c r="L8" s="59">
        <v>1</v>
      </c>
      <c r="M8" s="59">
        <v>1</v>
      </c>
    </row>
    <row r="9" spans="1:28" x14ac:dyDescent="0.35">
      <c r="J9" s="154">
        <v>5</v>
      </c>
      <c r="K9" s="59">
        <v>1</v>
      </c>
      <c r="L9" s="59"/>
      <c r="M9" s="59">
        <v>1</v>
      </c>
    </row>
    <row r="10" spans="1:28" x14ac:dyDescent="0.35">
      <c r="J10" s="154">
        <v>6</v>
      </c>
      <c r="K10" s="59">
        <v>2</v>
      </c>
      <c r="L10" s="59"/>
      <c r="M10" s="59">
        <v>2</v>
      </c>
    </row>
    <row r="11" spans="1:28" x14ac:dyDescent="0.35">
      <c r="J11" s="154">
        <v>7</v>
      </c>
      <c r="K11" s="59">
        <v>1</v>
      </c>
      <c r="L11" s="59"/>
      <c r="M11" s="59">
        <v>1</v>
      </c>
    </row>
    <row r="12" spans="1:28" x14ac:dyDescent="0.35">
      <c r="J12" s="154">
        <v>9</v>
      </c>
      <c r="K12" s="59">
        <v>1</v>
      </c>
      <c r="L12" s="59"/>
      <c r="M12" s="59">
        <v>1</v>
      </c>
    </row>
    <row r="13" spans="1:28" x14ac:dyDescent="0.35">
      <c r="J13" s="154">
        <v>10</v>
      </c>
      <c r="K13" s="59">
        <v>1</v>
      </c>
      <c r="L13" s="59"/>
      <c r="M13" s="59">
        <v>1</v>
      </c>
    </row>
    <row r="14" spans="1:28" x14ac:dyDescent="0.35">
      <c r="J14" s="154">
        <v>11</v>
      </c>
      <c r="K14" s="59">
        <v>3</v>
      </c>
      <c r="L14" s="59">
        <v>4</v>
      </c>
      <c r="M14" s="59">
        <v>7</v>
      </c>
    </row>
    <row r="15" spans="1:28" x14ac:dyDescent="0.35">
      <c r="J15" s="154">
        <v>13</v>
      </c>
      <c r="K15" s="59">
        <v>2</v>
      </c>
      <c r="L15" s="59"/>
      <c r="M15" s="59">
        <v>2</v>
      </c>
    </row>
    <row r="16" spans="1:28" x14ac:dyDescent="0.35">
      <c r="J16" s="154">
        <v>14</v>
      </c>
      <c r="K16" s="59">
        <v>3</v>
      </c>
      <c r="L16" s="59"/>
      <c r="M16" s="59">
        <v>3</v>
      </c>
    </row>
    <row r="17" spans="10:13" x14ac:dyDescent="0.35">
      <c r="J17" s="154">
        <v>18</v>
      </c>
      <c r="K17" s="59">
        <v>2</v>
      </c>
      <c r="L17" s="59">
        <v>1</v>
      </c>
      <c r="M17" s="59">
        <v>3</v>
      </c>
    </row>
    <row r="18" spans="10:13" x14ac:dyDescent="0.35">
      <c r="J18" s="154">
        <v>19</v>
      </c>
      <c r="K18" s="59">
        <v>2</v>
      </c>
      <c r="L18" s="59"/>
      <c r="M18" s="59">
        <v>2</v>
      </c>
    </row>
    <row r="19" spans="10:13" x14ac:dyDescent="0.35">
      <c r="J19" s="154">
        <v>20</v>
      </c>
      <c r="K19" s="59">
        <v>12</v>
      </c>
      <c r="L19" s="59"/>
      <c r="M19" s="59">
        <v>12</v>
      </c>
    </row>
    <row r="20" spans="10:13" x14ac:dyDescent="0.35">
      <c r="J20" s="154">
        <v>21</v>
      </c>
      <c r="K20" s="59">
        <v>2</v>
      </c>
      <c r="L20" s="59"/>
      <c r="M20" s="59">
        <v>2</v>
      </c>
    </row>
    <row r="21" spans="10:13" x14ac:dyDescent="0.35">
      <c r="J21" s="154">
        <v>23</v>
      </c>
      <c r="K21" s="59">
        <v>2</v>
      </c>
      <c r="L21" s="59"/>
      <c r="M21" s="59">
        <v>2</v>
      </c>
    </row>
    <row r="22" spans="10:13" x14ac:dyDescent="0.35">
      <c r="J22" s="154">
        <v>24</v>
      </c>
      <c r="K22" s="59"/>
      <c r="L22" s="59">
        <v>7</v>
      </c>
      <c r="M22" s="59">
        <v>7</v>
      </c>
    </row>
    <row r="23" spans="10:13" x14ac:dyDescent="0.35">
      <c r="J23" s="154">
        <v>26</v>
      </c>
      <c r="K23" s="59"/>
      <c r="L23" s="59">
        <v>3</v>
      </c>
      <c r="M23" s="59">
        <v>3</v>
      </c>
    </row>
    <row r="24" spans="10:13" x14ac:dyDescent="0.35">
      <c r="J24" s="154">
        <v>27</v>
      </c>
      <c r="K24" s="59">
        <v>2</v>
      </c>
      <c r="L24" s="59"/>
      <c r="M24" s="59">
        <v>2</v>
      </c>
    </row>
    <row r="25" spans="10:13" x14ac:dyDescent="0.35">
      <c r="J25" s="154">
        <v>29</v>
      </c>
      <c r="K25" s="59"/>
      <c r="L25" s="59">
        <v>3</v>
      </c>
      <c r="M25" s="59">
        <v>3</v>
      </c>
    </row>
    <row r="26" spans="10:13" x14ac:dyDescent="0.35">
      <c r="J26" s="154">
        <v>30</v>
      </c>
      <c r="K26" s="59">
        <v>2</v>
      </c>
      <c r="L26" s="59"/>
      <c r="M26" s="59">
        <v>2</v>
      </c>
    </row>
    <row r="27" spans="10:13" x14ac:dyDescent="0.35">
      <c r="J27" s="154">
        <v>31</v>
      </c>
      <c r="K27" s="59">
        <v>2</v>
      </c>
      <c r="L27" s="59"/>
      <c r="M27" s="59">
        <v>2</v>
      </c>
    </row>
    <row r="28" spans="10:13" x14ac:dyDescent="0.35">
      <c r="J28" s="154">
        <v>32</v>
      </c>
      <c r="K28" s="59">
        <v>1</v>
      </c>
      <c r="L28" s="59"/>
      <c r="M28" s="59">
        <v>1</v>
      </c>
    </row>
    <row r="29" spans="10:13" x14ac:dyDescent="0.35">
      <c r="J29" s="154">
        <v>33</v>
      </c>
      <c r="K29" s="59">
        <v>3</v>
      </c>
      <c r="L29" s="59"/>
      <c r="M29" s="59">
        <v>3</v>
      </c>
    </row>
    <row r="30" spans="10:13" x14ac:dyDescent="0.35">
      <c r="J30" s="154">
        <v>34</v>
      </c>
      <c r="K30" s="59">
        <v>5</v>
      </c>
      <c r="L30" s="59">
        <v>1</v>
      </c>
      <c r="M30" s="59">
        <v>6</v>
      </c>
    </row>
    <row r="31" spans="10:13" x14ac:dyDescent="0.35">
      <c r="J31" s="154">
        <v>36</v>
      </c>
      <c r="K31" s="59">
        <v>3</v>
      </c>
      <c r="L31" s="59"/>
      <c r="M31" s="59">
        <v>3</v>
      </c>
    </row>
    <row r="32" spans="10:13" x14ac:dyDescent="0.35">
      <c r="J32" s="154">
        <v>38</v>
      </c>
      <c r="K32" s="59">
        <v>6</v>
      </c>
      <c r="L32" s="59">
        <v>1</v>
      </c>
      <c r="M32" s="59">
        <v>7</v>
      </c>
    </row>
    <row r="33" spans="10:13" x14ac:dyDescent="0.35">
      <c r="J33" s="154">
        <v>40</v>
      </c>
      <c r="K33" s="59">
        <v>2</v>
      </c>
      <c r="L33" s="59"/>
      <c r="M33" s="59">
        <v>2</v>
      </c>
    </row>
    <row r="34" spans="10:13" x14ac:dyDescent="0.35">
      <c r="J34" s="154">
        <v>41</v>
      </c>
      <c r="K34" s="59">
        <v>1</v>
      </c>
      <c r="L34" s="59"/>
      <c r="M34" s="59">
        <v>1</v>
      </c>
    </row>
    <row r="35" spans="10:13" x14ac:dyDescent="0.35">
      <c r="J35" s="154">
        <v>42</v>
      </c>
      <c r="K35" s="59">
        <v>4</v>
      </c>
      <c r="L35" s="59"/>
      <c r="M35" s="59">
        <v>4</v>
      </c>
    </row>
    <row r="36" spans="10:13" x14ac:dyDescent="0.35">
      <c r="J36" s="154">
        <v>43</v>
      </c>
      <c r="K36" s="59"/>
      <c r="L36" s="59">
        <v>3</v>
      </c>
      <c r="M36" s="59">
        <v>3</v>
      </c>
    </row>
    <row r="37" spans="10:13" x14ac:dyDescent="0.35">
      <c r="J37" s="154">
        <v>45</v>
      </c>
      <c r="K37" s="59">
        <v>4</v>
      </c>
      <c r="L37" s="59">
        <v>2</v>
      </c>
      <c r="M37" s="59">
        <v>6</v>
      </c>
    </row>
    <row r="38" spans="10:13" x14ac:dyDescent="0.35">
      <c r="J38" s="154">
        <v>46</v>
      </c>
      <c r="K38" s="59">
        <v>2</v>
      </c>
      <c r="L38" s="59"/>
      <c r="M38" s="59">
        <v>2</v>
      </c>
    </row>
    <row r="39" spans="10:13" x14ac:dyDescent="0.35">
      <c r="J39" s="154">
        <v>48</v>
      </c>
      <c r="K39" s="59">
        <v>1</v>
      </c>
      <c r="L39" s="59"/>
      <c r="M39" s="59">
        <v>1</v>
      </c>
    </row>
    <row r="40" spans="10:13" x14ac:dyDescent="0.35">
      <c r="J40" s="154">
        <v>50</v>
      </c>
      <c r="K40" s="59"/>
      <c r="L40" s="59">
        <v>1</v>
      </c>
      <c r="M40" s="59">
        <v>1</v>
      </c>
    </row>
    <row r="41" spans="10:13" x14ac:dyDescent="0.35">
      <c r="J41" s="154">
        <v>53</v>
      </c>
      <c r="K41" s="59"/>
      <c r="L41" s="59">
        <v>4</v>
      </c>
      <c r="M41" s="59">
        <v>4</v>
      </c>
    </row>
    <row r="42" spans="10:13" x14ac:dyDescent="0.35">
      <c r="J42" s="154">
        <v>55</v>
      </c>
      <c r="K42" s="59">
        <v>1</v>
      </c>
      <c r="L42" s="59"/>
      <c r="M42" s="59">
        <v>1</v>
      </c>
    </row>
    <row r="43" spans="10:13" x14ac:dyDescent="0.35">
      <c r="J43" s="154">
        <v>57</v>
      </c>
      <c r="K43" s="59">
        <v>3</v>
      </c>
      <c r="L43" s="59"/>
      <c r="M43" s="59">
        <v>3</v>
      </c>
    </row>
    <row r="44" spans="10:13" x14ac:dyDescent="0.35">
      <c r="J44" s="154">
        <v>59</v>
      </c>
      <c r="K44" s="59">
        <v>9</v>
      </c>
      <c r="L44" s="59"/>
      <c r="M44" s="59">
        <v>9</v>
      </c>
    </row>
    <row r="45" spans="10:13" x14ac:dyDescent="0.35">
      <c r="J45" s="154">
        <v>60</v>
      </c>
      <c r="K45" s="59">
        <v>6</v>
      </c>
      <c r="L45" s="59">
        <v>8</v>
      </c>
      <c r="M45" s="59">
        <v>14</v>
      </c>
    </row>
    <row r="46" spans="10:13" x14ac:dyDescent="0.35">
      <c r="J46" s="154" t="s">
        <v>225</v>
      </c>
      <c r="K46" s="59">
        <v>40</v>
      </c>
      <c r="L46" s="59">
        <v>1</v>
      </c>
      <c r="M46" s="59">
        <v>41</v>
      </c>
    </row>
    <row r="47" spans="10:13" x14ac:dyDescent="0.35">
      <c r="J47" s="154">
        <v>12</v>
      </c>
      <c r="K47" s="59">
        <v>1</v>
      </c>
      <c r="L47" s="59"/>
      <c r="M47" s="59">
        <v>1</v>
      </c>
    </row>
    <row r="48" spans="10:13" x14ac:dyDescent="0.35">
      <c r="J48" s="209" t="s">
        <v>7</v>
      </c>
      <c r="K48" s="59">
        <v>1</v>
      </c>
      <c r="L48" s="59"/>
      <c r="M48" s="59">
        <v>1</v>
      </c>
    </row>
    <row r="49" spans="10:13" x14ac:dyDescent="0.35">
      <c r="J49" s="154" t="s">
        <v>350</v>
      </c>
      <c r="K49" s="59">
        <v>136</v>
      </c>
      <c r="L49" s="59">
        <v>40</v>
      </c>
      <c r="M49" s="59">
        <v>176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E7C0-6092-4B6B-BF88-A723DD3FA745}">
  <dimension ref="A1:P53"/>
  <sheetViews>
    <sheetView showGridLines="0" topLeftCell="A43" zoomScale="70" zoomScaleNormal="70" workbookViewId="0">
      <selection activeCell="Q4" sqref="Q4"/>
    </sheetView>
  </sheetViews>
  <sheetFormatPr defaultRowHeight="14.5" x14ac:dyDescent="0.35"/>
  <cols>
    <col min="1" max="1" width="17.6328125" bestFit="1" customWidth="1"/>
    <col min="2" max="13" width="7.1796875" customWidth="1"/>
    <col min="14" max="14" width="3.6328125" customWidth="1"/>
    <col min="16" max="17" width="8.7265625" customWidth="1"/>
  </cols>
  <sheetData>
    <row r="1" spans="1:16" ht="14.5" customHeight="1" x14ac:dyDescent="0.35">
      <c r="A1" s="373" t="s">
        <v>546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</row>
    <row r="2" spans="1:16" ht="14.5" customHeight="1" x14ac:dyDescent="0.3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</row>
    <row r="3" spans="1:16" ht="14.5" customHeight="1" x14ac:dyDescent="0.35">
      <c r="A3" s="373"/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</row>
    <row r="4" spans="1:16" ht="25" customHeight="1" x14ac:dyDescent="0.35">
      <c r="A4" s="376" t="s">
        <v>590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</row>
    <row r="5" spans="1:16" ht="6" customHeight="1" x14ac:dyDescent="0.35">
      <c r="A5" s="379"/>
      <c r="B5" s="379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</row>
    <row r="6" spans="1:16" ht="6" customHeight="1" x14ac:dyDescent="0.45">
      <c r="A6" s="273"/>
      <c r="B6" s="273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5"/>
    </row>
    <row r="7" spans="1:16" ht="14" customHeight="1" x14ac:dyDescent="0.35">
      <c r="A7" s="374" t="s">
        <v>547</v>
      </c>
      <c r="B7" s="374"/>
      <c r="C7" s="374"/>
      <c r="D7" s="374"/>
      <c r="E7" s="374"/>
      <c r="F7" s="374"/>
      <c r="G7" s="374"/>
      <c r="H7" s="374"/>
      <c r="I7" s="374"/>
      <c r="J7" s="374"/>
      <c r="K7" s="374"/>
      <c r="L7" s="374"/>
      <c r="M7" s="374"/>
      <c r="N7" s="374"/>
      <c r="O7" s="374"/>
      <c r="P7" s="374"/>
    </row>
    <row r="8" spans="1:16" ht="14.5" customHeight="1" x14ac:dyDescent="0.35">
      <c r="A8" s="374"/>
      <c r="B8" s="374"/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</row>
    <row r="9" spans="1:16" ht="6" customHeight="1" x14ac:dyDescent="0.45">
      <c r="A9" s="273"/>
      <c r="B9" s="273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5"/>
    </row>
    <row r="10" spans="1:16" ht="6" customHeight="1" x14ac:dyDescent="0.45">
      <c r="A10" s="272"/>
      <c r="B10" s="272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380"/>
      <c r="N10" s="380"/>
      <c r="O10" s="380"/>
      <c r="P10" s="380"/>
    </row>
    <row r="11" spans="1:16" ht="6" customHeight="1" x14ac:dyDescent="0.35">
      <c r="A11" s="275"/>
      <c r="B11" s="277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7"/>
    </row>
    <row r="12" spans="1:16" ht="6" customHeight="1" x14ac:dyDescent="0.35">
      <c r="A12" s="275"/>
      <c r="B12" s="277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7"/>
    </row>
    <row r="13" spans="1:16" ht="18" x14ac:dyDescent="0.35">
      <c r="A13" s="275"/>
      <c r="B13" s="277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7"/>
    </row>
    <row r="14" spans="1:16" ht="18" x14ac:dyDescent="0.35">
      <c r="A14" s="275"/>
      <c r="B14" s="277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8"/>
      <c r="N14" s="278"/>
      <c r="O14" s="277"/>
    </row>
    <row r="15" spans="1:16" ht="18" x14ac:dyDescent="0.35">
      <c r="A15" s="275"/>
      <c r="B15" s="277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78"/>
      <c r="O15" s="277"/>
    </row>
    <row r="16" spans="1:16" ht="18" x14ac:dyDescent="0.35">
      <c r="A16" s="275"/>
      <c r="B16" s="277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8"/>
      <c r="N16" s="278"/>
      <c r="O16" s="277"/>
    </row>
    <row r="17" spans="1:16" ht="18" x14ac:dyDescent="0.35">
      <c r="A17" s="275"/>
      <c r="B17" s="277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8"/>
      <c r="N17" s="278"/>
      <c r="O17" s="277"/>
    </row>
    <row r="18" spans="1:16" ht="18" x14ac:dyDescent="0.35">
      <c r="A18" s="275"/>
      <c r="B18" s="277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7"/>
    </row>
    <row r="19" spans="1:16" ht="18" x14ac:dyDescent="0.35">
      <c r="A19" s="275"/>
      <c r="B19" s="277"/>
      <c r="C19" s="278"/>
      <c r="D19" s="278"/>
      <c r="E19" s="278"/>
      <c r="F19" s="278"/>
      <c r="G19" s="278"/>
      <c r="H19" s="278"/>
      <c r="I19" s="278"/>
      <c r="J19" s="278"/>
      <c r="K19" s="278"/>
      <c r="L19" s="278"/>
      <c r="M19" s="278"/>
      <c r="N19" s="278"/>
      <c r="O19" s="277"/>
    </row>
    <row r="20" spans="1:16" ht="18.5" thickBot="1" x14ac:dyDescent="0.4">
      <c r="A20" s="275"/>
      <c r="B20" s="277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7"/>
    </row>
    <row r="21" spans="1:16" ht="18.5" thickBot="1" x14ac:dyDescent="0.4">
      <c r="A21" s="275"/>
      <c r="B21" s="277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377" t="s">
        <v>2</v>
      </c>
      <c r="P21" s="378"/>
    </row>
    <row r="22" spans="1:16" ht="15" thickBot="1" x14ac:dyDescent="0.4">
      <c r="A22" s="237" t="s">
        <v>560</v>
      </c>
      <c r="B22" s="233" t="s">
        <v>548</v>
      </c>
      <c r="C22" s="231" t="s">
        <v>549</v>
      </c>
      <c r="D22" s="231" t="s">
        <v>550</v>
      </c>
      <c r="E22" s="231" t="s">
        <v>551</v>
      </c>
      <c r="F22" s="231" t="s">
        <v>552</v>
      </c>
      <c r="G22" s="231" t="s">
        <v>553</v>
      </c>
      <c r="H22" s="231" t="s">
        <v>554</v>
      </c>
      <c r="I22" s="231" t="s">
        <v>555</v>
      </c>
      <c r="J22" s="231" t="s">
        <v>556</v>
      </c>
      <c r="K22" s="231" t="s">
        <v>557</v>
      </c>
      <c r="L22" s="231" t="s">
        <v>558</v>
      </c>
      <c r="M22" s="232" t="s">
        <v>559</v>
      </c>
      <c r="N22" s="279"/>
      <c r="O22" s="244">
        <v>-500</v>
      </c>
      <c r="P22" s="243" t="s">
        <v>561</v>
      </c>
    </row>
    <row r="23" spans="1:16" x14ac:dyDescent="0.35">
      <c r="A23" s="238" t="s">
        <v>94</v>
      </c>
      <c r="B23" s="234" t="str">
        <f>IFERROR(GETPIVOTDATA("Ramal",'DIN - PO'!$A$3,"Ramal",$A$23,"Meses",1),"")</f>
        <v/>
      </c>
      <c r="C23" s="229" t="str">
        <f>IFERROR(GETPIVOTDATA("Ramal",'DIN - PO'!$A$3,"Ramal",$A$23,"Meses",2),"")</f>
        <v/>
      </c>
      <c r="D23" s="229" t="str">
        <f>IFERROR(GETPIVOTDATA("Ramal",'DIN - PO'!$A$3,"Ramal",$A$23,"Meses",3),"")</f>
        <v/>
      </c>
      <c r="E23" s="229" t="str">
        <f>IFERROR(GETPIVOTDATA("Ramal",'DIN - PO'!$A$3,"Ramal",$A$23,"Meses",4),"")</f>
        <v/>
      </c>
      <c r="F23" s="229" t="str">
        <f>IFERROR(GETPIVOTDATA("Ramal",'DIN - PO'!$A$3,"Ramal",$A$23,"Meses",5),"")</f>
        <v/>
      </c>
      <c r="G23" s="229">
        <f>IFERROR(GETPIVOTDATA("Ramal",'DIN - PO'!$A$3,"Ramal",$A$23,"Meses",6),"")</f>
        <v>4</v>
      </c>
      <c r="H23" s="229">
        <f>IFERROR(GETPIVOTDATA("Ramal",'DIN - PO'!$A$3,"Ramal",$A$23,"Meses",7),"")</f>
        <v>7</v>
      </c>
      <c r="I23" s="229">
        <f>IFERROR(GETPIVOTDATA("Ramal",'DIN - PO'!$A$3,"Ramal",$A$23,"Meses",8),"")</f>
        <v>12</v>
      </c>
      <c r="J23" s="229">
        <f>IFERROR(GETPIVOTDATA("Ramal",'DIN - PO'!$A$3,"Ramal",$A$23,"Meses",9),"")</f>
        <v>3</v>
      </c>
      <c r="K23" s="229">
        <f>IFERROR(GETPIVOTDATA("Ramal",'DIN - PO'!$A$3,"Ramal",$A$23,"Meses",10),"")</f>
        <v>2</v>
      </c>
      <c r="L23" s="229">
        <f>IFERROR(GETPIVOTDATA("Ramal",'DIN - PO'!$A$3,"Ramal",$A$23,"Meses",11),"")</f>
        <v>3</v>
      </c>
      <c r="M23" s="230">
        <f>IFERROR(GETPIVOTDATA("Ramal",'DIN - PO'!$A$3,"Ramal",$A$23,"Meses",12),"")</f>
        <v>6</v>
      </c>
      <c r="N23" s="280"/>
      <c r="O23" s="245">
        <f>IFERROR(GETPIVOTDATA("[Measures].[Contagem de Ramal]",'DIN - PO'!$A$45,"[Tabela1].[Ramal]","[Tabela1].[Ramal].&amp;[Deodoro]","[Tabela1].[Nivel]","[Tabela1].[Nivel].&amp;[-500]"),"")</f>
        <v>36</v>
      </c>
      <c r="P23" s="242">
        <f>IFERROR(GETPIVOTDATA("[Measures].[Contagem de Ramal]",'DIN - PO'!$A$45,"[Tabela1].[Ramal]","[Tabela1].[Ramal].&amp;[Deodoro]","[Tabela1].[Nivel]","[Tabela1].[Nivel].&amp;[+500]"),"")</f>
        <v>1</v>
      </c>
    </row>
    <row r="24" spans="1:16" x14ac:dyDescent="0.35">
      <c r="A24" s="239" t="s">
        <v>95</v>
      </c>
      <c r="B24" s="235" t="str">
        <f>IFERROR(GETPIVOTDATA("Ramal",'DIN - PO'!$A$3,"Ramal",$A$24,"Meses",1),"")</f>
        <v/>
      </c>
      <c r="C24" s="226" t="str">
        <f>IFERROR(GETPIVOTDATA("Ramal",'DIN - PO'!$A$3,"Ramal",$A$24,"Meses",2),"")</f>
        <v/>
      </c>
      <c r="D24" s="226" t="str">
        <f>IFERROR(GETPIVOTDATA("Ramal",'DIN - PO'!$A$3,"Ramal",$A$24,"Meses",3),"")</f>
        <v/>
      </c>
      <c r="E24" s="226" t="str">
        <f>IFERROR(GETPIVOTDATA("Ramal",'DIN - PO'!$A$3,"Ramal",$A$24,"Meses",4),"")</f>
        <v/>
      </c>
      <c r="F24" s="226" t="str">
        <f>IFERROR(GETPIVOTDATA("Ramal",'DIN - PO'!$A$3,"Ramal",$A$24,"Meses",5),"")</f>
        <v/>
      </c>
      <c r="G24" s="226">
        <f>IFERROR(GETPIVOTDATA("Ramal",'DIN - PO'!$A$3,"Ramal",$A$24,"Meses",6),"")</f>
        <v>5</v>
      </c>
      <c r="H24" s="226">
        <f>IFERROR(GETPIVOTDATA("Ramal",'DIN - PO'!$A$3,"Ramal",$A$24,"Meses",7),"")</f>
        <v>13</v>
      </c>
      <c r="I24" s="226">
        <f>IFERROR(GETPIVOTDATA("Ramal",'DIN - PO'!$A$3,"Ramal",$A$24,"Meses",8),"")</f>
        <v>10</v>
      </c>
      <c r="J24" s="226">
        <f>IFERROR(GETPIVOTDATA("Ramal",'DIN - PO'!$A$3,"Ramal",$A$24,"Meses",9),"")</f>
        <v>6</v>
      </c>
      <c r="K24" s="226">
        <f>IFERROR(GETPIVOTDATA("Ramal",'DIN - PO'!$A$3,"Ramal",$A$24,"Meses",10),"")</f>
        <v>9</v>
      </c>
      <c r="L24" s="226">
        <f>IFERROR(GETPIVOTDATA("Ramal",'DIN - PO'!$A$3,"Ramal",$A$24,"Meses",11),"")</f>
        <v>2</v>
      </c>
      <c r="M24" s="228">
        <f>IFERROR(GETPIVOTDATA("Ramal",'DIN - PO'!$A$3,"Ramal",$A$24,"Meses",12),"")</f>
        <v>2</v>
      </c>
      <c r="N24" s="280"/>
      <c r="O24" s="287">
        <f>IFERROR(GETPIVOTDATA("[Measures].[Contagem de Ramal]",'DIN - PO'!$A$45,"[Tabela1].[Ramal]","[Tabela1].[Ramal].&amp;[Japeri]","[Tabela1].[Nivel]","[Tabela1].[Nivel].&amp;[-500]"),"")</f>
        <v>43</v>
      </c>
      <c r="P24" s="288">
        <f>IFERROR(GETPIVOTDATA("[Measures].[Contagem de Ramal]",'DIN - PO'!$A$45,"[Tabela1].[Ramal]","[Tabela1].[Ramal].&amp;[Japeri]","[Tabela1].[Nivel]","[Tabela1].[Nivel].&amp;[+500]"),"")</f>
        <v>4</v>
      </c>
    </row>
    <row r="25" spans="1:16" x14ac:dyDescent="0.35">
      <c r="A25" s="239" t="s">
        <v>151</v>
      </c>
      <c r="B25" s="236" t="str">
        <f>IFERROR(GETPIVOTDATA("Ramal",'DIN - PO'!$A$3,"Ramal",$A$25,"Meses",1),"")</f>
        <v/>
      </c>
      <c r="C25" s="225" t="str">
        <f>IFERROR(GETPIVOTDATA("Ramal",'DIN - PO'!$A$3,"Ramal",$A$25,"Meses",2),"")</f>
        <v/>
      </c>
      <c r="D25" s="225" t="str">
        <f>IFERROR(GETPIVOTDATA("Ramal",'DIN - PO'!$A$3,"Ramal",$A$25,"Meses",3),"")</f>
        <v/>
      </c>
      <c r="E25" s="225" t="str">
        <f>IFERROR(GETPIVOTDATA("Ramal",'DIN - PO'!$A$3,"Ramal",$A$25,"Meses",4),"")</f>
        <v/>
      </c>
      <c r="F25" s="225" t="str">
        <f>IFERROR(GETPIVOTDATA("Ramal",'DIN - PO'!$A$3,"Ramal",$A$25,"Meses",5),"")</f>
        <v/>
      </c>
      <c r="G25" s="225" t="str">
        <f>IFERROR(GETPIVOTDATA("Ramal",'DIN - PO'!$A$3,"Ramal",$A$25,"Meses",6),"")</f>
        <v/>
      </c>
      <c r="H25" s="225" t="str">
        <f>IFERROR(GETPIVOTDATA("Ramal",'DIN - PO'!$A$3,"Ramal",$A$25,"Meses",7),"")</f>
        <v/>
      </c>
      <c r="I25" s="225" t="str">
        <f>IFERROR(GETPIVOTDATA("Ramal",'DIN - PO'!$A$3,"Ramal",$A$25,"Meses",8),"")</f>
        <v/>
      </c>
      <c r="J25" s="225" t="str">
        <f>IFERROR(GETPIVOTDATA("Ramal",'DIN - PO'!$A$3,"Ramal",$A$25,"Meses",9),"")</f>
        <v/>
      </c>
      <c r="K25" s="225" t="str">
        <f>IFERROR(GETPIVOTDATA("Ramal",'DIN - PO'!$A$3,"Ramal",$A$25,"Meses",10),"")</f>
        <v/>
      </c>
      <c r="L25" s="225" t="str">
        <f>IFERROR(GETPIVOTDATA("Ramal",'DIN - PO'!$A$3,"Ramal",$A$25,"Meses",11),"")</f>
        <v/>
      </c>
      <c r="M25" s="227" t="str">
        <f>IFERROR(GETPIVOTDATA("Ramal",'DIN - PO'!$A$3,"Ramal",$A$25,"Meses",12),"")</f>
        <v/>
      </c>
      <c r="N25" s="280"/>
      <c r="O25" s="289" t="str">
        <f>IFERROR(GETPIVOTDATA("[Measures].[Contagem de Ramal]",'DIN - PO'!$A$45,"[Tabela1].[Ramal]","[Tabela1].[Ramal].&amp;[Paracambi]","[Tabela1].[Nivel]","[Tabela1].[Nivel].&amp;[-500]"),"")</f>
        <v/>
      </c>
      <c r="P25" s="290" t="str">
        <f>IFERROR(GETPIVOTDATA("[Measures].[Contagem de Ramal]",'DIN - PO'!$A$45,"[Tabela1].[Ramal]","[Tabela1].[Ramal].&amp;[Paracambi]","[Tabela1].[Nivel]","[Tabela1].[Nivel].&amp;[+500]"),"")</f>
        <v/>
      </c>
    </row>
    <row r="26" spans="1:16" x14ac:dyDescent="0.35">
      <c r="A26" s="240" t="s">
        <v>93</v>
      </c>
      <c r="B26" s="235" t="str">
        <f>IFERROR(GETPIVOTDATA("Ramal",'DIN - PO'!$A$3,"Ramal",$A$26,"Meses",1),"")</f>
        <v/>
      </c>
      <c r="C26" s="226" t="str">
        <f>IFERROR(GETPIVOTDATA("Ramal",'DIN - PO'!$A$3,"Ramal",$A$26,"Meses",2),"")</f>
        <v/>
      </c>
      <c r="D26" s="226" t="str">
        <f>IFERROR(GETPIVOTDATA("Ramal",'DIN - PO'!$A$3,"Ramal",$A$26,"Meses",3),"")</f>
        <v/>
      </c>
      <c r="E26" s="226" t="str">
        <f>IFERROR(GETPIVOTDATA("Ramal",'DIN - PO'!$A$3,"Ramal",$A$26,"Meses",4),"")</f>
        <v/>
      </c>
      <c r="F26" s="226" t="str">
        <f>IFERROR(GETPIVOTDATA("Ramal",'DIN - PO'!$A$3,"Ramal",$A$26,"Meses",5),"")</f>
        <v/>
      </c>
      <c r="G26" s="226">
        <f>IFERROR(GETPIVOTDATA("Ramal",'DIN - PO'!$A$3,"Ramal",$A$26,"Meses",6),"")</f>
        <v>11</v>
      </c>
      <c r="H26" s="226">
        <f>IFERROR(GETPIVOTDATA("Ramal",'DIN - PO'!$A$3,"Ramal",$A$26,"Meses",7),"")</f>
        <v>12</v>
      </c>
      <c r="I26" s="226">
        <f>IFERROR(GETPIVOTDATA("Ramal",'DIN - PO'!$A$3,"Ramal",$A$26,"Meses",8),"")</f>
        <v>5</v>
      </c>
      <c r="J26" s="226">
        <f>IFERROR(GETPIVOTDATA("Ramal",'DIN - PO'!$A$3,"Ramal",$A$26,"Meses",9),"")</f>
        <v>3</v>
      </c>
      <c r="K26" s="226">
        <f>IFERROR(GETPIVOTDATA("Ramal",'DIN - PO'!$A$3,"Ramal",$A$26,"Meses",10),"")</f>
        <v>0</v>
      </c>
      <c r="L26" s="226">
        <f>IFERROR(GETPIVOTDATA("Ramal",'DIN - PO'!$A$3,"Ramal",$A$26,"Meses",11),"")</f>
        <v>3</v>
      </c>
      <c r="M26" s="228">
        <f>IFERROR(GETPIVOTDATA("Ramal",'DIN - PO'!$A$3,"Ramal",$A$26,"Meses",12),"")</f>
        <v>1</v>
      </c>
      <c r="N26" s="280"/>
      <c r="O26" s="287">
        <f>IFERROR(GETPIVOTDATA("[Measures].[Contagem de Ramal]",'DIN - PO'!$A$45,"[Tabela1].[Ramal]","[Tabela1].[Ramal].&amp;[Santa Cruz]","[Tabela1].[Nivel]","[Tabela1].[Nivel].&amp;[-500]"),"")</f>
        <v>35</v>
      </c>
      <c r="P26" s="288">
        <f>IFERROR(GETPIVOTDATA("[Measures].[Contagem de Ramal]",'DIN - PO'!$A$45,"[Tabela1].[Ramal]","[Tabela1].[Ramal].&amp;[Santa Cruz]","[Tabela1].[Nivel]","[Tabela1].[Nivel].&amp;[+500]"),"")</f>
        <v>0</v>
      </c>
    </row>
    <row r="27" spans="1:16" x14ac:dyDescent="0.35">
      <c r="A27" s="241" t="s">
        <v>97</v>
      </c>
      <c r="B27" s="236" t="str">
        <f>IFERROR(GETPIVOTDATA("Ramal",'DIN - PO'!$A$3,"Ramal",$A$27,"Meses",1),"")</f>
        <v/>
      </c>
      <c r="C27" s="225" t="str">
        <f>IFERROR(GETPIVOTDATA("Ramal",'DIN - PO'!$A$3,"Ramal",$A$27,"Meses",2),"")</f>
        <v/>
      </c>
      <c r="D27" s="225" t="str">
        <f>IFERROR(GETPIVOTDATA("Ramal",'DIN - PO'!$A$3,"Ramal",$A$27,"Meses",3),"")</f>
        <v/>
      </c>
      <c r="E27" s="225" t="str">
        <f>IFERROR(GETPIVOTDATA("Ramal",'DIN - PO'!$A$3,"Ramal",$A$27,"Meses",4),"")</f>
        <v/>
      </c>
      <c r="F27" s="225" t="str">
        <f>IFERROR(GETPIVOTDATA("Ramal",'DIN - PO'!$A$3,"Ramal",$A$27,"Meses",5),"")</f>
        <v/>
      </c>
      <c r="G27" s="225">
        <f>IFERROR(GETPIVOTDATA("Ramal",'DIN - PO'!$A$3,"Ramal",$A$27,"Meses",6),"")</f>
        <v>0</v>
      </c>
      <c r="H27" s="225">
        <f>IFERROR(GETPIVOTDATA("Ramal",'DIN - PO'!$A$3,"Ramal",$A$27,"Meses",7),"")</f>
        <v>1</v>
      </c>
      <c r="I27" s="225">
        <f>IFERROR(GETPIVOTDATA("Ramal",'DIN - PO'!$A$3,"Ramal",$A$27,"Meses",8),"")</f>
        <v>1</v>
      </c>
      <c r="J27" s="225">
        <f>IFERROR(GETPIVOTDATA("Ramal",'DIN - PO'!$A$3,"Ramal",$A$27,"Meses",9),"")</f>
        <v>1</v>
      </c>
      <c r="K27" s="225">
        <f>IFERROR(GETPIVOTDATA("Ramal",'DIN - PO'!$A$3,"Ramal",$A$27,"Meses",10),"")</f>
        <v>3</v>
      </c>
      <c r="L27" s="225">
        <f>IFERROR(GETPIVOTDATA("Ramal",'DIN - PO'!$A$3,"Ramal",$A$27,"Meses",11),"")</f>
        <v>3</v>
      </c>
      <c r="M27" s="227">
        <f>IFERROR(GETPIVOTDATA("Ramal",'DIN - PO'!$A$3,"Ramal",$A$27,"Meses",12),"")</f>
        <v>1</v>
      </c>
      <c r="N27" s="280"/>
      <c r="O27" s="289">
        <f>IFERROR(GETPIVOTDATA("[Measures].[Contagem de Ramal]",'DIN - PO'!$A$45,"[Tabela1].[Ramal]","[Tabela1].[Ramal].&amp;[Gramacho]","[Tabela1].[Nivel]","[Tabela1].[Nivel].&amp;[-500]"),"")</f>
        <v>10</v>
      </c>
      <c r="P27" s="290">
        <f>IFERROR(GETPIVOTDATA("[Measures].[Contagem de Ramal]",'DIN - PO'!$A$45,"[Tabela1].[Ramal]","[Tabela1].[Ramal].&amp;[Gramacho]","[Tabela1].[Nivel]","[Tabela1].[Nivel].&amp;[+500]"),"")</f>
        <v>0</v>
      </c>
    </row>
    <row r="28" spans="1:16" x14ac:dyDescent="0.35">
      <c r="A28" s="241" t="s">
        <v>96</v>
      </c>
      <c r="B28" s="235" t="str">
        <f>IFERROR(GETPIVOTDATA("Ramal",'DIN - PO'!$A$3,"Ramal",$A$28,"Meses",1),"")</f>
        <v/>
      </c>
      <c r="C28" s="226" t="str">
        <f>IFERROR(GETPIVOTDATA("Ramal",'DIN - PO'!$A$3,"Ramal",$A$28,"Meses",2),"")</f>
        <v/>
      </c>
      <c r="D28" s="226" t="str">
        <f>IFERROR(GETPIVOTDATA("Ramal",'DIN - PO'!$A$3,"Ramal",$A$28,"Meses",3),"")</f>
        <v/>
      </c>
      <c r="E28" s="226" t="str">
        <f>IFERROR(GETPIVOTDATA("Ramal",'DIN - PO'!$A$3,"Ramal",$A$28,"Meses",4),"")</f>
        <v/>
      </c>
      <c r="F28" s="226" t="str">
        <f>IFERROR(GETPIVOTDATA("Ramal",'DIN - PO'!$A$3,"Ramal",$A$28,"Meses",5),"")</f>
        <v/>
      </c>
      <c r="G28" s="226">
        <f>IFERROR(GETPIVOTDATA("Ramal",'DIN - PO'!$A$3,"Ramal",$A$28,"Meses",6),"")</f>
        <v>2</v>
      </c>
      <c r="H28" s="226">
        <f>IFERROR(GETPIVOTDATA("Ramal",'DIN - PO'!$A$3,"Ramal",$A$28,"Meses",7),"")</f>
        <v>2</v>
      </c>
      <c r="I28" s="226">
        <f>IFERROR(GETPIVOTDATA("Ramal",'DIN - PO'!$A$3,"Ramal",$A$28,"Meses",8),"")</f>
        <v>4</v>
      </c>
      <c r="J28" s="226">
        <f>IFERROR(GETPIVOTDATA("Ramal",'DIN - PO'!$A$3,"Ramal",$A$28,"Meses",9),"")</f>
        <v>24</v>
      </c>
      <c r="K28" s="226">
        <f>IFERROR(GETPIVOTDATA("Ramal",'DIN - PO'!$A$3,"Ramal",$A$28,"Meses",10),"")</f>
        <v>3</v>
      </c>
      <c r="L28" s="226">
        <f>IFERROR(GETPIVOTDATA("Ramal",'DIN - PO'!$A$3,"Ramal",$A$28,"Meses",11),"")</f>
        <v>7</v>
      </c>
      <c r="M28" s="228">
        <f>IFERROR(GETPIVOTDATA("Ramal",'DIN - PO'!$A$3,"Ramal",$A$28,"Meses",12),"")</f>
        <v>3</v>
      </c>
      <c r="N28" s="280"/>
      <c r="O28" s="287">
        <f>IFERROR(GETPIVOTDATA("[Measures].[Contagem de Ramal]",'DIN - PO'!$A$45,"[Tabela1].[Ramal]","[Tabela1].[Ramal].&amp;[Saracuruna]","[Tabela1].[Nivel]","[Tabela1].[Nivel].&amp;[-500]"),"")</f>
        <v>44</v>
      </c>
      <c r="P28" s="288">
        <f>IFERROR(GETPIVOTDATA("[Measures].[Contagem de Ramal]",'DIN - PO'!$A$45,"[Tabela1].[Ramal]","[Tabela1].[Ramal].&amp;[Saracuruna]","[Tabela1].[Nivel]","[Tabela1].[Nivel].&amp;[+500]"),"")</f>
        <v>1</v>
      </c>
    </row>
    <row r="29" spans="1:16" ht="15" thickBot="1" x14ac:dyDescent="0.4">
      <c r="A29" s="282" t="s">
        <v>359</v>
      </c>
      <c r="B29" s="236" t="str">
        <f>IFERROR(GETPIVOTDATA("Ramal",'DIN - PO'!$A$3,"Ramal",$A$29,"Meses",1),"")</f>
        <v/>
      </c>
      <c r="C29" s="225" t="str">
        <f>IFERROR(GETPIVOTDATA("Ramal",'DIN - PO'!$A$3,"Ramal",$A$29,"Meses",2),"")</f>
        <v/>
      </c>
      <c r="D29" s="225" t="str">
        <f>IFERROR(GETPIVOTDATA("Ramal",'DIN - PO'!$A$3,"Ramal",$A$29,"Meses",3),"")</f>
        <v/>
      </c>
      <c r="E29" s="225" t="str">
        <f>IFERROR(GETPIVOTDATA("Ramal",'DIN - PO'!$A$3,"Ramal",$A$29,"Meses",4),"")</f>
        <v/>
      </c>
      <c r="F29" s="225" t="str">
        <f>IFERROR(GETPIVOTDATA("Ramal",'DIN - PO'!$A$3,"Ramal",$A$29,"Meses",5),"")</f>
        <v/>
      </c>
      <c r="G29" s="225">
        <f>IFERROR(GETPIVOTDATA("Ramal",'DIN - PO'!$A$3,"Ramal",$A$29,"Meses",6),"")</f>
        <v>0</v>
      </c>
      <c r="H29" s="225">
        <f>IFERROR(GETPIVOTDATA("Ramal",'DIN - PO'!$A$3,"Ramal",$A$29,"Meses",7),"")</f>
        <v>0</v>
      </c>
      <c r="I29" s="225">
        <f>IFERROR(GETPIVOTDATA("Ramal",'DIN - PO'!$A$3,"Ramal",$A$29,"Meses",8),"")</f>
        <v>0</v>
      </c>
      <c r="J29" s="225">
        <f>IFERROR(GETPIVOTDATA("Ramal",'DIN - PO'!$A$3,"Ramal",$A$29,"Meses",9),"")</f>
        <v>1</v>
      </c>
      <c r="K29" s="225">
        <f>IFERROR(GETPIVOTDATA("Ramal",'DIN - PO'!$A$3,"Ramal",$A$29,"Meses",10),"")</f>
        <v>1</v>
      </c>
      <c r="L29" s="225">
        <f>IFERROR(GETPIVOTDATA("Ramal",'DIN - PO'!$A$3,"Ramal",$A$29,"Meses",11),"")</f>
        <v>0</v>
      </c>
      <c r="M29" s="227">
        <f>IFERROR(GETPIVOTDATA("Ramal",'DIN - PO'!$A$3,"Ramal",$A$29,"Meses",12),"")</f>
        <v>0</v>
      </c>
      <c r="N29" s="280"/>
      <c r="O29" s="294">
        <f>IFERROR(GETPIVOTDATA("[Measures].[Contagem de Ramal]",'DIN - PO'!$A$45,"[Tabela1].[Ramal]","[Tabela1].[Ramal].&amp;[B. Roxo]","[Tabela1].[Nivel]","[Tabela1].[Nivel].&amp;[-500]"),"")</f>
        <v>2</v>
      </c>
      <c r="P29" s="291">
        <f>IFERROR(GETPIVOTDATA("[Measures].[Contagem de Ramal]",'DIN - PO'!$A$45,"[Tabela1].[Ramal]","[Tabela1].[Ramal].&amp;[B. Roxo]","[Tabela1].[Nivel]","[Tabela1].[Nivel].&amp;[+500]"),"")</f>
        <v>0</v>
      </c>
    </row>
    <row r="30" spans="1:16" ht="15" thickBot="1" x14ac:dyDescent="0.4">
      <c r="A30" s="283" t="s">
        <v>357</v>
      </c>
      <c r="B30" s="284">
        <f t="shared" ref="B30:F30" si="0">SUM(B23:B29)</f>
        <v>0</v>
      </c>
      <c r="C30" s="285">
        <f t="shared" si="0"/>
        <v>0</v>
      </c>
      <c r="D30" s="285">
        <f t="shared" si="0"/>
        <v>0</v>
      </c>
      <c r="E30" s="285">
        <f t="shared" si="0"/>
        <v>0</v>
      </c>
      <c r="F30" s="285">
        <f t="shared" si="0"/>
        <v>0</v>
      </c>
      <c r="G30" s="285">
        <f>SUM(G23:G29)</f>
        <v>22</v>
      </c>
      <c r="H30" s="285">
        <f t="shared" ref="H30:M30" si="1">SUM(H23:H29)</f>
        <v>35</v>
      </c>
      <c r="I30" s="285">
        <f t="shared" si="1"/>
        <v>32</v>
      </c>
      <c r="J30" s="285">
        <f t="shared" si="1"/>
        <v>38</v>
      </c>
      <c r="K30" s="285">
        <f t="shared" si="1"/>
        <v>18</v>
      </c>
      <c r="L30" s="285">
        <f t="shared" si="1"/>
        <v>18</v>
      </c>
      <c r="M30" s="286">
        <f t="shared" si="1"/>
        <v>13</v>
      </c>
      <c r="N30" s="279"/>
      <c r="O30" s="295">
        <f>SUM(O23:O29)</f>
        <v>170</v>
      </c>
      <c r="P30" s="292">
        <f>SUM(P23:P29)</f>
        <v>6</v>
      </c>
    </row>
    <row r="31" spans="1:16" ht="6" customHeight="1" x14ac:dyDescent="0.35"/>
    <row r="32" spans="1:16" x14ac:dyDescent="0.35">
      <c r="J32" s="375" t="s">
        <v>589</v>
      </c>
      <c r="K32" s="375"/>
      <c r="L32" s="375"/>
      <c r="M32" s="375"/>
      <c r="N32" s="375"/>
      <c r="O32" s="375"/>
      <c r="P32" s="281">
        <f>GETPIVOTDATA("OS",'DIN - PO'!$R$39,"Melhoria feita?","Sim","Nivel","+500")</f>
        <v>6</v>
      </c>
    </row>
    <row r="33" spans="1:16" ht="6" customHeight="1" x14ac:dyDescent="0.35"/>
    <row r="34" spans="1:16" x14ac:dyDescent="0.35">
      <c r="A34" s="374" t="s">
        <v>579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</row>
    <row r="35" spans="1:16" x14ac:dyDescent="0.35">
      <c r="A35" s="374"/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</row>
    <row r="51" spans="1:16" ht="6" customHeight="1" x14ac:dyDescent="0.35"/>
    <row r="52" spans="1:16" x14ac:dyDescent="0.35">
      <c r="A52" s="374" t="s">
        <v>585</v>
      </c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4"/>
      <c r="O52" s="374"/>
      <c r="P52" s="374"/>
    </row>
    <row r="53" spans="1:16" x14ac:dyDescent="0.35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</row>
  </sheetData>
  <mergeCells count="9">
    <mergeCell ref="A1:P3"/>
    <mergeCell ref="A34:P35"/>
    <mergeCell ref="A52:P53"/>
    <mergeCell ref="J32:O32"/>
    <mergeCell ref="A4:P4"/>
    <mergeCell ref="O21:P21"/>
    <mergeCell ref="A5:P5"/>
    <mergeCell ref="A7:P8"/>
    <mergeCell ref="M10:P10"/>
  </mergeCells>
  <phoneticPr fontId="5" type="noConversion"/>
  <pageMargins left="0.511811024" right="0.511811024" top="0.78740157499999996" bottom="0.78740157499999996" header="0.31496062000000002" footer="0.31496062000000002"/>
  <pageSetup paperSize="9" scale="73" orientation="portrait" r:id="rId1"/>
  <ignoredErrors>
    <ignoredError sqref="P22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F574-BB48-48CF-B1E5-CFCEFB10F276}">
  <dimension ref="A1:AG74"/>
  <sheetViews>
    <sheetView showGridLines="0" topLeftCell="A58" zoomScale="60" zoomScaleNormal="60" zoomScaleSheetLayoutView="70" workbookViewId="0">
      <selection activeCell="E62" sqref="E62:F62"/>
    </sheetView>
  </sheetViews>
  <sheetFormatPr defaultColWidth="9.1796875" defaultRowHeight="14.5" x14ac:dyDescent="0.35"/>
  <cols>
    <col min="1" max="2" width="11.453125" style="171" customWidth="1"/>
    <col min="3" max="18" width="7.81640625" style="171" customWidth="1"/>
    <col min="19" max="22" width="8.1796875" style="171" customWidth="1"/>
    <col min="23" max="26" width="7.81640625" style="171" customWidth="1"/>
    <col min="27" max="30" width="8.54296875" style="171" customWidth="1"/>
    <col min="31" max="33" width="7.81640625" style="171" customWidth="1"/>
    <col min="34" max="34" width="5.81640625" style="171" customWidth="1"/>
    <col min="35" max="16384" width="9.1796875" style="171"/>
  </cols>
  <sheetData>
    <row r="1" spans="1:33" x14ac:dyDescent="0.35">
      <c r="A1" s="167"/>
      <c r="B1" s="168"/>
      <c r="C1" s="169" t="s">
        <v>419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70"/>
    </row>
    <row r="2" spans="1:33" x14ac:dyDescent="0.35">
      <c r="A2" s="172"/>
      <c r="B2" s="173"/>
      <c r="C2" s="171" t="s">
        <v>420</v>
      </c>
      <c r="AG2" s="174"/>
    </row>
    <row r="3" spans="1:33" ht="15" thickBot="1" x14ac:dyDescent="0.4">
      <c r="A3" s="172"/>
      <c r="B3" s="173"/>
      <c r="C3" s="171" t="s">
        <v>421</v>
      </c>
      <c r="W3" s="432"/>
      <c r="X3" s="432"/>
      <c r="Y3" s="432"/>
      <c r="Z3" s="432"/>
      <c r="AG3" s="174"/>
    </row>
    <row r="4" spans="1:33" ht="24" thickBot="1" x14ac:dyDescent="0.4">
      <c r="A4" s="433" t="s">
        <v>422</v>
      </c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4"/>
      <c r="X4" s="434"/>
      <c r="Y4" s="434"/>
      <c r="Z4" s="434"/>
      <c r="AA4" s="434"/>
      <c r="AB4" s="434"/>
      <c r="AC4" s="434"/>
      <c r="AD4" s="434"/>
      <c r="AE4" s="434"/>
      <c r="AF4" s="434"/>
      <c r="AG4" s="435"/>
    </row>
    <row r="5" spans="1:33" ht="24" thickBot="1" x14ac:dyDescent="0.4">
      <c r="A5" s="176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7"/>
      <c r="AF5" s="177"/>
      <c r="AG5" s="178"/>
    </row>
    <row r="6" spans="1:33" ht="24" thickBot="1" x14ac:dyDescent="0.4">
      <c r="A6" s="179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413" t="s">
        <v>423</v>
      </c>
      <c r="N6" s="414"/>
      <c r="O6" s="414"/>
      <c r="P6" s="414"/>
      <c r="Q6" s="414"/>
      <c r="R6" s="414"/>
      <c r="S6" s="414"/>
      <c r="T6" s="414"/>
      <c r="U6" s="414"/>
      <c r="V6" s="414"/>
      <c r="W6" s="414"/>
      <c r="X6" s="414"/>
      <c r="Y6" s="414"/>
      <c r="Z6" s="414"/>
      <c r="AA6" s="414"/>
      <c r="AB6" s="414"/>
      <c r="AC6" s="414"/>
      <c r="AD6" s="415"/>
      <c r="AE6" s="177"/>
      <c r="AF6" s="177"/>
      <c r="AG6" s="180"/>
    </row>
    <row r="7" spans="1:33" ht="24" thickBot="1" x14ac:dyDescent="0.4">
      <c r="A7" s="179"/>
      <c r="B7" s="177"/>
      <c r="C7" s="416" t="s">
        <v>424</v>
      </c>
      <c r="D7" s="417"/>
      <c r="E7" s="417" t="s">
        <v>207</v>
      </c>
      <c r="F7" s="417"/>
      <c r="G7" s="417" t="s">
        <v>208</v>
      </c>
      <c r="H7" s="417"/>
      <c r="I7" s="418"/>
      <c r="J7" s="413" t="s">
        <v>425</v>
      </c>
      <c r="K7" s="415"/>
      <c r="L7" s="177"/>
      <c r="M7" s="419" t="s">
        <v>391</v>
      </c>
      <c r="N7" s="420"/>
      <c r="O7" s="421" t="s">
        <v>95</v>
      </c>
      <c r="P7" s="421"/>
      <c r="Q7" s="421" t="s">
        <v>151</v>
      </c>
      <c r="R7" s="421"/>
      <c r="S7" s="422"/>
      <c r="T7" s="423" t="s">
        <v>94</v>
      </c>
      <c r="U7" s="424"/>
      <c r="V7" s="425" t="s">
        <v>97</v>
      </c>
      <c r="W7" s="426"/>
      <c r="X7" s="425" t="s">
        <v>96</v>
      </c>
      <c r="Y7" s="426"/>
      <c r="Z7" s="427" t="s">
        <v>359</v>
      </c>
      <c r="AA7" s="428"/>
      <c r="AB7" s="416" t="s">
        <v>426</v>
      </c>
      <c r="AC7" s="417"/>
      <c r="AD7" s="418"/>
      <c r="AE7" s="177"/>
      <c r="AF7" s="177"/>
      <c r="AG7" s="180"/>
    </row>
    <row r="8" spans="1:33" ht="24" thickBot="1" x14ac:dyDescent="0.4">
      <c r="A8" s="179"/>
      <c r="B8" s="177"/>
      <c r="C8" s="406">
        <v>44805</v>
      </c>
      <c r="D8" s="407"/>
      <c r="E8" s="408">
        <v>44834</v>
      </c>
      <c r="F8" s="407"/>
      <c r="G8" s="429">
        <f>E8-C8</f>
        <v>29</v>
      </c>
      <c r="H8" s="430"/>
      <c r="I8" s="431"/>
      <c r="J8" s="410">
        <f>SUM(C14:AG20)/60</f>
        <v>1.1499999999999999</v>
      </c>
      <c r="K8" s="411"/>
      <c r="L8" s="177"/>
      <c r="M8" s="401">
        <f>SUM(C14:AG14)</f>
        <v>9</v>
      </c>
      <c r="N8" s="412"/>
      <c r="O8" s="409">
        <f>SUM(C15:AG15)</f>
        <v>18</v>
      </c>
      <c r="P8" s="412"/>
      <c r="Q8" s="409">
        <f>SUM(C16:AG16)</f>
        <v>0</v>
      </c>
      <c r="R8" s="402"/>
      <c r="S8" s="403"/>
      <c r="T8" s="398">
        <f>SUM(C17:AG17)</f>
        <v>20</v>
      </c>
      <c r="U8" s="399"/>
      <c r="V8" s="398">
        <f>SUM(C19:AG19)</f>
        <v>17</v>
      </c>
      <c r="W8" s="399"/>
      <c r="X8" s="398">
        <f>SUM(C18:AG18)</f>
        <v>4</v>
      </c>
      <c r="Y8" s="399"/>
      <c r="Z8" s="398">
        <f>SUM(C20:AG20)</f>
        <v>1</v>
      </c>
      <c r="AA8" s="400"/>
      <c r="AB8" s="401">
        <f>SUM(M8:AA8)</f>
        <v>69</v>
      </c>
      <c r="AC8" s="402"/>
      <c r="AD8" s="403"/>
      <c r="AE8" s="177"/>
      <c r="AF8" s="177"/>
      <c r="AG8" s="180"/>
    </row>
    <row r="9" spans="1:33" ht="23.5" x14ac:dyDescent="0.35">
      <c r="A9" s="179"/>
      <c r="B9" s="177"/>
      <c r="C9" s="181"/>
      <c r="D9" s="181"/>
      <c r="E9" s="181"/>
      <c r="F9" s="181"/>
      <c r="G9" s="182"/>
      <c r="H9" s="182"/>
      <c r="I9" s="182"/>
      <c r="J9" s="183"/>
      <c r="K9" s="183"/>
      <c r="L9" s="177"/>
      <c r="M9" s="404"/>
      <c r="N9" s="404"/>
      <c r="O9" s="404"/>
      <c r="P9" s="404"/>
      <c r="Q9" s="404"/>
      <c r="R9" s="404"/>
      <c r="S9" s="404"/>
      <c r="T9" s="405"/>
      <c r="U9" s="405"/>
      <c r="V9" s="405"/>
      <c r="W9" s="405"/>
      <c r="X9" s="405"/>
      <c r="Y9" s="405"/>
      <c r="Z9" s="405"/>
      <c r="AA9" s="405"/>
      <c r="AB9" s="177"/>
      <c r="AC9" s="177"/>
      <c r="AD9" s="177"/>
      <c r="AE9" s="177"/>
      <c r="AF9" s="177"/>
      <c r="AG9" s="180"/>
    </row>
    <row r="10" spans="1:33" ht="24" thickBot="1" x14ac:dyDescent="0.4">
      <c r="A10" s="179"/>
      <c r="B10" s="177"/>
      <c r="C10" s="181"/>
      <c r="D10" s="181"/>
      <c r="E10" s="181"/>
      <c r="F10" s="181"/>
      <c r="G10" s="182"/>
      <c r="H10" s="182"/>
      <c r="I10" s="182"/>
      <c r="J10" s="183"/>
      <c r="K10" s="183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80"/>
    </row>
    <row r="11" spans="1:33" ht="21.5" thickBot="1" x14ac:dyDescent="0.4">
      <c r="A11" s="381" t="s">
        <v>427</v>
      </c>
      <c r="B11" s="382"/>
      <c r="C11" s="382"/>
      <c r="D11" s="382"/>
      <c r="E11" s="382"/>
      <c r="F11" s="382"/>
      <c r="G11" s="382"/>
      <c r="H11" s="382"/>
      <c r="I11" s="382"/>
      <c r="J11" s="382"/>
      <c r="K11" s="382"/>
      <c r="L11" s="382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3"/>
    </row>
    <row r="12" spans="1:33" s="187" customFormat="1" ht="19" thickBot="1" x14ac:dyDescent="0.4">
      <c r="A12" s="384" t="s">
        <v>428</v>
      </c>
      <c r="B12" s="385"/>
      <c r="C12" s="184" t="str">
        <f>TEXT(C13,"DDD")</f>
        <v>dom</v>
      </c>
      <c r="D12" s="184" t="str">
        <f>TEXT(D13,"DDD")</f>
        <v>seg</v>
      </c>
      <c r="E12" s="185" t="str">
        <f t="shared" ref="E12:AF12" si="0">TEXT(E13,"DDD")</f>
        <v>ter</v>
      </c>
      <c r="F12" s="185" t="str">
        <f t="shared" si="0"/>
        <v>qua</v>
      </c>
      <c r="G12" s="185" t="str">
        <f t="shared" si="0"/>
        <v>qui</v>
      </c>
      <c r="H12" s="185" t="str">
        <f t="shared" si="0"/>
        <v>sex</v>
      </c>
      <c r="I12" s="185" t="str">
        <f t="shared" si="0"/>
        <v>sáb</v>
      </c>
      <c r="J12" s="185" t="str">
        <f t="shared" si="0"/>
        <v>dom</v>
      </c>
      <c r="K12" s="185" t="str">
        <f t="shared" si="0"/>
        <v>seg</v>
      </c>
      <c r="L12" s="185" t="str">
        <f t="shared" si="0"/>
        <v>ter</v>
      </c>
      <c r="M12" s="185" t="str">
        <f t="shared" si="0"/>
        <v>qua</v>
      </c>
      <c r="N12" s="185" t="str">
        <f t="shared" si="0"/>
        <v>qui</v>
      </c>
      <c r="O12" s="185" t="str">
        <f t="shared" si="0"/>
        <v>sex</v>
      </c>
      <c r="P12" s="185" t="str">
        <f t="shared" si="0"/>
        <v>sáb</v>
      </c>
      <c r="Q12" s="185" t="str">
        <f t="shared" si="0"/>
        <v>dom</v>
      </c>
      <c r="R12" s="185" t="str">
        <f t="shared" si="0"/>
        <v>seg</v>
      </c>
      <c r="S12" s="185" t="str">
        <f t="shared" si="0"/>
        <v>ter</v>
      </c>
      <c r="T12" s="185" t="str">
        <f t="shared" si="0"/>
        <v>qua</v>
      </c>
      <c r="U12" s="185" t="str">
        <f t="shared" si="0"/>
        <v>qui</v>
      </c>
      <c r="V12" s="185" t="str">
        <f t="shared" si="0"/>
        <v>sex</v>
      </c>
      <c r="W12" s="185" t="str">
        <f t="shared" si="0"/>
        <v>sáb</v>
      </c>
      <c r="X12" s="185" t="str">
        <f t="shared" si="0"/>
        <v>dom</v>
      </c>
      <c r="Y12" s="185" t="str">
        <f t="shared" si="0"/>
        <v>seg</v>
      </c>
      <c r="Z12" s="185" t="str">
        <f t="shared" si="0"/>
        <v>ter</v>
      </c>
      <c r="AA12" s="185" t="str">
        <f t="shared" si="0"/>
        <v>qua</v>
      </c>
      <c r="AB12" s="185" t="str">
        <f t="shared" si="0"/>
        <v>qui</v>
      </c>
      <c r="AC12" s="185" t="str">
        <f t="shared" si="0"/>
        <v>sex</v>
      </c>
      <c r="AD12" s="185" t="str">
        <f t="shared" si="0"/>
        <v>sáb</v>
      </c>
      <c r="AE12" s="185" t="str">
        <f t="shared" si="0"/>
        <v>dom</v>
      </c>
      <c r="AF12" s="185" t="str">
        <f t="shared" si="0"/>
        <v>seg</v>
      </c>
      <c r="AG12" s="186"/>
    </row>
    <row r="13" spans="1:33" s="187" customFormat="1" ht="19" thickBot="1" x14ac:dyDescent="0.4">
      <c r="A13" s="386"/>
      <c r="B13" s="387"/>
      <c r="C13" s="188">
        <v>1</v>
      </c>
      <c r="D13" s="188">
        <v>2</v>
      </c>
      <c r="E13" s="188">
        <v>3</v>
      </c>
      <c r="F13" s="188">
        <v>4</v>
      </c>
      <c r="G13" s="188">
        <v>5</v>
      </c>
      <c r="H13" s="188">
        <v>6</v>
      </c>
      <c r="I13" s="188">
        <v>7</v>
      </c>
      <c r="J13" s="188">
        <v>8</v>
      </c>
      <c r="K13" s="188">
        <v>9</v>
      </c>
      <c r="L13" s="188">
        <v>10</v>
      </c>
      <c r="M13" s="188">
        <v>11</v>
      </c>
      <c r="N13" s="188">
        <v>12</v>
      </c>
      <c r="O13" s="188">
        <v>13</v>
      </c>
      <c r="P13" s="188">
        <v>14</v>
      </c>
      <c r="Q13" s="188">
        <v>15</v>
      </c>
      <c r="R13" s="188">
        <v>16</v>
      </c>
      <c r="S13" s="188">
        <v>17</v>
      </c>
      <c r="T13" s="188">
        <v>18</v>
      </c>
      <c r="U13" s="188">
        <v>19</v>
      </c>
      <c r="V13" s="188">
        <v>20</v>
      </c>
      <c r="W13" s="188">
        <v>21</v>
      </c>
      <c r="X13" s="188">
        <v>22</v>
      </c>
      <c r="Y13" s="188">
        <v>23</v>
      </c>
      <c r="Z13" s="188">
        <v>24</v>
      </c>
      <c r="AA13" s="188">
        <v>25</v>
      </c>
      <c r="AB13" s="188">
        <v>26</v>
      </c>
      <c r="AC13" s="188">
        <v>27</v>
      </c>
      <c r="AD13" s="188">
        <v>28</v>
      </c>
      <c r="AE13" s="188">
        <v>29</v>
      </c>
      <c r="AF13" s="188">
        <v>30</v>
      </c>
      <c r="AG13" s="189"/>
    </row>
    <row r="14" spans="1:33" s="187" customFormat="1" ht="27" customHeight="1" x14ac:dyDescent="0.35">
      <c r="A14" s="388" t="s">
        <v>93</v>
      </c>
      <c r="B14" s="389"/>
      <c r="C14" s="190">
        <v>1</v>
      </c>
      <c r="D14" s="191">
        <v>0</v>
      </c>
      <c r="E14" s="192">
        <v>0</v>
      </c>
      <c r="F14" s="193">
        <v>0</v>
      </c>
      <c r="G14" s="193">
        <v>0</v>
      </c>
      <c r="H14" s="192">
        <v>0</v>
      </c>
      <c r="I14" s="192">
        <v>0</v>
      </c>
      <c r="J14" s="193">
        <v>1</v>
      </c>
      <c r="K14" s="193">
        <v>1</v>
      </c>
      <c r="L14" s="192">
        <v>0</v>
      </c>
      <c r="M14" s="192">
        <v>0</v>
      </c>
      <c r="N14" s="193">
        <v>1</v>
      </c>
      <c r="O14" s="193">
        <v>0</v>
      </c>
      <c r="P14" s="192">
        <v>1</v>
      </c>
      <c r="Q14" s="192">
        <v>0</v>
      </c>
      <c r="R14" s="192">
        <v>1</v>
      </c>
      <c r="S14" s="193">
        <v>1</v>
      </c>
      <c r="T14" s="192">
        <v>0</v>
      </c>
      <c r="U14" s="192">
        <v>1</v>
      </c>
      <c r="V14" s="193">
        <v>0</v>
      </c>
      <c r="W14" s="193">
        <v>0</v>
      </c>
      <c r="X14" s="192">
        <v>0</v>
      </c>
      <c r="Y14" s="192">
        <v>0</v>
      </c>
      <c r="Z14" s="193">
        <v>0</v>
      </c>
      <c r="AA14" s="193">
        <v>0</v>
      </c>
      <c r="AB14" s="192">
        <v>1</v>
      </c>
      <c r="AC14" s="192">
        <v>0</v>
      </c>
      <c r="AD14" s="193">
        <v>0</v>
      </c>
      <c r="AE14" s="193">
        <v>0</v>
      </c>
      <c r="AF14" s="192">
        <v>0</v>
      </c>
      <c r="AG14" s="194"/>
    </row>
    <row r="15" spans="1:33" s="187" customFormat="1" ht="27" customHeight="1" x14ac:dyDescent="0.35">
      <c r="A15" s="390" t="s">
        <v>95</v>
      </c>
      <c r="B15" s="391"/>
      <c r="C15" s="190">
        <v>1</v>
      </c>
      <c r="D15" s="191">
        <v>1</v>
      </c>
      <c r="E15" s="195">
        <v>0</v>
      </c>
      <c r="F15" s="195">
        <v>0</v>
      </c>
      <c r="G15" s="196">
        <v>1</v>
      </c>
      <c r="H15" s="196">
        <v>1</v>
      </c>
      <c r="I15" s="195">
        <v>0</v>
      </c>
      <c r="J15" s="195">
        <v>1</v>
      </c>
      <c r="K15" s="196">
        <v>0</v>
      </c>
      <c r="L15" s="196">
        <v>0</v>
      </c>
      <c r="M15" s="195">
        <v>0</v>
      </c>
      <c r="N15" s="195">
        <v>1</v>
      </c>
      <c r="O15" s="196">
        <v>0</v>
      </c>
      <c r="P15" s="196">
        <v>1</v>
      </c>
      <c r="Q15" s="195">
        <v>1</v>
      </c>
      <c r="R15" s="196">
        <v>1</v>
      </c>
      <c r="S15" s="196">
        <v>0</v>
      </c>
      <c r="T15" s="196">
        <v>0</v>
      </c>
      <c r="U15" s="195">
        <v>0</v>
      </c>
      <c r="V15" s="195">
        <v>1</v>
      </c>
      <c r="W15" s="196">
        <v>1</v>
      </c>
      <c r="X15" s="196">
        <v>0</v>
      </c>
      <c r="Y15" s="195">
        <v>1</v>
      </c>
      <c r="Z15" s="195">
        <v>1</v>
      </c>
      <c r="AA15" s="196">
        <v>0</v>
      </c>
      <c r="AB15" s="196">
        <v>1</v>
      </c>
      <c r="AC15" s="195">
        <v>1</v>
      </c>
      <c r="AD15" s="195">
        <v>1</v>
      </c>
      <c r="AE15" s="196">
        <v>1</v>
      </c>
      <c r="AF15" s="196">
        <v>1</v>
      </c>
      <c r="AG15" s="197"/>
    </row>
    <row r="16" spans="1:33" s="187" customFormat="1" ht="27" customHeight="1" x14ac:dyDescent="0.35">
      <c r="A16" s="390" t="s">
        <v>151</v>
      </c>
      <c r="B16" s="391"/>
      <c r="C16" s="190">
        <v>0</v>
      </c>
      <c r="D16" s="191">
        <v>0</v>
      </c>
      <c r="E16" s="196">
        <v>0</v>
      </c>
      <c r="F16" s="195">
        <v>0</v>
      </c>
      <c r="G16" s="195">
        <v>0</v>
      </c>
      <c r="H16" s="196">
        <v>0</v>
      </c>
      <c r="I16" s="196">
        <v>0</v>
      </c>
      <c r="J16" s="195">
        <v>0</v>
      </c>
      <c r="K16" s="195">
        <v>0</v>
      </c>
      <c r="L16" s="196">
        <v>0</v>
      </c>
      <c r="M16" s="196">
        <v>0</v>
      </c>
      <c r="N16" s="195">
        <v>0</v>
      </c>
      <c r="O16" s="195">
        <v>0</v>
      </c>
      <c r="P16" s="196">
        <v>0</v>
      </c>
      <c r="Q16" s="196">
        <v>0</v>
      </c>
      <c r="R16" s="196">
        <v>0</v>
      </c>
      <c r="S16" s="195">
        <v>0</v>
      </c>
      <c r="T16" s="196">
        <v>0</v>
      </c>
      <c r="U16" s="196">
        <v>0</v>
      </c>
      <c r="V16" s="195">
        <v>0</v>
      </c>
      <c r="W16" s="195">
        <v>0</v>
      </c>
      <c r="X16" s="196">
        <v>0</v>
      </c>
      <c r="Y16" s="196">
        <v>0</v>
      </c>
      <c r="Z16" s="195">
        <v>0</v>
      </c>
      <c r="AA16" s="195">
        <v>0</v>
      </c>
      <c r="AB16" s="196">
        <v>0</v>
      </c>
      <c r="AC16" s="196">
        <v>0</v>
      </c>
      <c r="AD16" s="195">
        <v>0</v>
      </c>
      <c r="AE16" s="195">
        <v>0</v>
      </c>
      <c r="AF16" s="196">
        <v>0</v>
      </c>
      <c r="AG16" s="198"/>
    </row>
    <row r="17" spans="1:33" s="187" customFormat="1" ht="27" customHeight="1" x14ac:dyDescent="0.35">
      <c r="A17" s="392" t="s">
        <v>94</v>
      </c>
      <c r="B17" s="393"/>
      <c r="C17" s="190">
        <v>0</v>
      </c>
      <c r="D17" s="191">
        <v>0</v>
      </c>
      <c r="E17" s="196">
        <v>0</v>
      </c>
      <c r="F17" s="196">
        <v>0</v>
      </c>
      <c r="G17" s="195">
        <v>1</v>
      </c>
      <c r="H17" s="196">
        <v>1</v>
      </c>
      <c r="I17" s="196">
        <v>0</v>
      </c>
      <c r="J17" s="196">
        <v>1</v>
      </c>
      <c r="K17" s="195">
        <v>1</v>
      </c>
      <c r="L17" s="195">
        <v>0</v>
      </c>
      <c r="M17" s="196">
        <v>0</v>
      </c>
      <c r="N17" s="196">
        <v>1</v>
      </c>
      <c r="O17" s="195">
        <v>1</v>
      </c>
      <c r="P17" s="196">
        <v>1</v>
      </c>
      <c r="Q17" s="196">
        <v>1</v>
      </c>
      <c r="R17" s="196">
        <v>1</v>
      </c>
      <c r="S17" s="195">
        <v>1</v>
      </c>
      <c r="T17" s="196">
        <v>0</v>
      </c>
      <c r="U17" s="196">
        <v>1</v>
      </c>
      <c r="V17" s="196">
        <v>1</v>
      </c>
      <c r="W17" s="195">
        <v>1</v>
      </c>
      <c r="X17" s="196">
        <v>0</v>
      </c>
      <c r="Y17" s="196">
        <v>1</v>
      </c>
      <c r="Z17" s="196">
        <v>1</v>
      </c>
      <c r="AA17" s="195">
        <v>0</v>
      </c>
      <c r="AB17" s="196">
        <v>1</v>
      </c>
      <c r="AC17" s="196">
        <v>1</v>
      </c>
      <c r="AD17" s="196">
        <v>1</v>
      </c>
      <c r="AE17" s="195">
        <v>1</v>
      </c>
      <c r="AF17" s="195">
        <v>1</v>
      </c>
      <c r="AG17" s="198"/>
    </row>
    <row r="18" spans="1:33" s="187" customFormat="1" ht="27" customHeight="1" x14ac:dyDescent="0.35">
      <c r="A18" s="394" t="s">
        <v>96</v>
      </c>
      <c r="B18" s="395"/>
      <c r="C18" s="190">
        <v>1</v>
      </c>
      <c r="D18" s="191">
        <v>0</v>
      </c>
      <c r="E18" s="196">
        <v>1</v>
      </c>
      <c r="F18" s="196">
        <v>0</v>
      </c>
      <c r="G18" s="195">
        <v>0</v>
      </c>
      <c r="H18" s="196">
        <v>0</v>
      </c>
      <c r="I18" s="196">
        <v>0</v>
      </c>
      <c r="J18" s="196">
        <v>0</v>
      </c>
      <c r="K18" s="195">
        <v>0</v>
      </c>
      <c r="L18" s="195">
        <v>0</v>
      </c>
      <c r="M18" s="196">
        <v>0</v>
      </c>
      <c r="N18" s="196">
        <v>0</v>
      </c>
      <c r="O18" s="196">
        <v>0</v>
      </c>
      <c r="P18" s="196">
        <v>0</v>
      </c>
      <c r="Q18" s="196">
        <v>0</v>
      </c>
      <c r="R18" s="195">
        <v>0</v>
      </c>
      <c r="S18" s="195">
        <v>1</v>
      </c>
      <c r="T18" s="195">
        <v>0</v>
      </c>
      <c r="U18" s="196">
        <v>0</v>
      </c>
      <c r="V18" s="196">
        <v>0</v>
      </c>
      <c r="W18" s="196">
        <v>0</v>
      </c>
      <c r="X18" s="196">
        <v>0</v>
      </c>
      <c r="Y18" s="196">
        <v>0</v>
      </c>
      <c r="Z18" s="196">
        <v>1</v>
      </c>
      <c r="AA18" s="195">
        <v>0</v>
      </c>
      <c r="AB18" s="195">
        <v>0</v>
      </c>
      <c r="AC18" s="196">
        <v>0</v>
      </c>
      <c r="AD18" s="196">
        <v>0</v>
      </c>
      <c r="AE18" s="195">
        <v>0</v>
      </c>
      <c r="AF18" s="195">
        <v>0</v>
      </c>
      <c r="AG18" s="198"/>
    </row>
    <row r="19" spans="1:33" s="187" customFormat="1" ht="27" customHeight="1" x14ac:dyDescent="0.35">
      <c r="A19" s="394" t="s">
        <v>97</v>
      </c>
      <c r="B19" s="395"/>
      <c r="C19" s="190">
        <v>1</v>
      </c>
      <c r="D19" s="196">
        <v>1</v>
      </c>
      <c r="E19" s="196">
        <v>1</v>
      </c>
      <c r="F19" s="195">
        <v>0</v>
      </c>
      <c r="G19" s="195">
        <v>0</v>
      </c>
      <c r="H19" s="196">
        <v>0</v>
      </c>
      <c r="I19" s="196">
        <v>0</v>
      </c>
      <c r="J19" s="195">
        <v>0</v>
      </c>
      <c r="K19" s="195">
        <v>1</v>
      </c>
      <c r="L19" s="196">
        <v>0</v>
      </c>
      <c r="M19" s="196">
        <v>0</v>
      </c>
      <c r="N19" s="195">
        <v>1</v>
      </c>
      <c r="O19" s="196">
        <v>0</v>
      </c>
      <c r="P19" s="196">
        <v>0</v>
      </c>
      <c r="Q19" s="196">
        <v>1</v>
      </c>
      <c r="R19" s="195">
        <v>1</v>
      </c>
      <c r="S19" s="196">
        <v>1</v>
      </c>
      <c r="T19" s="196">
        <v>0</v>
      </c>
      <c r="U19" s="196">
        <v>1</v>
      </c>
      <c r="V19" s="196">
        <v>1</v>
      </c>
      <c r="W19" s="196">
        <v>1</v>
      </c>
      <c r="X19" s="196">
        <v>1</v>
      </c>
      <c r="Y19" s="196">
        <v>1</v>
      </c>
      <c r="Z19" s="195">
        <v>1</v>
      </c>
      <c r="AA19" s="195">
        <v>0</v>
      </c>
      <c r="AB19" s="196">
        <v>0</v>
      </c>
      <c r="AC19" s="196">
        <v>1</v>
      </c>
      <c r="AD19" s="196">
        <v>0</v>
      </c>
      <c r="AE19" s="195">
        <v>1</v>
      </c>
      <c r="AF19" s="196">
        <v>1</v>
      </c>
      <c r="AG19" s="198"/>
    </row>
    <row r="20" spans="1:33" ht="21.5" thickBot="1" x14ac:dyDescent="0.4">
      <c r="A20" s="396" t="s">
        <v>359</v>
      </c>
      <c r="B20" s="397"/>
      <c r="C20" s="190">
        <v>0</v>
      </c>
      <c r="D20" s="199">
        <v>0</v>
      </c>
      <c r="E20" s="199">
        <v>0</v>
      </c>
      <c r="F20" s="200">
        <v>0</v>
      </c>
      <c r="G20" s="200">
        <v>0</v>
      </c>
      <c r="H20" s="200">
        <v>0</v>
      </c>
      <c r="I20" s="200">
        <v>1</v>
      </c>
      <c r="J20" s="200">
        <v>0</v>
      </c>
      <c r="K20" s="200">
        <v>0</v>
      </c>
      <c r="L20" s="200">
        <v>0</v>
      </c>
      <c r="M20" s="200">
        <v>0</v>
      </c>
      <c r="N20" s="200">
        <v>0</v>
      </c>
      <c r="O20" s="200">
        <v>0</v>
      </c>
      <c r="P20" s="200">
        <v>0</v>
      </c>
      <c r="Q20" s="200">
        <v>0</v>
      </c>
      <c r="R20" s="200">
        <v>0</v>
      </c>
      <c r="S20" s="200">
        <v>0</v>
      </c>
      <c r="T20" s="200">
        <v>0</v>
      </c>
      <c r="U20" s="200">
        <v>0</v>
      </c>
      <c r="V20" s="200">
        <v>0</v>
      </c>
      <c r="W20" s="200">
        <v>0</v>
      </c>
      <c r="X20" s="200">
        <v>0</v>
      </c>
      <c r="Y20" s="200">
        <v>0</v>
      </c>
      <c r="Z20" s="200">
        <v>0</v>
      </c>
      <c r="AA20" s="200">
        <v>0</v>
      </c>
      <c r="AB20" s="200">
        <v>0</v>
      </c>
      <c r="AC20" s="200">
        <v>0</v>
      </c>
      <c r="AD20" s="200">
        <v>0</v>
      </c>
      <c r="AE20" s="200">
        <v>0</v>
      </c>
      <c r="AF20" s="200">
        <v>0</v>
      </c>
      <c r="AG20" s="201"/>
    </row>
    <row r="21" spans="1:33" ht="12.75" customHeight="1" thickBot="1" x14ac:dyDescent="0.4"/>
    <row r="22" spans="1:33" ht="12.75" customHeight="1" thickBot="1" x14ac:dyDescent="0.4"/>
    <row r="23" spans="1:33" ht="24" thickBot="1" x14ac:dyDescent="0.4">
      <c r="A23" s="176"/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261"/>
      <c r="AF23" s="261"/>
      <c r="AG23" s="178"/>
    </row>
    <row r="24" spans="1:33" ht="24" thickBot="1" x14ac:dyDescent="0.4">
      <c r="A24" s="179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413" t="s">
        <v>423</v>
      </c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  <c r="AA24" s="414"/>
      <c r="AB24" s="414"/>
      <c r="AC24" s="414"/>
      <c r="AD24" s="415"/>
      <c r="AE24" s="177"/>
      <c r="AF24" s="177"/>
      <c r="AG24" s="180"/>
    </row>
    <row r="25" spans="1:33" ht="24" thickBot="1" x14ac:dyDescent="0.4">
      <c r="A25" s="179"/>
      <c r="B25" s="177"/>
      <c r="C25" s="416" t="s">
        <v>424</v>
      </c>
      <c r="D25" s="417"/>
      <c r="E25" s="417" t="s">
        <v>207</v>
      </c>
      <c r="F25" s="417"/>
      <c r="G25" s="417" t="s">
        <v>208</v>
      </c>
      <c r="H25" s="417"/>
      <c r="I25" s="418"/>
      <c r="J25" s="413" t="s">
        <v>425</v>
      </c>
      <c r="K25" s="415"/>
      <c r="L25" s="177"/>
      <c r="M25" s="419" t="s">
        <v>391</v>
      </c>
      <c r="N25" s="420"/>
      <c r="O25" s="421" t="s">
        <v>95</v>
      </c>
      <c r="P25" s="421"/>
      <c r="Q25" s="421" t="s">
        <v>151</v>
      </c>
      <c r="R25" s="421"/>
      <c r="S25" s="422"/>
      <c r="T25" s="423" t="s">
        <v>94</v>
      </c>
      <c r="U25" s="424"/>
      <c r="V25" s="425" t="s">
        <v>97</v>
      </c>
      <c r="W25" s="426"/>
      <c r="X25" s="425" t="s">
        <v>96</v>
      </c>
      <c r="Y25" s="426"/>
      <c r="Z25" s="427" t="s">
        <v>359</v>
      </c>
      <c r="AA25" s="428"/>
      <c r="AB25" s="416" t="s">
        <v>426</v>
      </c>
      <c r="AC25" s="417"/>
      <c r="AD25" s="418"/>
      <c r="AE25" s="177"/>
      <c r="AF25" s="177"/>
      <c r="AG25" s="180"/>
    </row>
    <row r="26" spans="1:33" ht="24" thickBot="1" x14ac:dyDescent="0.4">
      <c r="A26" s="179"/>
      <c r="B26" s="177"/>
      <c r="C26" s="406">
        <v>44835</v>
      </c>
      <c r="D26" s="407"/>
      <c r="E26" s="408">
        <f ca="1">TODAY()</f>
        <v>44918</v>
      </c>
      <c r="F26" s="407"/>
      <c r="G26" s="409">
        <f ca="1">E26-C26</f>
        <v>83</v>
      </c>
      <c r="H26" s="402"/>
      <c r="I26" s="403"/>
      <c r="J26" s="410">
        <f>SUM(C32:AG38)/60</f>
        <v>1.05</v>
      </c>
      <c r="K26" s="411"/>
      <c r="L26" s="177"/>
      <c r="M26" s="401">
        <f>SUM(C32:AG32)</f>
        <v>13</v>
      </c>
      <c r="N26" s="412"/>
      <c r="O26" s="409">
        <f>SUM(C33:AG33)</f>
        <v>18</v>
      </c>
      <c r="P26" s="412"/>
      <c r="Q26" s="409">
        <f>SUM(C34:AG34)</f>
        <v>0</v>
      </c>
      <c r="R26" s="402"/>
      <c r="S26" s="403"/>
      <c r="T26" s="398">
        <f>SUM(C35:AG35)</f>
        <v>21</v>
      </c>
      <c r="U26" s="399"/>
      <c r="V26" s="398">
        <f>SUM(C37:AG37)</f>
        <v>10</v>
      </c>
      <c r="W26" s="399"/>
      <c r="X26" s="398">
        <f>SUM(C36:AG36)</f>
        <v>1</v>
      </c>
      <c r="Y26" s="399"/>
      <c r="Z26" s="398">
        <f>SUM(C38:AG38)</f>
        <v>0</v>
      </c>
      <c r="AA26" s="400"/>
      <c r="AB26" s="401">
        <f>SUM(M26:AA26)</f>
        <v>63</v>
      </c>
      <c r="AC26" s="402"/>
      <c r="AD26" s="403"/>
      <c r="AE26" s="177"/>
      <c r="AF26" s="177"/>
      <c r="AG26" s="180"/>
    </row>
    <row r="27" spans="1:33" ht="23.5" x14ac:dyDescent="0.35">
      <c r="A27" s="179"/>
      <c r="B27" s="177"/>
      <c r="C27" s="181"/>
      <c r="D27" s="181"/>
      <c r="E27" s="181"/>
      <c r="F27" s="181"/>
      <c r="G27" s="182"/>
      <c r="H27" s="182"/>
      <c r="I27" s="182"/>
      <c r="J27" s="183"/>
      <c r="K27" s="183"/>
      <c r="L27" s="177"/>
      <c r="M27" s="404"/>
      <c r="N27" s="404"/>
      <c r="O27" s="404"/>
      <c r="P27" s="404"/>
      <c r="Q27" s="404"/>
      <c r="R27" s="404"/>
      <c r="S27" s="404"/>
      <c r="T27" s="405"/>
      <c r="U27" s="405"/>
      <c r="V27" s="405"/>
      <c r="W27" s="405"/>
      <c r="X27" s="405"/>
      <c r="Y27" s="405"/>
      <c r="Z27" s="405"/>
      <c r="AA27" s="405"/>
      <c r="AB27" s="177"/>
      <c r="AC27" s="177"/>
      <c r="AD27" s="177"/>
      <c r="AE27" s="177"/>
      <c r="AF27" s="177"/>
      <c r="AG27" s="180"/>
    </row>
    <row r="28" spans="1:33" ht="24" thickBot="1" x14ac:dyDescent="0.4">
      <c r="A28" s="179"/>
      <c r="B28" s="177"/>
      <c r="C28" s="181"/>
      <c r="D28" s="181"/>
      <c r="E28" s="181"/>
      <c r="F28" s="181"/>
      <c r="G28" s="182"/>
      <c r="H28" s="182"/>
      <c r="I28" s="182"/>
      <c r="J28" s="183"/>
      <c r="K28" s="183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80"/>
    </row>
    <row r="29" spans="1:33" ht="21.5" thickBot="1" x14ac:dyDescent="0.4">
      <c r="A29" s="381" t="s">
        <v>427</v>
      </c>
      <c r="B29" s="382"/>
      <c r="C29" s="382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  <c r="AA29" s="382"/>
      <c r="AB29" s="382"/>
      <c r="AC29" s="382"/>
      <c r="AD29" s="382"/>
      <c r="AE29" s="382"/>
      <c r="AF29" s="382"/>
      <c r="AG29" s="383"/>
    </row>
    <row r="30" spans="1:33" ht="19" thickBot="1" x14ac:dyDescent="0.4">
      <c r="A30" s="384" t="s">
        <v>593</v>
      </c>
      <c r="B30" s="385"/>
      <c r="C30" s="184" t="str">
        <f>TEXT(C31,"DDD")</f>
        <v>sáb</v>
      </c>
      <c r="D30" s="185" t="str">
        <f t="shared" ref="D30:AG30" si="1">TEXT(D31,"DDD")</f>
        <v>dom</v>
      </c>
      <c r="E30" s="185" t="str">
        <f t="shared" si="1"/>
        <v>seg</v>
      </c>
      <c r="F30" s="185" t="str">
        <f t="shared" si="1"/>
        <v>ter</v>
      </c>
      <c r="G30" s="185" t="str">
        <f t="shared" si="1"/>
        <v>qua</v>
      </c>
      <c r="H30" s="185" t="str">
        <f t="shared" si="1"/>
        <v>qui</v>
      </c>
      <c r="I30" s="185" t="str">
        <f t="shared" si="1"/>
        <v>sex</v>
      </c>
      <c r="J30" s="185" t="str">
        <f t="shared" si="1"/>
        <v>sáb</v>
      </c>
      <c r="K30" s="185" t="str">
        <f t="shared" si="1"/>
        <v>dom</v>
      </c>
      <c r="L30" s="185" t="str">
        <f t="shared" si="1"/>
        <v>seg</v>
      </c>
      <c r="M30" s="185" t="str">
        <f t="shared" si="1"/>
        <v>ter</v>
      </c>
      <c r="N30" s="185" t="str">
        <f t="shared" si="1"/>
        <v>qua</v>
      </c>
      <c r="O30" s="185" t="str">
        <f t="shared" si="1"/>
        <v>qui</v>
      </c>
      <c r="P30" s="185" t="str">
        <f t="shared" si="1"/>
        <v>sex</v>
      </c>
      <c r="Q30" s="185" t="str">
        <f t="shared" si="1"/>
        <v>sáb</v>
      </c>
      <c r="R30" s="185" t="str">
        <f t="shared" si="1"/>
        <v>dom</v>
      </c>
      <c r="S30" s="185" t="str">
        <f t="shared" si="1"/>
        <v>seg</v>
      </c>
      <c r="T30" s="185" t="str">
        <f t="shared" si="1"/>
        <v>ter</v>
      </c>
      <c r="U30" s="185" t="str">
        <f t="shared" si="1"/>
        <v>qua</v>
      </c>
      <c r="V30" s="185" t="str">
        <f t="shared" si="1"/>
        <v>qui</v>
      </c>
      <c r="W30" s="185" t="str">
        <f t="shared" si="1"/>
        <v>sex</v>
      </c>
      <c r="X30" s="185" t="str">
        <f t="shared" si="1"/>
        <v>sáb</v>
      </c>
      <c r="Y30" s="185" t="str">
        <f t="shared" si="1"/>
        <v>dom</v>
      </c>
      <c r="Z30" s="185" t="str">
        <f t="shared" si="1"/>
        <v>seg</v>
      </c>
      <c r="AA30" s="185" t="str">
        <f t="shared" si="1"/>
        <v>ter</v>
      </c>
      <c r="AB30" s="185" t="str">
        <f t="shared" si="1"/>
        <v>qua</v>
      </c>
      <c r="AC30" s="185" t="str">
        <f t="shared" si="1"/>
        <v>qui</v>
      </c>
      <c r="AD30" s="185" t="str">
        <f t="shared" si="1"/>
        <v>sex</v>
      </c>
      <c r="AE30" s="185" t="str">
        <f t="shared" si="1"/>
        <v>sáb</v>
      </c>
      <c r="AF30" s="185" t="str">
        <f t="shared" si="1"/>
        <v>dom</v>
      </c>
      <c r="AG30" s="185" t="str">
        <f t="shared" si="1"/>
        <v>seg</v>
      </c>
    </row>
    <row r="31" spans="1:33" ht="19" thickBot="1" x14ac:dyDescent="0.4">
      <c r="A31" s="386"/>
      <c r="B31" s="387"/>
      <c r="C31" s="188">
        <v>44835</v>
      </c>
      <c r="D31" s="188">
        <v>44836</v>
      </c>
      <c r="E31" s="188">
        <v>44837</v>
      </c>
      <c r="F31" s="188">
        <v>44838</v>
      </c>
      <c r="G31" s="188">
        <v>44839</v>
      </c>
      <c r="H31" s="188">
        <v>44840</v>
      </c>
      <c r="I31" s="188">
        <v>44841</v>
      </c>
      <c r="J31" s="188">
        <v>44842</v>
      </c>
      <c r="K31" s="188">
        <v>44843</v>
      </c>
      <c r="L31" s="188">
        <v>44844</v>
      </c>
      <c r="M31" s="188">
        <v>44845</v>
      </c>
      <c r="N31" s="188">
        <v>44846</v>
      </c>
      <c r="O31" s="188">
        <v>44847</v>
      </c>
      <c r="P31" s="188">
        <v>44848</v>
      </c>
      <c r="Q31" s="188">
        <v>44849</v>
      </c>
      <c r="R31" s="188">
        <v>44850</v>
      </c>
      <c r="S31" s="188">
        <v>44851</v>
      </c>
      <c r="T31" s="188">
        <v>44852</v>
      </c>
      <c r="U31" s="188">
        <v>44853</v>
      </c>
      <c r="V31" s="188">
        <v>44854</v>
      </c>
      <c r="W31" s="188">
        <v>44855</v>
      </c>
      <c r="X31" s="188">
        <v>44856</v>
      </c>
      <c r="Y31" s="188">
        <v>44857</v>
      </c>
      <c r="Z31" s="188">
        <v>44858</v>
      </c>
      <c r="AA31" s="188">
        <v>44859</v>
      </c>
      <c r="AB31" s="188">
        <v>44860</v>
      </c>
      <c r="AC31" s="188">
        <v>44861</v>
      </c>
      <c r="AD31" s="188">
        <v>44862</v>
      </c>
      <c r="AE31" s="188">
        <v>44863</v>
      </c>
      <c r="AF31" s="188">
        <v>44864</v>
      </c>
      <c r="AG31" s="188">
        <v>44865</v>
      </c>
    </row>
    <row r="32" spans="1:33" ht="21" x14ac:dyDescent="0.35">
      <c r="A32" s="388" t="s">
        <v>93</v>
      </c>
      <c r="B32" s="389"/>
      <c r="C32" s="190">
        <v>1</v>
      </c>
      <c r="D32" s="190">
        <v>0</v>
      </c>
      <c r="E32" s="190">
        <v>0</v>
      </c>
      <c r="F32" s="193">
        <v>1</v>
      </c>
      <c r="G32" s="193">
        <v>0</v>
      </c>
      <c r="H32" s="192">
        <v>0</v>
      </c>
      <c r="I32" s="192">
        <v>1</v>
      </c>
      <c r="J32" s="193">
        <v>0</v>
      </c>
      <c r="K32" s="193">
        <v>0</v>
      </c>
      <c r="L32" s="192">
        <v>0</v>
      </c>
      <c r="M32" s="192">
        <v>0</v>
      </c>
      <c r="N32" s="193">
        <v>0</v>
      </c>
      <c r="O32" s="193">
        <v>1</v>
      </c>
      <c r="P32" s="192">
        <v>0</v>
      </c>
      <c r="Q32" s="192">
        <v>1</v>
      </c>
      <c r="R32" s="192">
        <v>0</v>
      </c>
      <c r="S32" s="193">
        <v>1</v>
      </c>
      <c r="T32" s="192">
        <v>0</v>
      </c>
      <c r="U32" s="192">
        <v>1</v>
      </c>
      <c r="V32" s="193">
        <v>1</v>
      </c>
      <c r="W32" s="193">
        <v>0</v>
      </c>
      <c r="X32" s="192">
        <v>0</v>
      </c>
      <c r="Y32" s="192">
        <v>1</v>
      </c>
      <c r="Z32" s="193">
        <v>0</v>
      </c>
      <c r="AA32" s="193">
        <v>0</v>
      </c>
      <c r="AB32" s="192">
        <v>1</v>
      </c>
      <c r="AC32" s="192">
        <v>1</v>
      </c>
      <c r="AD32" s="193">
        <v>0</v>
      </c>
      <c r="AE32" s="193">
        <v>1</v>
      </c>
      <c r="AF32" s="192">
        <v>0</v>
      </c>
      <c r="AG32" s="194">
        <v>1</v>
      </c>
    </row>
    <row r="33" spans="1:33" ht="21" x14ac:dyDescent="0.35">
      <c r="A33" s="390" t="s">
        <v>95</v>
      </c>
      <c r="B33" s="391"/>
      <c r="C33" s="190">
        <v>0</v>
      </c>
      <c r="D33" s="190">
        <v>0</v>
      </c>
      <c r="E33" s="190">
        <v>1</v>
      </c>
      <c r="F33" s="195">
        <v>1</v>
      </c>
      <c r="G33" s="196">
        <v>0</v>
      </c>
      <c r="H33" s="196">
        <v>1</v>
      </c>
      <c r="I33" s="195">
        <v>0</v>
      </c>
      <c r="J33" s="195">
        <v>0</v>
      </c>
      <c r="K33" s="196">
        <v>0</v>
      </c>
      <c r="L33" s="196">
        <v>1</v>
      </c>
      <c r="M33" s="195">
        <v>1</v>
      </c>
      <c r="N33" s="195">
        <v>0</v>
      </c>
      <c r="O33" s="196">
        <v>1</v>
      </c>
      <c r="P33" s="196">
        <v>0</v>
      </c>
      <c r="Q33" s="195">
        <v>1</v>
      </c>
      <c r="R33" s="196">
        <v>0</v>
      </c>
      <c r="S33" s="196">
        <v>1</v>
      </c>
      <c r="T33" s="196">
        <v>1</v>
      </c>
      <c r="U33" s="195">
        <v>1</v>
      </c>
      <c r="V33" s="195">
        <v>1</v>
      </c>
      <c r="W33" s="196">
        <v>1</v>
      </c>
      <c r="X33" s="196">
        <v>0</v>
      </c>
      <c r="Y33" s="195">
        <v>0</v>
      </c>
      <c r="Z33" s="195">
        <v>1</v>
      </c>
      <c r="AA33" s="196">
        <v>1</v>
      </c>
      <c r="AB33" s="196">
        <v>1</v>
      </c>
      <c r="AC33" s="195">
        <v>1</v>
      </c>
      <c r="AD33" s="195">
        <v>1</v>
      </c>
      <c r="AE33" s="196">
        <v>0</v>
      </c>
      <c r="AF33" s="196">
        <v>0</v>
      </c>
      <c r="AG33" s="197">
        <v>1</v>
      </c>
    </row>
    <row r="34" spans="1:33" ht="21" x14ac:dyDescent="0.35">
      <c r="A34" s="390" t="s">
        <v>151</v>
      </c>
      <c r="B34" s="391"/>
      <c r="C34" s="190">
        <v>0</v>
      </c>
      <c r="D34" s="190">
        <v>0</v>
      </c>
      <c r="E34" s="190">
        <v>0</v>
      </c>
      <c r="F34" s="195">
        <v>0</v>
      </c>
      <c r="G34" s="195">
        <v>0</v>
      </c>
      <c r="H34" s="196">
        <v>0</v>
      </c>
      <c r="I34" s="196">
        <v>0</v>
      </c>
      <c r="J34" s="195">
        <v>0</v>
      </c>
      <c r="K34" s="195">
        <v>0</v>
      </c>
      <c r="L34" s="196">
        <v>0</v>
      </c>
      <c r="M34" s="196">
        <v>0</v>
      </c>
      <c r="N34" s="195">
        <v>0</v>
      </c>
      <c r="O34" s="195">
        <v>0</v>
      </c>
      <c r="P34" s="196">
        <v>0</v>
      </c>
      <c r="Q34" s="196">
        <v>0</v>
      </c>
      <c r="R34" s="196">
        <v>0</v>
      </c>
      <c r="S34" s="195">
        <v>0</v>
      </c>
      <c r="T34" s="196">
        <v>0</v>
      </c>
      <c r="U34" s="196">
        <v>0</v>
      </c>
      <c r="V34" s="195">
        <v>0</v>
      </c>
      <c r="W34" s="195">
        <v>0</v>
      </c>
      <c r="X34" s="196">
        <v>0</v>
      </c>
      <c r="Y34" s="196">
        <v>0</v>
      </c>
      <c r="Z34" s="195">
        <v>0</v>
      </c>
      <c r="AA34" s="195">
        <v>0</v>
      </c>
      <c r="AB34" s="196">
        <v>0</v>
      </c>
      <c r="AC34" s="196">
        <v>0</v>
      </c>
      <c r="AD34" s="195">
        <v>0</v>
      </c>
      <c r="AE34" s="195">
        <v>0</v>
      </c>
      <c r="AF34" s="196">
        <v>0</v>
      </c>
      <c r="AG34" s="198">
        <v>0</v>
      </c>
    </row>
    <row r="35" spans="1:33" ht="21" x14ac:dyDescent="0.35">
      <c r="A35" s="392" t="s">
        <v>94</v>
      </c>
      <c r="B35" s="393"/>
      <c r="C35" s="190">
        <v>1</v>
      </c>
      <c r="D35" s="190">
        <v>0</v>
      </c>
      <c r="E35" s="190">
        <v>1</v>
      </c>
      <c r="F35" s="196">
        <v>1</v>
      </c>
      <c r="G35" s="195">
        <v>1</v>
      </c>
      <c r="H35" s="196">
        <v>0</v>
      </c>
      <c r="I35" s="196">
        <v>1</v>
      </c>
      <c r="J35" s="196">
        <v>0</v>
      </c>
      <c r="K35" s="195">
        <v>0</v>
      </c>
      <c r="L35" s="195">
        <v>1</v>
      </c>
      <c r="M35" s="196">
        <v>1</v>
      </c>
      <c r="N35" s="196">
        <v>0</v>
      </c>
      <c r="O35" s="195">
        <v>0</v>
      </c>
      <c r="P35" s="196">
        <v>1</v>
      </c>
      <c r="Q35" s="196">
        <v>1</v>
      </c>
      <c r="R35" s="196">
        <v>0</v>
      </c>
      <c r="S35" s="195">
        <v>0</v>
      </c>
      <c r="T35" s="196">
        <v>1</v>
      </c>
      <c r="U35" s="196">
        <v>1</v>
      </c>
      <c r="V35" s="196">
        <v>1</v>
      </c>
      <c r="W35" s="195">
        <v>1</v>
      </c>
      <c r="X35" s="196">
        <v>0</v>
      </c>
      <c r="Y35" s="196">
        <v>1</v>
      </c>
      <c r="Z35" s="196">
        <v>1</v>
      </c>
      <c r="AA35" s="195">
        <v>1</v>
      </c>
      <c r="AB35" s="196">
        <v>1</v>
      </c>
      <c r="AC35" s="196">
        <v>1</v>
      </c>
      <c r="AD35" s="196">
        <v>1</v>
      </c>
      <c r="AE35" s="195">
        <v>1</v>
      </c>
      <c r="AF35" s="195">
        <v>0</v>
      </c>
      <c r="AG35" s="198">
        <v>1</v>
      </c>
    </row>
    <row r="36" spans="1:33" ht="21" x14ac:dyDescent="0.35">
      <c r="A36" s="394" t="s">
        <v>96</v>
      </c>
      <c r="B36" s="395"/>
      <c r="C36" s="190">
        <v>0</v>
      </c>
      <c r="D36" s="190">
        <v>0</v>
      </c>
      <c r="E36" s="190">
        <v>0</v>
      </c>
      <c r="F36" s="196">
        <v>0</v>
      </c>
      <c r="G36" s="195">
        <v>0</v>
      </c>
      <c r="H36" s="196">
        <v>0</v>
      </c>
      <c r="I36" s="196">
        <v>0</v>
      </c>
      <c r="J36" s="196">
        <v>1</v>
      </c>
      <c r="K36" s="195">
        <v>0</v>
      </c>
      <c r="L36" s="195">
        <v>0</v>
      </c>
      <c r="M36" s="196">
        <v>0</v>
      </c>
      <c r="N36" s="196">
        <v>0</v>
      </c>
      <c r="O36" s="196">
        <v>0</v>
      </c>
      <c r="P36" s="196">
        <v>0</v>
      </c>
      <c r="Q36" s="196">
        <v>0</v>
      </c>
      <c r="R36" s="195">
        <v>0</v>
      </c>
      <c r="S36" s="195">
        <v>0</v>
      </c>
      <c r="T36" s="195">
        <v>0</v>
      </c>
      <c r="U36" s="196">
        <v>0</v>
      </c>
      <c r="V36" s="196">
        <v>0</v>
      </c>
      <c r="W36" s="196">
        <v>0</v>
      </c>
      <c r="X36" s="196">
        <v>0</v>
      </c>
      <c r="Y36" s="196">
        <v>0</v>
      </c>
      <c r="Z36" s="196">
        <v>0</v>
      </c>
      <c r="AA36" s="195">
        <v>0</v>
      </c>
      <c r="AB36" s="195">
        <v>0</v>
      </c>
      <c r="AC36" s="196">
        <v>0</v>
      </c>
      <c r="AD36" s="196">
        <v>0</v>
      </c>
      <c r="AE36" s="195">
        <v>0</v>
      </c>
      <c r="AF36" s="195">
        <v>0</v>
      </c>
      <c r="AG36" s="198">
        <v>0</v>
      </c>
    </row>
    <row r="37" spans="1:33" ht="21" x14ac:dyDescent="0.35">
      <c r="A37" s="394" t="s">
        <v>97</v>
      </c>
      <c r="B37" s="395"/>
      <c r="C37" s="190">
        <v>0</v>
      </c>
      <c r="D37" s="190">
        <v>0</v>
      </c>
      <c r="E37" s="190">
        <v>0</v>
      </c>
      <c r="F37" s="195">
        <v>0</v>
      </c>
      <c r="G37" s="195">
        <v>1</v>
      </c>
      <c r="H37" s="196">
        <v>0</v>
      </c>
      <c r="I37" s="196">
        <v>1</v>
      </c>
      <c r="J37" s="195">
        <v>1</v>
      </c>
      <c r="K37" s="195">
        <v>0</v>
      </c>
      <c r="L37" s="196">
        <v>0</v>
      </c>
      <c r="M37" s="196">
        <v>0</v>
      </c>
      <c r="N37" s="195">
        <v>0</v>
      </c>
      <c r="O37" s="196">
        <v>1</v>
      </c>
      <c r="P37" s="196">
        <v>1</v>
      </c>
      <c r="Q37" s="196">
        <v>0</v>
      </c>
      <c r="R37" s="195">
        <v>0</v>
      </c>
      <c r="S37" s="196">
        <v>0</v>
      </c>
      <c r="T37" s="196">
        <v>1</v>
      </c>
      <c r="U37" s="196">
        <v>0</v>
      </c>
      <c r="V37" s="196">
        <v>0</v>
      </c>
      <c r="W37" s="196">
        <v>0</v>
      </c>
      <c r="X37" s="196">
        <v>0</v>
      </c>
      <c r="Y37" s="196">
        <v>0</v>
      </c>
      <c r="Z37" s="195">
        <v>1</v>
      </c>
      <c r="AA37" s="195">
        <v>0</v>
      </c>
      <c r="AB37" s="196">
        <v>1</v>
      </c>
      <c r="AC37" s="196">
        <v>0</v>
      </c>
      <c r="AD37" s="196">
        <v>1</v>
      </c>
      <c r="AE37" s="195">
        <v>0</v>
      </c>
      <c r="AF37" s="196">
        <v>0</v>
      </c>
      <c r="AG37" s="198">
        <v>1</v>
      </c>
    </row>
    <row r="38" spans="1:33" ht="21.5" thickBot="1" x14ac:dyDescent="0.4">
      <c r="A38" s="396" t="s">
        <v>359</v>
      </c>
      <c r="B38" s="397"/>
      <c r="C38" s="262">
        <v>0</v>
      </c>
      <c r="D38" s="262">
        <v>0</v>
      </c>
      <c r="E38" s="262">
        <v>0</v>
      </c>
      <c r="F38" s="200">
        <v>0</v>
      </c>
      <c r="G38" s="200">
        <v>0</v>
      </c>
      <c r="H38" s="200">
        <v>0</v>
      </c>
      <c r="I38" s="200">
        <v>0</v>
      </c>
      <c r="J38" s="200">
        <v>0</v>
      </c>
      <c r="K38" s="200">
        <v>0</v>
      </c>
      <c r="L38" s="200">
        <v>0</v>
      </c>
      <c r="M38" s="200">
        <v>0</v>
      </c>
      <c r="N38" s="200">
        <v>0</v>
      </c>
      <c r="O38" s="200">
        <v>0</v>
      </c>
      <c r="P38" s="200">
        <v>0</v>
      </c>
      <c r="Q38" s="200">
        <v>0</v>
      </c>
      <c r="R38" s="200">
        <v>0</v>
      </c>
      <c r="S38" s="200">
        <v>0</v>
      </c>
      <c r="T38" s="200">
        <v>0</v>
      </c>
      <c r="U38" s="200">
        <v>0</v>
      </c>
      <c r="V38" s="200">
        <v>0</v>
      </c>
      <c r="W38" s="200">
        <v>0</v>
      </c>
      <c r="X38" s="200">
        <v>0</v>
      </c>
      <c r="Y38" s="200">
        <v>0</v>
      </c>
      <c r="Z38" s="200">
        <v>0</v>
      </c>
      <c r="AA38" s="200">
        <v>0</v>
      </c>
      <c r="AB38" s="200">
        <v>0</v>
      </c>
      <c r="AC38" s="200">
        <v>0</v>
      </c>
      <c r="AD38" s="200">
        <v>0</v>
      </c>
      <c r="AE38" s="200">
        <v>0</v>
      </c>
      <c r="AF38" s="200">
        <v>0</v>
      </c>
      <c r="AG38" s="201">
        <v>0</v>
      </c>
    </row>
    <row r="40" spans="1:33" ht="15" thickBot="1" x14ac:dyDescent="0.4"/>
    <row r="41" spans="1:33" ht="24" thickBot="1" x14ac:dyDescent="0.4">
      <c r="A41" s="176"/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261"/>
      <c r="AF41" s="261"/>
      <c r="AG41" s="178"/>
    </row>
    <row r="42" spans="1:33" ht="24" thickBot="1" x14ac:dyDescent="0.4">
      <c r="A42" s="179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413" t="s">
        <v>423</v>
      </c>
      <c r="N42" s="414"/>
      <c r="O42" s="414"/>
      <c r="P42" s="414"/>
      <c r="Q42" s="414"/>
      <c r="R42" s="414"/>
      <c r="S42" s="414"/>
      <c r="T42" s="414"/>
      <c r="U42" s="414"/>
      <c r="V42" s="414"/>
      <c r="W42" s="414"/>
      <c r="X42" s="414"/>
      <c r="Y42" s="414"/>
      <c r="Z42" s="414"/>
      <c r="AA42" s="414"/>
      <c r="AB42" s="414"/>
      <c r="AC42" s="414"/>
      <c r="AD42" s="415"/>
      <c r="AE42" s="177"/>
      <c r="AF42" s="177"/>
      <c r="AG42" s="180"/>
    </row>
    <row r="43" spans="1:33" ht="24" thickBot="1" x14ac:dyDescent="0.4">
      <c r="A43" s="179"/>
      <c r="B43" s="177"/>
      <c r="C43" s="416" t="s">
        <v>424</v>
      </c>
      <c r="D43" s="417"/>
      <c r="E43" s="417" t="s">
        <v>207</v>
      </c>
      <c r="F43" s="417"/>
      <c r="G43" s="417" t="s">
        <v>208</v>
      </c>
      <c r="H43" s="417"/>
      <c r="I43" s="418"/>
      <c r="J43" s="413" t="s">
        <v>425</v>
      </c>
      <c r="K43" s="415"/>
      <c r="L43" s="177"/>
      <c r="M43" s="419" t="s">
        <v>391</v>
      </c>
      <c r="N43" s="420"/>
      <c r="O43" s="421" t="s">
        <v>95</v>
      </c>
      <c r="P43" s="421"/>
      <c r="Q43" s="421" t="s">
        <v>151</v>
      </c>
      <c r="R43" s="421"/>
      <c r="S43" s="422"/>
      <c r="T43" s="423" t="s">
        <v>94</v>
      </c>
      <c r="U43" s="424"/>
      <c r="V43" s="425" t="s">
        <v>97</v>
      </c>
      <c r="W43" s="426"/>
      <c r="X43" s="425" t="s">
        <v>96</v>
      </c>
      <c r="Y43" s="426"/>
      <c r="Z43" s="427" t="s">
        <v>359</v>
      </c>
      <c r="AA43" s="428"/>
      <c r="AB43" s="416" t="s">
        <v>426</v>
      </c>
      <c r="AC43" s="417"/>
      <c r="AD43" s="418"/>
      <c r="AE43" s="177"/>
      <c r="AF43" s="177"/>
      <c r="AG43" s="180"/>
    </row>
    <row r="44" spans="1:33" ht="24" thickBot="1" x14ac:dyDescent="0.4">
      <c r="A44" s="179"/>
      <c r="B44" s="177"/>
      <c r="C44" s="406">
        <v>44866</v>
      </c>
      <c r="D44" s="407"/>
      <c r="E44" s="408">
        <v>44895</v>
      </c>
      <c r="F44" s="407"/>
      <c r="G44" s="409">
        <f>E44-C44</f>
        <v>29</v>
      </c>
      <c r="H44" s="402"/>
      <c r="I44" s="403"/>
      <c r="J44" s="410">
        <f>SUM(C50:AG56)/60</f>
        <v>0.85</v>
      </c>
      <c r="K44" s="411"/>
      <c r="L44" s="177"/>
      <c r="M44" s="401">
        <f>SUM(C50:AG50)</f>
        <v>11</v>
      </c>
      <c r="N44" s="412"/>
      <c r="O44" s="409">
        <f>SUM(C51:AG51)</f>
        <v>12</v>
      </c>
      <c r="P44" s="412"/>
      <c r="Q44" s="409">
        <f>SUM(C52:AG52)</f>
        <v>0</v>
      </c>
      <c r="R44" s="402"/>
      <c r="S44" s="403"/>
      <c r="T44" s="398">
        <f>SUM(C53:AG53)</f>
        <v>17</v>
      </c>
      <c r="U44" s="399"/>
      <c r="V44" s="398">
        <f>SUM(C55:AG55)</f>
        <v>8</v>
      </c>
      <c r="W44" s="399"/>
      <c r="X44" s="398">
        <f>SUM(C54:AG54)</f>
        <v>3</v>
      </c>
      <c r="Y44" s="399"/>
      <c r="Z44" s="398">
        <f>SUM(C56:AG56)</f>
        <v>0</v>
      </c>
      <c r="AA44" s="400"/>
      <c r="AB44" s="401">
        <f>SUM(M44:AA44)</f>
        <v>51</v>
      </c>
      <c r="AC44" s="402"/>
      <c r="AD44" s="403"/>
      <c r="AE44" s="177"/>
      <c r="AF44" s="177"/>
      <c r="AG44" s="180"/>
    </row>
    <row r="45" spans="1:33" ht="23.5" x14ac:dyDescent="0.35">
      <c r="A45" s="179"/>
      <c r="B45" s="177"/>
      <c r="C45" s="181"/>
      <c r="D45" s="181"/>
      <c r="E45" s="181"/>
      <c r="F45" s="181"/>
      <c r="G45" s="182"/>
      <c r="H45" s="182"/>
      <c r="I45" s="182"/>
      <c r="J45" s="183"/>
      <c r="K45" s="183"/>
      <c r="L45" s="177"/>
      <c r="M45" s="404"/>
      <c r="N45" s="404"/>
      <c r="O45" s="404"/>
      <c r="P45" s="404"/>
      <c r="Q45" s="404"/>
      <c r="R45" s="404"/>
      <c r="S45" s="404"/>
      <c r="T45" s="405"/>
      <c r="U45" s="405"/>
      <c r="V45" s="405"/>
      <c r="W45" s="405"/>
      <c r="X45" s="405"/>
      <c r="Y45" s="405"/>
      <c r="Z45" s="405"/>
      <c r="AA45" s="405"/>
      <c r="AB45" s="177"/>
      <c r="AC45" s="177"/>
      <c r="AD45" s="177"/>
      <c r="AE45" s="177"/>
      <c r="AF45" s="177"/>
      <c r="AG45" s="180"/>
    </row>
    <row r="46" spans="1:33" ht="24" thickBot="1" x14ac:dyDescent="0.4">
      <c r="A46" s="179"/>
      <c r="B46" s="177"/>
      <c r="C46" s="181"/>
      <c r="D46" s="181"/>
      <c r="E46" s="181"/>
      <c r="F46" s="181"/>
      <c r="G46" s="182"/>
      <c r="H46" s="182"/>
      <c r="I46" s="182"/>
      <c r="J46" s="183"/>
      <c r="K46" s="183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80"/>
    </row>
    <row r="47" spans="1:33" ht="21.5" thickBot="1" x14ac:dyDescent="0.4">
      <c r="A47" s="381" t="s">
        <v>427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3"/>
    </row>
    <row r="48" spans="1:33" ht="19" thickBot="1" x14ac:dyDescent="0.4">
      <c r="A48" s="384" t="str">
        <f>TEXT(C49,"MMMMMM")</f>
        <v>novembro</v>
      </c>
      <c r="B48" s="385"/>
      <c r="C48" s="184" t="str">
        <f>TEXT(C49,"DDD")</f>
        <v>ter</v>
      </c>
      <c r="D48" s="184" t="str">
        <f t="shared" ref="D48:AF48" si="2">TEXT(D49,"DDD")</f>
        <v>qua</v>
      </c>
      <c r="E48" s="184" t="str">
        <f t="shared" si="2"/>
        <v>qui</v>
      </c>
      <c r="F48" s="184" t="str">
        <f t="shared" si="2"/>
        <v>sex</v>
      </c>
      <c r="G48" s="184" t="str">
        <f t="shared" si="2"/>
        <v>sáb</v>
      </c>
      <c r="H48" s="184" t="str">
        <f t="shared" si="2"/>
        <v>dom</v>
      </c>
      <c r="I48" s="184" t="str">
        <f t="shared" si="2"/>
        <v>seg</v>
      </c>
      <c r="J48" s="184" t="str">
        <f t="shared" si="2"/>
        <v>ter</v>
      </c>
      <c r="K48" s="184" t="str">
        <f t="shared" si="2"/>
        <v>qua</v>
      </c>
      <c r="L48" s="184" t="str">
        <f t="shared" si="2"/>
        <v>qui</v>
      </c>
      <c r="M48" s="184" t="str">
        <f t="shared" si="2"/>
        <v>sex</v>
      </c>
      <c r="N48" s="184" t="str">
        <f t="shared" si="2"/>
        <v>sáb</v>
      </c>
      <c r="O48" s="184" t="str">
        <f t="shared" si="2"/>
        <v>dom</v>
      </c>
      <c r="P48" s="184" t="str">
        <f t="shared" si="2"/>
        <v>seg</v>
      </c>
      <c r="Q48" s="184" t="str">
        <f t="shared" si="2"/>
        <v>ter</v>
      </c>
      <c r="R48" s="184" t="str">
        <f t="shared" si="2"/>
        <v>qua</v>
      </c>
      <c r="S48" s="184" t="str">
        <f t="shared" si="2"/>
        <v>qui</v>
      </c>
      <c r="T48" s="184" t="str">
        <f t="shared" si="2"/>
        <v>sex</v>
      </c>
      <c r="U48" s="184" t="str">
        <f t="shared" si="2"/>
        <v>sáb</v>
      </c>
      <c r="V48" s="184" t="str">
        <f t="shared" si="2"/>
        <v>dom</v>
      </c>
      <c r="W48" s="184" t="str">
        <f t="shared" si="2"/>
        <v>seg</v>
      </c>
      <c r="X48" s="184" t="str">
        <f t="shared" si="2"/>
        <v>ter</v>
      </c>
      <c r="Y48" s="184" t="str">
        <f t="shared" si="2"/>
        <v>qua</v>
      </c>
      <c r="Z48" s="184" t="str">
        <f t="shared" si="2"/>
        <v>qui</v>
      </c>
      <c r="AA48" s="184" t="str">
        <f t="shared" si="2"/>
        <v>sex</v>
      </c>
      <c r="AB48" s="184" t="str">
        <f t="shared" si="2"/>
        <v>sáb</v>
      </c>
      <c r="AC48" s="184" t="str">
        <f t="shared" si="2"/>
        <v>dom</v>
      </c>
      <c r="AD48" s="184" t="str">
        <f t="shared" si="2"/>
        <v>seg</v>
      </c>
      <c r="AE48" s="184" t="str">
        <f t="shared" si="2"/>
        <v>ter</v>
      </c>
      <c r="AF48" s="184" t="str">
        <f t="shared" si="2"/>
        <v>qua</v>
      </c>
      <c r="AG48" s="184"/>
    </row>
    <row r="49" spans="1:33" ht="19" thickBot="1" x14ac:dyDescent="0.4">
      <c r="A49" s="386"/>
      <c r="B49" s="387"/>
      <c r="C49" s="188">
        <v>44866</v>
      </c>
      <c r="D49" s="188">
        <v>44867</v>
      </c>
      <c r="E49" s="188">
        <v>44868</v>
      </c>
      <c r="F49" s="188">
        <v>44869</v>
      </c>
      <c r="G49" s="188">
        <v>44870</v>
      </c>
      <c r="H49" s="188">
        <v>44871</v>
      </c>
      <c r="I49" s="188">
        <v>44872</v>
      </c>
      <c r="J49" s="188">
        <v>44873</v>
      </c>
      <c r="K49" s="188">
        <v>44874</v>
      </c>
      <c r="L49" s="188">
        <v>44875</v>
      </c>
      <c r="M49" s="188">
        <v>44876</v>
      </c>
      <c r="N49" s="188">
        <v>44877</v>
      </c>
      <c r="O49" s="188">
        <v>44878</v>
      </c>
      <c r="P49" s="188">
        <v>44879</v>
      </c>
      <c r="Q49" s="188">
        <v>44880</v>
      </c>
      <c r="R49" s="188">
        <v>44881</v>
      </c>
      <c r="S49" s="188">
        <v>44882</v>
      </c>
      <c r="T49" s="188">
        <v>44883</v>
      </c>
      <c r="U49" s="188">
        <v>44884</v>
      </c>
      <c r="V49" s="188">
        <v>44885</v>
      </c>
      <c r="W49" s="188">
        <v>44886</v>
      </c>
      <c r="X49" s="188">
        <v>44887</v>
      </c>
      <c r="Y49" s="188">
        <v>44888</v>
      </c>
      <c r="Z49" s="188">
        <v>44889</v>
      </c>
      <c r="AA49" s="188">
        <v>44890</v>
      </c>
      <c r="AB49" s="188">
        <v>44891</v>
      </c>
      <c r="AC49" s="188">
        <v>44892</v>
      </c>
      <c r="AD49" s="188">
        <v>44893</v>
      </c>
      <c r="AE49" s="188">
        <v>44894</v>
      </c>
      <c r="AF49" s="188">
        <v>44895</v>
      </c>
      <c r="AG49" s="188"/>
    </row>
    <row r="50" spans="1:33" ht="21" x14ac:dyDescent="0.35">
      <c r="A50" s="388" t="s">
        <v>93</v>
      </c>
      <c r="B50" s="389"/>
      <c r="C50" s="190">
        <v>0</v>
      </c>
      <c r="D50" s="190">
        <v>0</v>
      </c>
      <c r="E50" s="190">
        <v>0</v>
      </c>
      <c r="F50" s="193">
        <v>0</v>
      </c>
      <c r="G50" s="193">
        <v>0</v>
      </c>
      <c r="H50" s="192">
        <v>0</v>
      </c>
      <c r="I50" s="192">
        <v>0</v>
      </c>
      <c r="J50" s="193">
        <v>0</v>
      </c>
      <c r="K50" s="193">
        <v>0</v>
      </c>
      <c r="L50" s="192">
        <v>1</v>
      </c>
      <c r="M50" s="192">
        <v>1</v>
      </c>
      <c r="N50" s="193">
        <v>0</v>
      </c>
      <c r="O50" s="193">
        <v>0</v>
      </c>
      <c r="P50" s="192">
        <v>0</v>
      </c>
      <c r="Q50" s="192">
        <v>0</v>
      </c>
      <c r="R50" s="192">
        <v>0</v>
      </c>
      <c r="S50" s="192">
        <v>1</v>
      </c>
      <c r="T50" s="192">
        <v>1</v>
      </c>
      <c r="U50" s="192">
        <v>0</v>
      </c>
      <c r="V50" s="192">
        <v>0</v>
      </c>
      <c r="W50" s="192">
        <v>0</v>
      </c>
      <c r="X50" s="192">
        <v>1</v>
      </c>
      <c r="Y50" s="192">
        <v>0</v>
      </c>
      <c r="Z50" s="192">
        <v>1</v>
      </c>
      <c r="AA50" s="192">
        <v>1</v>
      </c>
      <c r="AB50" s="192">
        <v>1</v>
      </c>
      <c r="AC50" s="192">
        <v>0</v>
      </c>
      <c r="AD50" s="192">
        <v>1</v>
      </c>
      <c r="AE50" s="192">
        <v>1</v>
      </c>
      <c r="AF50" s="192">
        <v>1</v>
      </c>
      <c r="AG50" s="192"/>
    </row>
    <row r="51" spans="1:33" ht="21" x14ac:dyDescent="0.35">
      <c r="A51" s="390" t="s">
        <v>95</v>
      </c>
      <c r="B51" s="391"/>
      <c r="C51" s="190">
        <v>0</v>
      </c>
      <c r="D51" s="190">
        <v>0</v>
      </c>
      <c r="E51" s="190">
        <v>0</v>
      </c>
      <c r="F51" s="195">
        <v>0</v>
      </c>
      <c r="G51" s="196">
        <v>0</v>
      </c>
      <c r="H51" s="196">
        <v>0</v>
      </c>
      <c r="I51" s="195">
        <v>1</v>
      </c>
      <c r="J51" s="195">
        <v>1</v>
      </c>
      <c r="K51" s="196">
        <v>1</v>
      </c>
      <c r="L51" s="196">
        <v>1</v>
      </c>
      <c r="M51" s="195">
        <v>0</v>
      </c>
      <c r="N51" s="195">
        <v>0</v>
      </c>
      <c r="O51" s="196">
        <v>0</v>
      </c>
      <c r="P51" s="196">
        <v>0</v>
      </c>
      <c r="Q51" s="195">
        <v>0</v>
      </c>
      <c r="R51" s="196">
        <v>1</v>
      </c>
      <c r="S51" s="192">
        <v>1</v>
      </c>
      <c r="T51" s="192">
        <v>0</v>
      </c>
      <c r="U51" s="192">
        <v>1</v>
      </c>
      <c r="V51" s="192">
        <v>0</v>
      </c>
      <c r="W51" s="192">
        <v>1</v>
      </c>
      <c r="X51" s="192">
        <v>1</v>
      </c>
      <c r="Y51" s="192">
        <v>1</v>
      </c>
      <c r="Z51" s="192">
        <v>1</v>
      </c>
      <c r="AA51" s="192">
        <v>0</v>
      </c>
      <c r="AB51" s="192">
        <v>0</v>
      </c>
      <c r="AC51" s="192">
        <v>0</v>
      </c>
      <c r="AD51" s="192">
        <v>0</v>
      </c>
      <c r="AE51" s="192">
        <v>0</v>
      </c>
      <c r="AF51" s="192">
        <v>1</v>
      </c>
      <c r="AG51" s="192"/>
    </row>
    <row r="52" spans="1:33" ht="21" x14ac:dyDescent="0.35">
      <c r="A52" s="390" t="s">
        <v>151</v>
      </c>
      <c r="B52" s="391"/>
      <c r="C52" s="190">
        <v>0</v>
      </c>
      <c r="D52" s="190">
        <v>0</v>
      </c>
      <c r="E52" s="190">
        <v>0</v>
      </c>
      <c r="F52" s="195">
        <v>0</v>
      </c>
      <c r="G52" s="195">
        <v>0</v>
      </c>
      <c r="H52" s="196">
        <v>0</v>
      </c>
      <c r="I52" s="196">
        <v>0</v>
      </c>
      <c r="J52" s="195">
        <v>0</v>
      </c>
      <c r="K52" s="195">
        <v>0</v>
      </c>
      <c r="L52" s="196">
        <v>0</v>
      </c>
      <c r="M52" s="196">
        <v>0</v>
      </c>
      <c r="N52" s="195">
        <v>0</v>
      </c>
      <c r="O52" s="195">
        <v>0</v>
      </c>
      <c r="P52" s="196">
        <v>0</v>
      </c>
      <c r="Q52" s="196">
        <v>0</v>
      </c>
      <c r="R52" s="196">
        <v>0</v>
      </c>
      <c r="S52" s="192">
        <v>0</v>
      </c>
      <c r="T52" s="192">
        <v>0</v>
      </c>
      <c r="U52" s="192">
        <v>0</v>
      </c>
      <c r="V52" s="192">
        <v>0</v>
      </c>
      <c r="W52" s="192">
        <v>0</v>
      </c>
      <c r="X52" s="192">
        <v>0</v>
      </c>
      <c r="Y52" s="192">
        <v>0</v>
      </c>
      <c r="Z52" s="192">
        <v>0</v>
      </c>
      <c r="AA52" s="192">
        <v>0</v>
      </c>
      <c r="AB52" s="192">
        <v>0</v>
      </c>
      <c r="AC52" s="192">
        <v>0</v>
      </c>
      <c r="AD52" s="192">
        <v>0</v>
      </c>
      <c r="AE52" s="192">
        <v>0</v>
      </c>
      <c r="AF52" s="192">
        <v>0</v>
      </c>
      <c r="AG52" s="192"/>
    </row>
    <row r="53" spans="1:33" ht="21" x14ac:dyDescent="0.35">
      <c r="A53" s="392" t="s">
        <v>94</v>
      </c>
      <c r="B53" s="393"/>
      <c r="C53" s="190">
        <v>0</v>
      </c>
      <c r="D53" s="190">
        <v>0</v>
      </c>
      <c r="E53" s="190">
        <v>0</v>
      </c>
      <c r="F53" s="196">
        <v>0</v>
      </c>
      <c r="G53" s="195">
        <v>0</v>
      </c>
      <c r="H53" s="196">
        <v>0</v>
      </c>
      <c r="I53" s="196">
        <v>1</v>
      </c>
      <c r="J53" s="196">
        <v>1</v>
      </c>
      <c r="K53" s="195">
        <v>1</v>
      </c>
      <c r="L53" s="195">
        <v>1</v>
      </c>
      <c r="M53" s="196">
        <v>1</v>
      </c>
      <c r="N53" s="196">
        <v>0</v>
      </c>
      <c r="O53" s="195">
        <v>0</v>
      </c>
      <c r="P53" s="196">
        <v>0</v>
      </c>
      <c r="Q53" s="196">
        <v>0</v>
      </c>
      <c r="R53" s="196">
        <v>1</v>
      </c>
      <c r="S53" s="192">
        <v>1</v>
      </c>
      <c r="T53" s="192">
        <v>1</v>
      </c>
      <c r="U53" s="192">
        <v>1</v>
      </c>
      <c r="V53" s="192">
        <v>0</v>
      </c>
      <c r="W53" s="192">
        <v>1</v>
      </c>
      <c r="X53" s="192">
        <v>1</v>
      </c>
      <c r="Y53" s="192">
        <v>1</v>
      </c>
      <c r="Z53" s="192">
        <v>1</v>
      </c>
      <c r="AA53" s="192">
        <v>1</v>
      </c>
      <c r="AB53" s="192">
        <v>1</v>
      </c>
      <c r="AC53" s="192">
        <v>0</v>
      </c>
      <c r="AD53" s="192">
        <v>1</v>
      </c>
      <c r="AE53" s="192">
        <v>1</v>
      </c>
      <c r="AF53" s="192">
        <v>0</v>
      </c>
      <c r="AG53" s="192"/>
    </row>
    <row r="54" spans="1:33" ht="21" x14ac:dyDescent="0.35">
      <c r="A54" s="394" t="s">
        <v>96</v>
      </c>
      <c r="B54" s="395"/>
      <c r="C54" s="190">
        <v>1</v>
      </c>
      <c r="D54" s="190">
        <v>0</v>
      </c>
      <c r="E54" s="190">
        <v>1</v>
      </c>
      <c r="F54" s="196">
        <v>1</v>
      </c>
      <c r="G54" s="195">
        <v>0</v>
      </c>
      <c r="H54" s="196">
        <v>0</v>
      </c>
      <c r="I54" s="196">
        <v>0</v>
      </c>
      <c r="J54" s="196">
        <v>0</v>
      </c>
      <c r="K54" s="195">
        <v>0</v>
      </c>
      <c r="L54" s="195">
        <v>0</v>
      </c>
      <c r="M54" s="196">
        <v>0</v>
      </c>
      <c r="N54" s="196">
        <v>0</v>
      </c>
      <c r="O54" s="196">
        <v>0</v>
      </c>
      <c r="P54" s="196">
        <v>0</v>
      </c>
      <c r="Q54" s="196">
        <v>0</v>
      </c>
      <c r="R54" s="195">
        <v>0</v>
      </c>
      <c r="S54" s="192">
        <v>0</v>
      </c>
      <c r="T54" s="192">
        <v>0</v>
      </c>
      <c r="U54" s="192">
        <v>0</v>
      </c>
      <c r="V54" s="192">
        <v>0</v>
      </c>
      <c r="W54" s="192">
        <v>0</v>
      </c>
      <c r="X54" s="192">
        <v>0</v>
      </c>
      <c r="Y54" s="192">
        <v>0</v>
      </c>
      <c r="Z54" s="192">
        <v>0</v>
      </c>
      <c r="AA54" s="192">
        <v>0</v>
      </c>
      <c r="AB54" s="192">
        <v>0</v>
      </c>
      <c r="AC54" s="192">
        <v>0</v>
      </c>
      <c r="AD54" s="192">
        <v>0</v>
      </c>
      <c r="AE54" s="192">
        <v>0</v>
      </c>
      <c r="AF54" s="192">
        <v>0</v>
      </c>
      <c r="AG54" s="192"/>
    </row>
    <row r="55" spans="1:33" ht="21" x14ac:dyDescent="0.35">
      <c r="A55" s="394" t="s">
        <v>97</v>
      </c>
      <c r="B55" s="395"/>
      <c r="C55" s="190">
        <v>0</v>
      </c>
      <c r="D55" s="190">
        <v>0</v>
      </c>
      <c r="E55" s="190">
        <v>0</v>
      </c>
      <c r="F55" s="195">
        <v>0</v>
      </c>
      <c r="G55" s="195">
        <v>0</v>
      </c>
      <c r="H55" s="196">
        <v>0</v>
      </c>
      <c r="I55" s="196">
        <v>1</v>
      </c>
      <c r="J55" s="195">
        <v>1</v>
      </c>
      <c r="K55" s="195">
        <v>1</v>
      </c>
      <c r="L55" s="196">
        <v>1</v>
      </c>
      <c r="M55" s="196">
        <v>0</v>
      </c>
      <c r="N55" s="195">
        <v>0</v>
      </c>
      <c r="O55" s="196">
        <v>0</v>
      </c>
      <c r="P55" s="196">
        <v>1</v>
      </c>
      <c r="Q55" s="196">
        <v>0</v>
      </c>
      <c r="R55" s="195">
        <v>0</v>
      </c>
      <c r="S55" s="192">
        <v>0</v>
      </c>
      <c r="T55" s="192">
        <v>0</v>
      </c>
      <c r="U55" s="192">
        <v>0</v>
      </c>
      <c r="V55" s="192">
        <v>0</v>
      </c>
      <c r="W55" s="192">
        <v>0</v>
      </c>
      <c r="X55" s="192">
        <v>0</v>
      </c>
      <c r="Y55" s="192">
        <v>0</v>
      </c>
      <c r="Z55" s="192">
        <v>1</v>
      </c>
      <c r="AA55" s="192">
        <v>1</v>
      </c>
      <c r="AB55" s="192">
        <v>0</v>
      </c>
      <c r="AC55" s="192">
        <v>0</v>
      </c>
      <c r="AD55" s="192">
        <v>0</v>
      </c>
      <c r="AE55" s="192">
        <v>0</v>
      </c>
      <c r="AF55" s="192">
        <v>1</v>
      </c>
      <c r="AG55" s="192"/>
    </row>
    <row r="56" spans="1:33" ht="21.5" thickBot="1" x14ac:dyDescent="0.4">
      <c r="A56" s="396" t="s">
        <v>359</v>
      </c>
      <c r="B56" s="397"/>
      <c r="C56" s="262">
        <v>0</v>
      </c>
      <c r="D56" s="262">
        <v>0</v>
      </c>
      <c r="E56" s="262">
        <v>0</v>
      </c>
      <c r="F56" s="200">
        <v>0</v>
      </c>
      <c r="G56" s="200">
        <v>0</v>
      </c>
      <c r="H56" s="200">
        <v>0</v>
      </c>
      <c r="I56" s="200">
        <v>0</v>
      </c>
      <c r="J56" s="200">
        <v>0</v>
      </c>
      <c r="K56" s="200">
        <v>0</v>
      </c>
      <c r="L56" s="200">
        <v>0</v>
      </c>
      <c r="M56" s="200">
        <v>0</v>
      </c>
      <c r="N56" s="200">
        <v>0</v>
      </c>
      <c r="O56" s="200">
        <v>0</v>
      </c>
      <c r="P56" s="200">
        <v>0</v>
      </c>
      <c r="Q56" s="200">
        <v>0</v>
      </c>
      <c r="R56" s="200">
        <v>0</v>
      </c>
      <c r="S56" s="192">
        <v>0</v>
      </c>
      <c r="T56" s="192">
        <v>0</v>
      </c>
      <c r="U56" s="192">
        <v>0</v>
      </c>
      <c r="V56" s="192">
        <v>0</v>
      </c>
      <c r="W56" s="192">
        <v>0</v>
      </c>
      <c r="X56" s="192">
        <v>0</v>
      </c>
      <c r="Y56" s="192">
        <v>0</v>
      </c>
      <c r="Z56" s="192">
        <v>0</v>
      </c>
      <c r="AA56" s="192">
        <v>0</v>
      </c>
      <c r="AB56" s="192">
        <v>0</v>
      </c>
      <c r="AC56" s="192">
        <v>0</v>
      </c>
      <c r="AD56" s="192">
        <v>0</v>
      </c>
      <c r="AE56" s="192">
        <v>0</v>
      </c>
      <c r="AF56" s="192">
        <v>0</v>
      </c>
      <c r="AG56" s="192"/>
    </row>
    <row r="58" spans="1:33" ht="15" thickBot="1" x14ac:dyDescent="0.4"/>
    <row r="59" spans="1:33" ht="24" thickBot="1" x14ac:dyDescent="0.4">
      <c r="A59" s="176"/>
      <c r="B59" s="261"/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261"/>
      <c r="AF59" s="261"/>
      <c r="AG59" s="178"/>
    </row>
    <row r="60" spans="1:33" ht="24" thickBot="1" x14ac:dyDescent="0.4">
      <c r="A60" s="179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413" t="s">
        <v>423</v>
      </c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414"/>
      <c r="AA60" s="414"/>
      <c r="AB60" s="414"/>
      <c r="AC60" s="414"/>
      <c r="AD60" s="415"/>
      <c r="AE60" s="177"/>
      <c r="AF60" s="177"/>
      <c r="AG60" s="180"/>
    </row>
    <row r="61" spans="1:33" ht="24" thickBot="1" x14ac:dyDescent="0.4">
      <c r="A61" s="179"/>
      <c r="B61" s="177"/>
      <c r="C61" s="416" t="s">
        <v>424</v>
      </c>
      <c r="D61" s="417"/>
      <c r="E61" s="417" t="s">
        <v>207</v>
      </c>
      <c r="F61" s="417"/>
      <c r="G61" s="417" t="s">
        <v>208</v>
      </c>
      <c r="H61" s="417"/>
      <c r="I61" s="418"/>
      <c r="J61" s="413" t="s">
        <v>425</v>
      </c>
      <c r="K61" s="415"/>
      <c r="L61" s="177"/>
      <c r="M61" s="419" t="s">
        <v>391</v>
      </c>
      <c r="N61" s="420"/>
      <c r="O61" s="421" t="s">
        <v>95</v>
      </c>
      <c r="P61" s="421"/>
      <c r="Q61" s="421" t="s">
        <v>151</v>
      </c>
      <c r="R61" s="421"/>
      <c r="S61" s="422"/>
      <c r="T61" s="423" t="s">
        <v>94</v>
      </c>
      <c r="U61" s="424"/>
      <c r="V61" s="425" t="s">
        <v>97</v>
      </c>
      <c r="W61" s="426"/>
      <c r="X61" s="425" t="s">
        <v>96</v>
      </c>
      <c r="Y61" s="426"/>
      <c r="Z61" s="427" t="s">
        <v>359</v>
      </c>
      <c r="AA61" s="428"/>
      <c r="AB61" s="416" t="s">
        <v>426</v>
      </c>
      <c r="AC61" s="417"/>
      <c r="AD61" s="418"/>
      <c r="AE61" s="177"/>
      <c r="AF61" s="177"/>
      <c r="AG61" s="180"/>
    </row>
    <row r="62" spans="1:33" ht="24" thickBot="1" x14ac:dyDescent="0.4">
      <c r="A62" s="179"/>
      <c r="B62" s="177"/>
      <c r="C62" s="406">
        <v>44896</v>
      </c>
      <c r="D62" s="407"/>
      <c r="E62" s="408">
        <f ca="1">TODAY()</f>
        <v>44918</v>
      </c>
      <c r="F62" s="407"/>
      <c r="G62" s="409">
        <f ca="1">E62-C62</f>
        <v>22</v>
      </c>
      <c r="H62" s="402"/>
      <c r="I62" s="403"/>
      <c r="J62" s="410">
        <f>SUM(C68:AG74)/60</f>
        <v>0.43333333333333335</v>
      </c>
      <c r="K62" s="411"/>
      <c r="L62" s="177"/>
      <c r="M62" s="401">
        <f>SUM(C68:AG68)</f>
        <v>7</v>
      </c>
      <c r="N62" s="412"/>
      <c r="O62" s="409">
        <f>SUM(C69:AG69)</f>
        <v>5</v>
      </c>
      <c r="P62" s="412"/>
      <c r="Q62" s="409">
        <f>SUM(C70:AG70)</f>
        <v>0</v>
      </c>
      <c r="R62" s="402"/>
      <c r="S62" s="403"/>
      <c r="T62" s="398">
        <f>SUM(C71:AG71)</f>
        <v>8</v>
      </c>
      <c r="U62" s="399"/>
      <c r="V62" s="398">
        <f>SUM(C73:AG73)</f>
        <v>4</v>
      </c>
      <c r="W62" s="399"/>
      <c r="X62" s="398">
        <f>SUM(C72:AG72)</f>
        <v>2</v>
      </c>
      <c r="Y62" s="399"/>
      <c r="Z62" s="398">
        <f>SUM(C74:AG74)</f>
        <v>0</v>
      </c>
      <c r="AA62" s="400"/>
      <c r="AB62" s="401">
        <f>SUM(M62:AA62)</f>
        <v>26</v>
      </c>
      <c r="AC62" s="402"/>
      <c r="AD62" s="403"/>
      <c r="AE62" s="177"/>
      <c r="AF62" s="177"/>
      <c r="AG62" s="180"/>
    </row>
    <row r="63" spans="1:33" ht="23.5" x14ac:dyDescent="0.35">
      <c r="A63" s="179"/>
      <c r="B63" s="177"/>
      <c r="C63" s="181"/>
      <c r="D63" s="181"/>
      <c r="E63" s="181"/>
      <c r="F63" s="181"/>
      <c r="G63" s="182"/>
      <c r="H63" s="182"/>
      <c r="I63" s="182"/>
      <c r="J63" s="183"/>
      <c r="K63" s="183"/>
      <c r="L63" s="177"/>
      <c r="M63" s="404"/>
      <c r="N63" s="404"/>
      <c r="O63" s="404"/>
      <c r="P63" s="404"/>
      <c r="Q63" s="404"/>
      <c r="R63" s="404"/>
      <c r="S63" s="404"/>
      <c r="T63" s="405"/>
      <c r="U63" s="405"/>
      <c r="V63" s="405"/>
      <c r="W63" s="405"/>
      <c r="X63" s="405"/>
      <c r="Y63" s="405"/>
      <c r="Z63" s="405"/>
      <c r="AA63" s="405"/>
      <c r="AB63" s="177"/>
      <c r="AC63" s="177"/>
      <c r="AD63" s="177"/>
      <c r="AE63" s="177"/>
      <c r="AF63" s="177"/>
      <c r="AG63" s="180"/>
    </row>
    <row r="64" spans="1:33" ht="24" thickBot="1" x14ac:dyDescent="0.4">
      <c r="A64" s="179"/>
      <c r="B64" s="177"/>
      <c r="C64" s="181"/>
      <c r="D64" s="181"/>
      <c r="E64" s="181"/>
      <c r="F64" s="181"/>
      <c r="G64" s="182"/>
      <c r="H64" s="182"/>
      <c r="I64" s="182"/>
      <c r="J64" s="183"/>
      <c r="K64" s="183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80"/>
    </row>
    <row r="65" spans="1:33" ht="21.5" thickBot="1" x14ac:dyDescent="0.4">
      <c r="A65" s="381" t="s">
        <v>427</v>
      </c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2"/>
      <c r="AG65" s="383"/>
    </row>
    <row r="66" spans="1:33" ht="19" thickBot="1" x14ac:dyDescent="0.4">
      <c r="A66" s="384" t="str">
        <f>TEXT(C67,"MMMMMM")</f>
        <v>dezembro</v>
      </c>
      <c r="B66" s="385"/>
      <c r="C66" s="184" t="str">
        <f>TEXT(C67,"DDD")</f>
        <v>qui</v>
      </c>
      <c r="D66" s="184" t="str">
        <f t="shared" ref="D66" si="3">TEXT(D67,"DDD")</f>
        <v>sex</v>
      </c>
      <c r="E66" s="184" t="str">
        <f t="shared" ref="E66" si="4">TEXT(E67,"DDD")</f>
        <v>sáb</v>
      </c>
      <c r="F66" s="184" t="str">
        <f t="shared" ref="F66" si="5">TEXT(F67,"DDD")</f>
        <v>dom</v>
      </c>
      <c r="G66" s="184" t="str">
        <f t="shared" ref="G66" si="6">TEXT(G67,"DDD")</f>
        <v>seg</v>
      </c>
      <c r="H66" s="184" t="str">
        <f t="shared" ref="H66" si="7">TEXT(H67,"DDD")</f>
        <v>ter</v>
      </c>
      <c r="I66" s="184" t="str">
        <f t="shared" ref="I66" si="8">TEXT(I67,"DDD")</f>
        <v>qua</v>
      </c>
      <c r="J66" s="184" t="str">
        <f t="shared" ref="J66" si="9">TEXT(J67,"DDD")</f>
        <v>qui</v>
      </c>
      <c r="K66" s="184" t="str">
        <f t="shared" ref="K66" si="10">TEXT(K67,"DDD")</f>
        <v>sex</v>
      </c>
      <c r="L66" s="184" t="str">
        <f t="shared" ref="L66" si="11">TEXT(L67,"DDD")</f>
        <v>sáb</v>
      </c>
      <c r="M66" s="184" t="str">
        <f t="shared" ref="M66" si="12">TEXT(M67,"DDD")</f>
        <v>dom</v>
      </c>
      <c r="N66" s="184" t="str">
        <f t="shared" ref="N66" si="13">TEXT(N67,"DDD")</f>
        <v>seg</v>
      </c>
      <c r="O66" s="184" t="str">
        <f t="shared" ref="O66" si="14">TEXT(O67,"DDD")</f>
        <v>ter</v>
      </c>
      <c r="P66" s="184" t="str">
        <f t="shared" ref="P66" si="15">TEXT(P67,"DDD")</f>
        <v>qua</v>
      </c>
      <c r="Q66" s="184" t="str">
        <f t="shared" ref="Q66" si="16">TEXT(Q67,"DDD")</f>
        <v>qui</v>
      </c>
      <c r="R66" s="184" t="str">
        <f t="shared" ref="R66" si="17">TEXT(R67,"DDD")</f>
        <v>sex</v>
      </c>
      <c r="S66" s="184" t="str">
        <f t="shared" ref="S66" si="18">TEXT(S67,"DDD")</f>
        <v>sáb</v>
      </c>
      <c r="T66" s="184" t="str">
        <f t="shared" ref="T66" si="19">TEXT(T67,"DDD")</f>
        <v>dom</v>
      </c>
      <c r="U66" s="184" t="str">
        <f t="shared" ref="U66" si="20">TEXT(U67,"DDD")</f>
        <v>seg</v>
      </c>
      <c r="V66" s="184" t="str">
        <f t="shared" ref="V66" si="21">TEXT(V67,"DDD")</f>
        <v>ter</v>
      </c>
      <c r="W66" s="184" t="str">
        <f t="shared" ref="W66" si="22">TEXT(W67,"DDD")</f>
        <v>qua</v>
      </c>
      <c r="X66" s="184" t="str">
        <f t="shared" ref="X66" si="23">TEXT(X67,"DDD")</f>
        <v>qui</v>
      </c>
      <c r="Y66" s="184" t="str">
        <f t="shared" ref="Y66" si="24">TEXT(Y67,"DDD")</f>
        <v>sex</v>
      </c>
      <c r="Z66" s="184" t="str">
        <f t="shared" ref="Z66" si="25">TEXT(Z67,"DDD")</f>
        <v>sáb</v>
      </c>
      <c r="AA66" s="184" t="str">
        <f t="shared" ref="AA66" si="26">TEXT(AA67,"DDD")</f>
        <v>dom</v>
      </c>
      <c r="AB66" s="184" t="str">
        <f t="shared" ref="AB66" si="27">TEXT(AB67,"DDD")</f>
        <v>seg</v>
      </c>
      <c r="AC66" s="184" t="str">
        <f t="shared" ref="AC66" si="28">TEXT(AC67,"DDD")</f>
        <v>ter</v>
      </c>
      <c r="AD66" s="184" t="str">
        <f t="shared" ref="AD66" si="29">TEXT(AD67,"DDD")</f>
        <v>qua</v>
      </c>
      <c r="AE66" s="184" t="str">
        <f t="shared" ref="AE66" si="30">TEXT(AE67,"DDD")</f>
        <v>qui</v>
      </c>
      <c r="AF66" s="184" t="str">
        <f t="shared" ref="AF66:AG66" si="31">TEXT(AF67,"DDD")</f>
        <v>sex</v>
      </c>
      <c r="AG66" s="184" t="str">
        <f t="shared" si="31"/>
        <v>sáb</v>
      </c>
    </row>
    <row r="67" spans="1:33" ht="19" thickBot="1" x14ac:dyDescent="0.4">
      <c r="A67" s="386"/>
      <c r="B67" s="387"/>
      <c r="C67" s="188">
        <v>44896</v>
      </c>
      <c r="D67" s="188">
        <v>44897</v>
      </c>
      <c r="E67" s="188">
        <v>44898</v>
      </c>
      <c r="F67" s="188">
        <v>44899</v>
      </c>
      <c r="G67" s="188">
        <v>44900</v>
      </c>
      <c r="H67" s="188">
        <v>44901</v>
      </c>
      <c r="I67" s="188">
        <v>44902</v>
      </c>
      <c r="J67" s="188">
        <v>44903</v>
      </c>
      <c r="K67" s="188">
        <v>44904</v>
      </c>
      <c r="L67" s="188">
        <v>44905</v>
      </c>
      <c r="M67" s="188">
        <v>44906</v>
      </c>
      <c r="N67" s="188">
        <v>44907</v>
      </c>
      <c r="O67" s="188">
        <v>44908</v>
      </c>
      <c r="P67" s="188">
        <v>44909</v>
      </c>
      <c r="Q67" s="188">
        <v>44910</v>
      </c>
      <c r="R67" s="188">
        <v>44911</v>
      </c>
      <c r="S67" s="188">
        <v>44912</v>
      </c>
      <c r="T67" s="188">
        <v>44913</v>
      </c>
      <c r="U67" s="188">
        <v>44914</v>
      </c>
      <c r="V67" s="188">
        <v>44915</v>
      </c>
      <c r="W67" s="188">
        <v>44916</v>
      </c>
      <c r="X67" s="188">
        <v>44917</v>
      </c>
      <c r="Y67" s="188">
        <v>44918</v>
      </c>
      <c r="Z67" s="188">
        <v>44919</v>
      </c>
      <c r="AA67" s="188">
        <v>44920</v>
      </c>
      <c r="AB67" s="188">
        <v>44921</v>
      </c>
      <c r="AC67" s="188">
        <v>44922</v>
      </c>
      <c r="AD67" s="188">
        <v>44923</v>
      </c>
      <c r="AE67" s="188">
        <v>44924</v>
      </c>
      <c r="AF67" s="188">
        <v>44925</v>
      </c>
      <c r="AG67" s="188">
        <v>44926</v>
      </c>
    </row>
    <row r="68" spans="1:33" ht="21" x14ac:dyDescent="0.35">
      <c r="A68" s="388" t="s">
        <v>93</v>
      </c>
      <c r="B68" s="389"/>
      <c r="C68" s="190">
        <v>1</v>
      </c>
      <c r="D68" s="190">
        <v>1</v>
      </c>
      <c r="E68" s="190">
        <v>1</v>
      </c>
      <c r="F68" s="193">
        <v>0</v>
      </c>
      <c r="G68" s="193">
        <v>1</v>
      </c>
      <c r="H68" s="192">
        <v>1</v>
      </c>
      <c r="I68" s="192">
        <v>1</v>
      </c>
      <c r="J68" s="193">
        <v>0</v>
      </c>
      <c r="K68" s="193">
        <v>1</v>
      </c>
      <c r="L68" s="192">
        <v>0</v>
      </c>
      <c r="M68" s="192">
        <v>0</v>
      </c>
      <c r="N68" s="193"/>
      <c r="O68" s="193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</row>
    <row r="69" spans="1:33" ht="21" x14ac:dyDescent="0.35">
      <c r="A69" s="390" t="s">
        <v>95</v>
      </c>
      <c r="B69" s="391"/>
      <c r="C69" s="190">
        <v>1</v>
      </c>
      <c r="D69" s="190">
        <v>1</v>
      </c>
      <c r="E69" s="190">
        <v>0</v>
      </c>
      <c r="F69" s="195">
        <v>0</v>
      </c>
      <c r="G69" s="196">
        <v>1</v>
      </c>
      <c r="H69" s="196">
        <v>1</v>
      </c>
      <c r="I69" s="195">
        <v>0</v>
      </c>
      <c r="J69" s="195">
        <v>0</v>
      </c>
      <c r="K69" s="196">
        <v>1</v>
      </c>
      <c r="L69" s="196">
        <v>0</v>
      </c>
      <c r="M69" s="195">
        <v>0</v>
      </c>
      <c r="N69" s="195"/>
      <c r="O69" s="196"/>
      <c r="P69" s="196"/>
      <c r="Q69" s="195"/>
      <c r="R69" s="196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</row>
    <row r="70" spans="1:33" ht="21" x14ac:dyDescent="0.35">
      <c r="A70" s="390" t="s">
        <v>151</v>
      </c>
      <c r="B70" s="391"/>
      <c r="C70" s="190">
        <v>0</v>
      </c>
      <c r="D70" s="190">
        <v>0</v>
      </c>
      <c r="E70" s="190">
        <v>0</v>
      </c>
      <c r="F70" s="195">
        <v>0</v>
      </c>
      <c r="G70" s="195">
        <v>0</v>
      </c>
      <c r="H70" s="196">
        <v>0</v>
      </c>
      <c r="I70" s="196">
        <v>0</v>
      </c>
      <c r="J70" s="195">
        <v>0</v>
      </c>
      <c r="K70" s="195">
        <v>0</v>
      </c>
      <c r="L70" s="196">
        <v>0</v>
      </c>
      <c r="M70" s="196">
        <v>0</v>
      </c>
      <c r="N70" s="195"/>
      <c r="O70" s="195"/>
      <c r="P70" s="196"/>
      <c r="Q70" s="196"/>
      <c r="R70" s="196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</row>
    <row r="71" spans="1:33" ht="21" x14ac:dyDescent="0.35">
      <c r="A71" s="392" t="s">
        <v>94</v>
      </c>
      <c r="B71" s="393"/>
      <c r="C71" s="190">
        <v>1</v>
      </c>
      <c r="D71" s="190">
        <v>1</v>
      </c>
      <c r="E71" s="190">
        <v>1</v>
      </c>
      <c r="F71" s="196">
        <v>0</v>
      </c>
      <c r="G71" s="195">
        <v>1</v>
      </c>
      <c r="H71" s="196">
        <v>1</v>
      </c>
      <c r="I71" s="196">
        <v>1</v>
      </c>
      <c r="J71" s="196">
        <v>1</v>
      </c>
      <c r="K71" s="195">
        <v>1</v>
      </c>
      <c r="L71" s="195">
        <v>0</v>
      </c>
      <c r="M71" s="196">
        <v>0</v>
      </c>
      <c r="N71" s="196"/>
      <c r="O71" s="195"/>
      <c r="P71" s="196"/>
      <c r="Q71" s="196"/>
      <c r="R71" s="196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</row>
    <row r="72" spans="1:33" ht="21" x14ac:dyDescent="0.35">
      <c r="A72" s="394" t="s">
        <v>96</v>
      </c>
      <c r="B72" s="395"/>
      <c r="C72" s="190">
        <v>0</v>
      </c>
      <c r="D72" s="190">
        <v>0</v>
      </c>
      <c r="E72" s="190">
        <v>1</v>
      </c>
      <c r="F72" s="196">
        <v>0</v>
      </c>
      <c r="G72" s="195">
        <v>0</v>
      </c>
      <c r="H72" s="196">
        <v>0</v>
      </c>
      <c r="I72" s="196">
        <v>0</v>
      </c>
      <c r="J72" s="196">
        <v>0</v>
      </c>
      <c r="K72" s="195">
        <v>0</v>
      </c>
      <c r="L72" s="195">
        <v>1</v>
      </c>
      <c r="M72" s="196">
        <v>0</v>
      </c>
      <c r="N72" s="196"/>
      <c r="O72" s="196"/>
      <c r="P72" s="196"/>
      <c r="Q72" s="196"/>
      <c r="R72" s="195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</row>
    <row r="73" spans="1:33" ht="21" x14ac:dyDescent="0.35">
      <c r="A73" s="394" t="s">
        <v>97</v>
      </c>
      <c r="B73" s="395"/>
      <c r="C73" s="190">
        <v>0</v>
      </c>
      <c r="D73" s="190">
        <v>0</v>
      </c>
      <c r="E73" s="190">
        <v>1</v>
      </c>
      <c r="F73" s="195">
        <v>0</v>
      </c>
      <c r="G73" s="195">
        <v>1</v>
      </c>
      <c r="H73" s="196">
        <v>0</v>
      </c>
      <c r="I73" s="196">
        <v>0</v>
      </c>
      <c r="J73" s="195">
        <v>1</v>
      </c>
      <c r="K73" s="195">
        <v>0</v>
      </c>
      <c r="L73" s="196">
        <v>1</v>
      </c>
      <c r="M73" s="196">
        <v>0</v>
      </c>
      <c r="N73" s="195"/>
      <c r="O73" s="196"/>
      <c r="P73" s="196"/>
      <c r="Q73" s="196"/>
      <c r="R73" s="195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</row>
    <row r="74" spans="1:33" ht="21.5" thickBot="1" x14ac:dyDescent="0.4">
      <c r="A74" s="396" t="s">
        <v>359</v>
      </c>
      <c r="B74" s="397"/>
      <c r="C74" s="262">
        <v>0</v>
      </c>
      <c r="D74" s="262">
        <v>0</v>
      </c>
      <c r="E74" s="262">
        <v>0</v>
      </c>
      <c r="F74" s="200">
        <v>0</v>
      </c>
      <c r="G74" s="200">
        <v>0</v>
      </c>
      <c r="H74" s="200">
        <v>0</v>
      </c>
      <c r="I74" s="200">
        <v>0</v>
      </c>
      <c r="J74" s="200">
        <v>0</v>
      </c>
      <c r="K74" s="200">
        <v>0</v>
      </c>
      <c r="L74" s="200">
        <v>0</v>
      </c>
      <c r="M74" s="200">
        <v>0</v>
      </c>
      <c r="N74" s="200"/>
      <c r="O74" s="200"/>
      <c r="P74" s="200"/>
      <c r="Q74" s="200"/>
      <c r="R74" s="200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</row>
  </sheetData>
  <mergeCells count="166">
    <mergeCell ref="A53:B53"/>
    <mergeCell ref="A54:B54"/>
    <mergeCell ref="A55:B55"/>
    <mergeCell ref="A56:B56"/>
    <mergeCell ref="A47:AG47"/>
    <mergeCell ref="A48:B49"/>
    <mergeCell ref="A50:B50"/>
    <mergeCell ref="A51:B51"/>
    <mergeCell ref="A52:B52"/>
    <mergeCell ref="M45:N45"/>
    <mergeCell ref="O45:P45"/>
    <mergeCell ref="Q45:S45"/>
    <mergeCell ref="T45:U45"/>
    <mergeCell ref="V45:W45"/>
    <mergeCell ref="X45:Y45"/>
    <mergeCell ref="Z45:AA45"/>
    <mergeCell ref="O44:P44"/>
    <mergeCell ref="Q44:S44"/>
    <mergeCell ref="T44:U44"/>
    <mergeCell ref="V44:W44"/>
    <mergeCell ref="X44:Y44"/>
    <mergeCell ref="C44:D44"/>
    <mergeCell ref="E44:F44"/>
    <mergeCell ref="G44:I44"/>
    <mergeCell ref="J44:K44"/>
    <mergeCell ref="M44:N44"/>
    <mergeCell ref="M42:AD42"/>
    <mergeCell ref="C43:D43"/>
    <mergeCell ref="E43:F43"/>
    <mergeCell ref="G43:I43"/>
    <mergeCell ref="J43:K43"/>
    <mergeCell ref="M43:N43"/>
    <mergeCell ref="O43:P43"/>
    <mergeCell ref="Q43:S43"/>
    <mergeCell ref="T43:U43"/>
    <mergeCell ref="V43:W43"/>
    <mergeCell ref="X43:Y43"/>
    <mergeCell ref="Z43:AA43"/>
    <mergeCell ref="AB43:AD43"/>
    <mergeCell ref="Z44:AA44"/>
    <mergeCell ref="AB44:AD44"/>
    <mergeCell ref="W3:Z3"/>
    <mergeCell ref="A4:AG4"/>
    <mergeCell ref="M6:AD6"/>
    <mergeCell ref="C7:D7"/>
    <mergeCell ref="E7:F7"/>
    <mergeCell ref="G7:I7"/>
    <mergeCell ref="J7:K7"/>
    <mergeCell ref="M7:N7"/>
    <mergeCell ref="O7:P7"/>
    <mergeCell ref="Q7:S7"/>
    <mergeCell ref="T7:U7"/>
    <mergeCell ref="V7:W7"/>
    <mergeCell ref="X7:Y7"/>
    <mergeCell ref="Z7:AA7"/>
    <mergeCell ref="AB7:AD7"/>
    <mergeCell ref="C8:D8"/>
    <mergeCell ref="E8:F8"/>
    <mergeCell ref="G8:I8"/>
    <mergeCell ref="J8:K8"/>
    <mergeCell ref="M8:N8"/>
    <mergeCell ref="AB8:AD8"/>
    <mergeCell ref="M9:N9"/>
    <mergeCell ref="O9:P9"/>
    <mergeCell ref="Q9:S9"/>
    <mergeCell ref="T9:U9"/>
    <mergeCell ref="V9:W9"/>
    <mergeCell ref="X9:Y9"/>
    <mergeCell ref="Z9:AA9"/>
    <mergeCell ref="O8:P8"/>
    <mergeCell ref="Q8:S8"/>
    <mergeCell ref="T8:U8"/>
    <mergeCell ref="V8:W8"/>
    <mergeCell ref="X8:Y8"/>
    <mergeCell ref="Z8:AA8"/>
    <mergeCell ref="A18:B18"/>
    <mergeCell ref="A19:B19"/>
    <mergeCell ref="A20:B20"/>
    <mergeCell ref="A11:AG11"/>
    <mergeCell ref="A12:B13"/>
    <mergeCell ref="A14:B14"/>
    <mergeCell ref="A15:B15"/>
    <mergeCell ref="A16:B16"/>
    <mergeCell ref="A17:B17"/>
    <mergeCell ref="M24:AD24"/>
    <mergeCell ref="C25:D25"/>
    <mergeCell ref="E25:F25"/>
    <mergeCell ref="G25:I25"/>
    <mergeCell ref="J25:K25"/>
    <mergeCell ref="M25:N25"/>
    <mergeCell ref="O25:P25"/>
    <mergeCell ref="Q25:S25"/>
    <mergeCell ref="T25:U25"/>
    <mergeCell ref="V25:W25"/>
    <mergeCell ref="X25:Y25"/>
    <mergeCell ref="Z25:AA25"/>
    <mergeCell ref="AB25:AD25"/>
    <mergeCell ref="C26:D26"/>
    <mergeCell ref="E26:F26"/>
    <mergeCell ref="G26:I26"/>
    <mergeCell ref="J26:K26"/>
    <mergeCell ref="M26:N26"/>
    <mergeCell ref="Z26:AA26"/>
    <mergeCell ref="AB26:AD26"/>
    <mergeCell ref="M27:N27"/>
    <mergeCell ref="O27:P27"/>
    <mergeCell ref="Q27:S27"/>
    <mergeCell ref="T27:U27"/>
    <mergeCell ref="V27:W27"/>
    <mergeCell ref="X27:Y27"/>
    <mergeCell ref="Z27:AA27"/>
    <mergeCell ref="O26:P26"/>
    <mergeCell ref="Q26:S26"/>
    <mergeCell ref="T26:U26"/>
    <mergeCell ref="V26:W26"/>
    <mergeCell ref="X26:Y26"/>
    <mergeCell ref="A35:B35"/>
    <mergeCell ref="A36:B36"/>
    <mergeCell ref="A37:B37"/>
    <mergeCell ref="A38:B38"/>
    <mergeCell ref="A29:AG29"/>
    <mergeCell ref="A30:B31"/>
    <mergeCell ref="A32:B32"/>
    <mergeCell ref="A33:B33"/>
    <mergeCell ref="A34:B34"/>
    <mergeCell ref="M60:AD60"/>
    <mergeCell ref="C61:D61"/>
    <mergeCell ref="E61:F61"/>
    <mergeCell ref="G61:I61"/>
    <mergeCell ref="J61:K61"/>
    <mergeCell ref="M61:N61"/>
    <mergeCell ref="O61:P61"/>
    <mergeCell ref="Q61:S61"/>
    <mergeCell ref="T61:U61"/>
    <mergeCell ref="V61:W61"/>
    <mergeCell ref="X61:Y61"/>
    <mergeCell ref="Z61:AA61"/>
    <mergeCell ref="AB61:AD61"/>
    <mergeCell ref="C62:D62"/>
    <mergeCell ref="E62:F62"/>
    <mergeCell ref="G62:I62"/>
    <mergeCell ref="J62:K62"/>
    <mergeCell ref="M62:N62"/>
    <mergeCell ref="O62:P62"/>
    <mergeCell ref="Q62:S62"/>
    <mergeCell ref="T62:U62"/>
    <mergeCell ref="V62:W62"/>
    <mergeCell ref="X62:Y62"/>
    <mergeCell ref="Z62:AA62"/>
    <mergeCell ref="AB62:AD62"/>
    <mergeCell ref="M63:N63"/>
    <mergeCell ref="O63:P63"/>
    <mergeCell ref="Q63:S63"/>
    <mergeCell ref="T63:U63"/>
    <mergeCell ref="V63:W63"/>
    <mergeCell ref="X63:Y63"/>
    <mergeCell ref="Z63:AA63"/>
    <mergeCell ref="A65:AG65"/>
    <mergeCell ref="A66:B67"/>
    <mergeCell ref="A68:B68"/>
    <mergeCell ref="A69:B69"/>
    <mergeCell ref="A70:B70"/>
    <mergeCell ref="A71:B71"/>
    <mergeCell ref="A72:B72"/>
    <mergeCell ref="A73:B73"/>
    <mergeCell ref="A74:B74"/>
  </mergeCells>
  <conditionalFormatting sqref="C14:AG20">
    <cfRule type="colorScale" priority="4">
      <colorScale>
        <cfvo type="num" val="0"/>
        <cfvo type="num" val="1"/>
        <color rgb="FFFF2F2F"/>
        <color rgb="FF00B050"/>
      </colorScale>
    </cfRule>
  </conditionalFormatting>
  <conditionalFormatting sqref="C32:AG38">
    <cfRule type="colorScale" priority="3">
      <colorScale>
        <cfvo type="num" val="0"/>
        <cfvo type="num" val="1"/>
        <color rgb="FFFF2F2F"/>
        <color rgb="FF00B050"/>
      </colorScale>
    </cfRule>
  </conditionalFormatting>
  <conditionalFormatting sqref="C50:AG56">
    <cfRule type="colorScale" priority="2">
      <colorScale>
        <cfvo type="num" val="0"/>
        <cfvo type="num" val="1"/>
        <color rgb="FFFF2F2F"/>
        <color rgb="FF00B050"/>
      </colorScale>
    </cfRule>
  </conditionalFormatting>
  <conditionalFormatting sqref="C68:AG74">
    <cfRule type="colorScale" priority="1">
      <colorScale>
        <cfvo type="num" val="0"/>
        <cfvo type="num" val="1"/>
        <color rgb="FFFF2F2F"/>
        <color rgb="FF00B050"/>
      </colorScale>
    </cfRule>
  </conditionalFormatting>
  <pageMargins left="0.19685039370078741" right="0.19685039370078741" top="0.23622047244094491" bottom="0.19685039370078741" header="0.15748031496062992" footer="0.15748031496062992"/>
  <pageSetup paperSize="9" scale="5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2DA6-1605-4315-9AC5-A43868ADA934}">
  <dimension ref="D4:G48"/>
  <sheetViews>
    <sheetView workbookViewId="0">
      <selection activeCell="F5" sqref="F5"/>
    </sheetView>
  </sheetViews>
  <sheetFormatPr defaultRowHeight="14.5" x14ac:dyDescent="0.35"/>
  <cols>
    <col min="3" max="3" width="8.1796875" customWidth="1"/>
    <col min="4" max="4" width="9.1796875" customWidth="1"/>
  </cols>
  <sheetData>
    <row r="4" spans="4:7" ht="39" x14ac:dyDescent="0.35">
      <c r="D4" s="356" t="s">
        <v>737</v>
      </c>
      <c r="E4" s="356" t="s">
        <v>738</v>
      </c>
      <c r="F4" s="356" t="s">
        <v>739</v>
      </c>
    </row>
    <row r="5" spans="4:7" ht="84" x14ac:dyDescent="0.35">
      <c r="D5" s="357" t="s">
        <v>740</v>
      </c>
      <c r="E5" s="357" t="s">
        <v>741</v>
      </c>
      <c r="F5" s="357" t="s">
        <v>742</v>
      </c>
      <c r="G5" t="e">
        <f>VLOOKUP(D5,Tabela1[#All],2,FALSE)</f>
        <v>#N/A</v>
      </c>
    </row>
    <row r="6" spans="4:7" ht="105" x14ac:dyDescent="0.35">
      <c r="D6" s="357" t="s">
        <v>54</v>
      </c>
      <c r="E6" s="357" t="s">
        <v>432</v>
      </c>
      <c r="F6" s="357" t="s">
        <v>743</v>
      </c>
      <c r="G6" t="e">
        <f>VLOOKUP(D6,Tabela1[#All],4,FALSE)</f>
        <v>#N/A</v>
      </c>
    </row>
    <row r="7" spans="4:7" ht="105" x14ac:dyDescent="0.35">
      <c r="D7" s="357" t="s">
        <v>53</v>
      </c>
      <c r="E7" s="357" t="s">
        <v>442</v>
      </c>
      <c r="F7" s="357" t="s">
        <v>744</v>
      </c>
      <c r="G7" t="e">
        <f>VLOOKUP(D7,Tabela1[#All],4,FALSE)</f>
        <v>#N/A</v>
      </c>
    </row>
    <row r="8" spans="4:7" ht="105" x14ac:dyDescent="0.35">
      <c r="D8" s="357" t="s">
        <v>52</v>
      </c>
      <c r="E8" s="357" t="s">
        <v>443</v>
      </c>
      <c r="F8" s="357" t="s">
        <v>745</v>
      </c>
      <c r="G8" t="e">
        <f>VLOOKUP(D8,Tabela1[#All],4,FALSE)</f>
        <v>#N/A</v>
      </c>
    </row>
    <row r="9" spans="4:7" ht="105" x14ac:dyDescent="0.35">
      <c r="D9" s="357" t="s">
        <v>746</v>
      </c>
      <c r="E9" s="357" t="s">
        <v>747</v>
      </c>
      <c r="F9" s="357" t="s">
        <v>748</v>
      </c>
      <c r="G9" t="e">
        <f>VLOOKUP(D9,Tabela1[#All],4,FALSE)</f>
        <v>#N/A</v>
      </c>
    </row>
    <row r="10" spans="4:7" ht="105" x14ac:dyDescent="0.35">
      <c r="D10" s="357" t="s">
        <v>749</v>
      </c>
      <c r="E10" s="357" t="s">
        <v>448</v>
      </c>
      <c r="F10" s="357" t="s">
        <v>750</v>
      </c>
      <c r="G10" t="e">
        <f>VLOOKUP(D10,Tabela1[#All],4,FALSE)</f>
        <v>#N/A</v>
      </c>
    </row>
    <row r="11" spans="4:7" ht="105" x14ac:dyDescent="0.35">
      <c r="D11" s="357" t="s">
        <v>751</v>
      </c>
      <c r="E11" s="357" t="s">
        <v>444</v>
      </c>
      <c r="F11" s="357" t="s">
        <v>752</v>
      </c>
      <c r="G11" t="e">
        <f>VLOOKUP(D11,Tabela1[#All],4,FALSE)</f>
        <v>#N/A</v>
      </c>
    </row>
    <row r="12" spans="4:7" ht="105" x14ac:dyDescent="0.35">
      <c r="D12" s="357" t="s">
        <v>753</v>
      </c>
      <c r="E12" s="357" t="s">
        <v>344</v>
      </c>
      <c r="F12" s="357" t="s">
        <v>754</v>
      </c>
      <c r="G12" t="e">
        <f>VLOOKUP(D12,Tabela1[#All],4,FALSE)</f>
        <v>#N/A</v>
      </c>
    </row>
    <row r="13" spans="4:7" ht="105" x14ac:dyDescent="0.35">
      <c r="D13" s="357" t="s">
        <v>755</v>
      </c>
      <c r="E13" s="357" t="s">
        <v>445</v>
      </c>
      <c r="F13" s="357" t="s">
        <v>756</v>
      </c>
      <c r="G13" t="e">
        <f>VLOOKUP(D13,Tabela1[#All],4,FALSE)</f>
        <v>#N/A</v>
      </c>
    </row>
    <row r="14" spans="4:7" ht="105" x14ac:dyDescent="0.35">
      <c r="D14" s="357" t="s">
        <v>757</v>
      </c>
      <c r="E14" s="357" t="s">
        <v>438</v>
      </c>
      <c r="F14" s="357" t="s">
        <v>758</v>
      </c>
      <c r="G14" t="e">
        <f>VLOOKUP(D14,Tabela1[#All],4,FALSE)</f>
        <v>#N/A</v>
      </c>
    </row>
    <row r="15" spans="4:7" ht="94.5" x14ac:dyDescent="0.35">
      <c r="D15" s="357" t="s">
        <v>51</v>
      </c>
      <c r="E15" s="357" t="s">
        <v>759</v>
      </c>
      <c r="F15" s="357" t="s">
        <v>760</v>
      </c>
      <c r="G15" t="e">
        <f>VLOOKUP(D15,Tabela1[#All],4,FALSE)</f>
        <v>#N/A</v>
      </c>
    </row>
    <row r="16" spans="4:7" ht="94.5" x14ac:dyDescent="0.35">
      <c r="D16" s="357" t="s">
        <v>434</v>
      </c>
      <c r="E16" s="357" t="s">
        <v>433</v>
      </c>
      <c r="F16" s="357" t="s">
        <v>761</v>
      </c>
      <c r="G16" t="e">
        <f>VLOOKUP(D16,Tabela1[#All],4,FALSE)</f>
        <v>#N/A</v>
      </c>
    </row>
    <row r="17" spans="4:7" ht="94.5" x14ac:dyDescent="0.35">
      <c r="D17" s="357" t="s">
        <v>127</v>
      </c>
      <c r="E17" s="357" t="s">
        <v>344</v>
      </c>
      <c r="F17" s="357" t="s">
        <v>762</v>
      </c>
      <c r="G17" t="e">
        <f>VLOOKUP(D17,Tabela1[#All],4,FALSE)</f>
        <v>#N/A</v>
      </c>
    </row>
    <row r="18" spans="4:7" ht="94.5" x14ac:dyDescent="0.35">
      <c r="D18" s="357" t="s">
        <v>763</v>
      </c>
      <c r="E18" s="357" t="s">
        <v>342</v>
      </c>
      <c r="F18" s="357" t="s">
        <v>764</v>
      </c>
      <c r="G18" t="e">
        <f>VLOOKUP(D18,Tabela1[#All],4,FALSE)</f>
        <v>#N/A</v>
      </c>
    </row>
    <row r="19" spans="4:7" ht="94.5" x14ac:dyDescent="0.35">
      <c r="D19" s="357" t="s">
        <v>765</v>
      </c>
      <c r="E19" s="357" t="s">
        <v>445</v>
      </c>
      <c r="F19" s="357" t="s">
        <v>766</v>
      </c>
      <c r="G19" t="e">
        <f>VLOOKUP(D19,Tabela1[#All],4,FALSE)</f>
        <v>#N/A</v>
      </c>
    </row>
    <row r="20" spans="4:7" ht="94.5" x14ac:dyDescent="0.35">
      <c r="D20" s="357" t="s">
        <v>102</v>
      </c>
      <c r="E20" s="357" t="s">
        <v>443</v>
      </c>
      <c r="F20" s="357" t="s">
        <v>767</v>
      </c>
      <c r="G20" t="e">
        <f>VLOOKUP(D20,Tabela1[#All],4,FALSE)</f>
        <v>#N/A</v>
      </c>
    </row>
    <row r="21" spans="4:7" ht="105" x14ac:dyDescent="0.35">
      <c r="D21" s="357" t="s">
        <v>768</v>
      </c>
      <c r="E21" s="357" t="s">
        <v>440</v>
      </c>
      <c r="F21" s="357" t="s">
        <v>769</v>
      </c>
      <c r="G21" t="e">
        <f>VLOOKUP(D21,Tabela1[#All],4,FALSE)</f>
        <v>#N/A</v>
      </c>
    </row>
    <row r="22" spans="4:7" ht="105" x14ac:dyDescent="0.35">
      <c r="D22" s="357" t="s">
        <v>770</v>
      </c>
      <c r="E22" s="357" t="s">
        <v>430</v>
      </c>
      <c r="F22" s="357" t="s">
        <v>771</v>
      </c>
      <c r="G22" t="e">
        <f>VLOOKUP(D22,Tabela1[#All],4,FALSE)</f>
        <v>#N/A</v>
      </c>
    </row>
    <row r="23" spans="4:7" ht="94.5" x14ac:dyDescent="0.35">
      <c r="D23" s="357" t="s">
        <v>772</v>
      </c>
      <c r="E23" s="357" t="s">
        <v>333</v>
      </c>
      <c r="F23" s="357" t="s">
        <v>773</v>
      </c>
      <c r="G23" t="e">
        <f>VLOOKUP(D23,Tabela1[#All],4,FALSE)</f>
        <v>#N/A</v>
      </c>
    </row>
    <row r="24" spans="4:7" ht="105" x14ac:dyDescent="0.35">
      <c r="D24" s="357" t="s">
        <v>335</v>
      </c>
      <c r="E24" s="357" t="s">
        <v>334</v>
      </c>
      <c r="F24" s="357" t="s">
        <v>774</v>
      </c>
      <c r="G24" t="e">
        <f>VLOOKUP(D24,Tabela1[#All],4,FALSE)</f>
        <v>#N/A</v>
      </c>
    </row>
    <row r="25" spans="4:7" ht="94.5" x14ac:dyDescent="0.35">
      <c r="D25" s="357" t="s">
        <v>703</v>
      </c>
      <c r="E25" s="357" t="s">
        <v>336</v>
      </c>
      <c r="F25" s="357" t="s">
        <v>775</v>
      </c>
      <c r="G25" t="e">
        <f>VLOOKUP(D25,Tabela1[#All],4,FALSE)</f>
        <v>#N/A</v>
      </c>
    </row>
    <row r="26" spans="4:7" ht="94.5" x14ac:dyDescent="0.35">
      <c r="D26" s="357" t="s">
        <v>338</v>
      </c>
      <c r="E26" s="357" t="s">
        <v>337</v>
      </c>
      <c r="F26" s="357" t="s">
        <v>776</v>
      </c>
      <c r="G26" t="e">
        <f>VLOOKUP(D26,Tabela1[#All],4,FALSE)</f>
        <v>#N/A</v>
      </c>
    </row>
    <row r="27" spans="4:7" ht="115.5" x14ac:dyDescent="0.35">
      <c r="D27" s="357" t="s">
        <v>339</v>
      </c>
      <c r="E27" s="357" t="s">
        <v>436</v>
      </c>
      <c r="F27" s="357" t="s">
        <v>777</v>
      </c>
      <c r="G27" t="e">
        <f>VLOOKUP(D27,Tabela1[#All],4,FALSE)</f>
        <v>#N/A</v>
      </c>
    </row>
    <row r="28" spans="4:7" ht="105" x14ac:dyDescent="0.35">
      <c r="D28" s="357" t="s">
        <v>341</v>
      </c>
      <c r="E28" s="357" t="s">
        <v>340</v>
      </c>
      <c r="F28" s="357" t="s">
        <v>778</v>
      </c>
      <c r="G28" t="e">
        <f>VLOOKUP(D28,Tabela1[#All],4,FALSE)</f>
        <v>#N/A</v>
      </c>
    </row>
    <row r="29" spans="4:7" ht="105" x14ac:dyDescent="0.35">
      <c r="D29" s="357" t="s">
        <v>343</v>
      </c>
      <c r="E29" s="357" t="s">
        <v>342</v>
      </c>
      <c r="F29" s="357" t="s">
        <v>779</v>
      </c>
      <c r="G29" t="e">
        <f>VLOOKUP(D29,Tabela1[#All],4,FALSE)</f>
        <v>#N/A</v>
      </c>
    </row>
    <row r="30" spans="4:7" ht="105" x14ac:dyDescent="0.35">
      <c r="D30" s="357" t="s">
        <v>345</v>
      </c>
      <c r="E30" s="357" t="s">
        <v>344</v>
      </c>
      <c r="F30" s="357" t="s">
        <v>780</v>
      </c>
      <c r="G30" t="e">
        <f>VLOOKUP(D30,Tabela1[#All],4,FALSE)</f>
        <v>#N/A</v>
      </c>
    </row>
    <row r="31" spans="4:7" ht="105" x14ac:dyDescent="0.35">
      <c r="D31" s="357" t="s">
        <v>781</v>
      </c>
      <c r="E31" s="357" t="s">
        <v>439</v>
      </c>
      <c r="F31" s="357" t="s">
        <v>782</v>
      </c>
      <c r="G31" t="e">
        <f>VLOOKUP(D31,Tabela1[#All],4,FALSE)</f>
        <v>#N/A</v>
      </c>
    </row>
    <row r="32" spans="4:7" ht="94.5" x14ac:dyDescent="0.35">
      <c r="D32" s="357" t="s">
        <v>372</v>
      </c>
      <c r="E32" s="357" t="s">
        <v>371</v>
      </c>
      <c r="F32" s="357" t="s">
        <v>783</v>
      </c>
      <c r="G32" t="e">
        <f>VLOOKUP(D32,Tabela1[#All],4,FALSE)</f>
        <v>#N/A</v>
      </c>
    </row>
    <row r="33" spans="4:7" ht="105" x14ac:dyDescent="0.35">
      <c r="D33" s="357" t="s">
        <v>374</v>
      </c>
      <c r="E33" s="357" t="s">
        <v>373</v>
      </c>
      <c r="F33" s="357" t="s">
        <v>784</v>
      </c>
      <c r="G33" t="e">
        <f>VLOOKUP(D33,Tabela1[#All],4,FALSE)</f>
        <v>#N/A</v>
      </c>
    </row>
    <row r="34" spans="4:7" ht="94.5" x14ac:dyDescent="0.35">
      <c r="D34" s="357" t="s">
        <v>785</v>
      </c>
      <c r="E34" s="357" t="s">
        <v>786</v>
      </c>
      <c r="F34" s="357" t="s">
        <v>787</v>
      </c>
      <c r="G34" t="e">
        <f>VLOOKUP(D34,Tabela1[#All],4,FALSE)</f>
        <v>#N/A</v>
      </c>
    </row>
    <row r="35" spans="4:7" ht="94.5" x14ac:dyDescent="0.35">
      <c r="D35" s="357" t="s">
        <v>788</v>
      </c>
      <c r="E35" s="357" t="s">
        <v>375</v>
      </c>
      <c r="F35" s="357" t="s">
        <v>789</v>
      </c>
      <c r="G35" t="e">
        <f>VLOOKUP(D35,Tabela1[#All],4,FALSE)</f>
        <v>#N/A</v>
      </c>
    </row>
    <row r="36" spans="4:7" ht="105" x14ac:dyDescent="0.35">
      <c r="D36" s="357" t="s">
        <v>377</v>
      </c>
      <c r="E36" s="357" t="s">
        <v>376</v>
      </c>
      <c r="F36" s="357" t="s">
        <v>790</v>
      </c>
      <c r="G36" t="e">
        <f>VLOOKUP(D36,Tabela1[#All],4,FALSE)</f>
        <v>#N/A</v>
      </c>
    </row>
    <row r="37" spans="4:7" ht="105" x14ac:dyDescent="0.35">
      <c r="D37" s="357" t="s">
        <v>379</v>
      </c>
      <c r="E37" s="357" t="s">
        <v>378</v>
      </c>
      <c r="F37" s="357" t="s">
        <v>791</v>
      </c>
      <c r="G37" t="e">
        <f>VLOOKUP(D37,Tabela1[#All],4,FALSE)</f>
        <v>#N/A</v>
      </c>
    </row>
    <row r="38" spans="4:7" ht="94.5" x14ac:dyDescent="0.35">
      <c r="D38" s="357" t="s">
        <v>381</v>
      </c>
      <c r="E38" s="357" t="s">
        <v>380</v>
      </c>
      <c r="F38" s="357" t="s">
        <v>792</v>
      </c>
      <c r="G38" t="e">
        <f>VLOOKUP(D38,Tabela1[#All],4,FALSE)</f>
        <v>#N/A</v>
      </c>
    </row>
    <row r="39" spans="4:7" ht="105" x14ac:dyDescent="0.35">
      <c r="D39" s="357" t="s">
        <v>793</v>
      </c>
      <c r="E39" s="357" t="s">
        <v>344</v>
      </c>
      <c r="F39" s="357" t="s">
        <v>794</v>
      </c>
      <c r="G39" t="e">
        <f>VLOOKUP(D39,Tabela1[#All],4,FALSE)</f>
        <v>#N/A</v>
      </c>
    </row>
    <row r="40" spans="4:7" ht="94.5" x14ac:dyDescent="0.35">
      <c r="D40" s="357" t="s">
        <v>795</v>
      </c>
      <c r="E40" s="357" t="s">
        <v>344</v>
      </c>
      <c r="F40" s="357" t="s">
        <v>762</v>
      </c>
      <c r="G40" t="e">
        <f>VLOOKUP(D40,Tabela1[#All],4,FALSE)</f>
        <v>#N/A</v>
      </c>
    </row>
    <row r="41" spans="4:7" ht="94.5" x14ac:dyDescent="0.35">
      <c r="D41" s="357" t="s">
        <v>796</v>
      </c>
      <c r="E41" s="357" t="s">
        <v>344</v>
      </c>
      <c r="F41" s="357" t="s">
        <v>762</v>
      </c>
      <c r="G41" t="e">
        <f>VLOOKUP(D41,Tabela1[#All],4,FALSE)</f>
        <v>#N/A</v>
      </c>
    </row>
    <row r="42" spans="4:7" ht="94.5" x14ac:dyDescent="0.35">
      <c r="D42" s="357" t="s">
        <v>384</v>
      </c>
      <c r="E42" s="357" t="s">
        <v>383</v>
      </c>
      <c r="F42" s="357" t="s">
        <v>797</v>
      </c>
      <c r="G42" t="e">
        <f>VLOOKUP(D42,Tabela1[#All],4,FALSE)</f>
        <v>#N/A</v>
      </c>
    </row>
    <row r="43" spans="4:7" ht="94.5" x14ac:dyDescent="0.35">
      <c r="D43" s="357" t="s">
        <v>736</v>
      </c>
      <c r="E43" s="357" t="s">
        <v>386</v>
      </c>
      <c r="F43" s="357" t="s">
        <v>798</v>
      </c>
      <c r="G43" t="e">
        <f>VLOOKUP(D43,Tabela1[#All],4,FALSE)</f>
        <v>#N/A</v>
      </c>
    </row>
    <row r="44" spans="4:7" ht="126" x14ac:dyDescent="0.35">
      <c r="D44" s="357" t="s">
        <v>799</v>
      </c>
      <c r="E44" s="357" t="s">
        <v>383</v>
      </c>
      <c r="F44" s="357" t="s">
        <v>800</v>
      </c>
      <c r="G44" t="e">
        <f>VLOOKUP(D44,Tabela1[#All],4,FALSE)</f>
        <v>#N/A</v>
      </c>
    </row>
    <row r="45" spans="4:7" ht="84" x14ac:dyDescent="0.35">
      <c r="D45" s="357" t="s">
        <v>651</v>
      </c>
      <c r="E45" s="357" t="s">
        <v>383</v>
      </c>
      <c r="F45" s="357" t="s">
        <v>801</v>
      </c>
      <c r="G45" t="e">
        <f>VLOOKUP(D45,Tabela1[#All],4,FALSE)</f>
        <v>#N/A</v>
      </c>
    </row>
    <row r="46" spans="4:7" ht="63" x14ac:dyDescent="0.35">
      <c r="D46" s="357" t="s">
        <v>611</v>
      </c>
      <c r="E46" s="357" t="s">
        <v>610</v>
      </c>
      <c r="F46" s="357" t="s">
        <v>802</v>
      </c>
      <c r="G46" t="e">
        <f>VLOOKUP(D46,Tabela1[#All],4,FALSE)</f>
        <v>#N/A</v>
      </c>
    </row>
    <row r="47" spans="4:7" ht="63" x14ac:dyDescent="0.35">
      <c r="D47" s="357" t="s">
        <v>608</v>
      </c>
      <c r="E47" s="357" t="s">
        <v>609</v>
      </c>
      <c r="F47" s="357" t="s">
        <v>803</v>
      </c>
      <c r="G47" t="e">
        <f>VLOOKUP(D47,Tabela1[#All],4,FALSE)</f>
        <v>#N/A</v>
      </c>
    </row>
    <row r="48" spans="4:7" ht="94.5" x14ac:dyDescent="0.35">
      <c r="D48" s="357" t="s">
        <v>735</v>
      </c>
      <c r="E48" s="357" t="s">
        <v>804</v>
      </c>
      <c r="F48" s="357" t="s">
        <v>805</v>
      </c>
      <c r="G48" t="e">
        <f>VLOOKUP(D48,Tabela1[#All],4,FALSE)</f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4BD5-5C34-4FB5-8958-1CB682AD4A92}">
  <dimension ref="A2:I26"/>
  <sheetViews>
    <sheetView showGridLines="0" workbookViewId="0">
      <selection activeCell="D1" sqref="D1:D1048576"/>
    </sheetView>
  </sheetViews>
  <sheetFormatPr defaultRowHeight="14.5" x14ac:dyDescent="0.35"/>
  <cols>
    <col min="1" max="1" width="17" bestFit="1" customWidth="1"/>
    <col min="2" max="2" width="16.54296875" bestFit="1" customWidth="1"/>
    <col min="5" max="5" width="17" bestFit="1" customWidth="1"/>
    <col min="6" max="6" width="16.453125" bestFit="1" customWidth="1"/>
  </cols>
  <sheetData>
    <row r="2" spans="1:9" x14ac:dyDescent="0.35">
      <c r="H2" t="s">
        <v>1</v>
      </c>
      <c r="I2" t="s">
        <v>357</v>
      </c>
    </row>
    <row r="3" spans="1:9" x14ac:dyDescent="0.35">
      <c r="A3" s="153" t="s">
        <v>349</v>
      </c>
      <c r="B3" t="s">
        <v>356</v>
      </c>
      <c r="E3" s="153" t="s">
        <v>349</v>
      </c>
      <c r="F3" t="s">
        <v>355</v>
      </c>
      <c r="H3">
        <v>1</v>
      </c>
      <c r="I3" t="str">
        <f t="shared" ref="I3:I8" si="0">IFERROR(GETPIVOTDATA("Hora",$A$3,"Hora",H3),"")</f>
        <v/>
      </c>
    </row>
    <row r="4" spans="1:9" x14ac:dyDescent="0.35">
      <c r="A4" s="155" t="s">
        <v>252</v>
      </c>
      <c r="B4">
        <v>3</v>
      </c>
      <c r="E4" s="154" t="s">
        <v>351</v>
      </c>
      <c r="F4">
        <v>22</v>
      </c>
      <c r="H4">
        <v>2</v>
      </c>
      <c r="I4" t="str">
        <f t="shared" si="0"/>
        <v/>
      </c>
    </row>
    <row r="5" spans="1:9" x14ac:dyDescent="0.35">
      <c r="A5" s="155" t="s">
        <v>253</v>
      </c>
      <c r="B5">
        <v>11</v>
      </c>
      <c r="E5" s="154" t="s">
        <v>352</v>
      </c>
      <c r="F5">
        <v>35</v>
      </c>
      <c r="H5">
        <v>3</v>
      </c>
      <c r="I5" t="str">
        <f t="shared" si="0"/>
        <v/>
      </c>
    </row>
    <row r="6" spans="1:9" x14ac:dyDescent="0.35">
      <c r="A6" s="155" t="s">
        <v>254</v>
      </c>
      <c r="B6">
        <v>23</v>
      </c>
      <c r="E6" s="154" t="s">
        <v>353</v>
      </c>
      <c r="F6">
        <v>32</v>
      </c>
      <c r="H6">
        <v>4</v>
      </c>
      <c r="I6" t="str">
        <f t="shared" si="0"/>
        <v/>
      </c>
    </row>
    <row r="7" spans="1:9" x14ac:dyDescent="0.35">
      <c r="A7" s="155" t="s">
        <v>255</v>
      </c>
      <c r="B7">
        <v>10</v>
      </c>
      <c r="E7" s="154" t="s">
        <v>354</v>
      </c>
      <c r="F7">
        <v>38</v>
      </c>
      <c r="H7">
        <v>5</v>
      </c>
      <c r="I7">
        <f t="shared" si="0"/>
        <v>3</v>
      </c>
    </row>
    <row r="8" spans="1:9" x14ac:dyDescent="0.35">
      <c r="A8" s="155" t="s">
        <v>256</v>
      </c>
      <c r="B8">
        <v>9</v>
      </c>
      <c r="E8" s="154" t="s">
        <v>570</v>
      </c>
      <c r="F8">
        <v>18</v>
      </c>
      <c r="H8">
        <v>6</v>
      </c>
      <c r="I8">
        <f t="shared" si="0"/>
        <v>11</v>
      </c>
    </row>
    <row r="9" spans="1:9" x14ac:dyDescent="0.35">
      <c r="A9" s="155" t="s">
        <v>257</v>
      </c>
      <c r="B9">
        <v>9</v>
      </c>
      <c r="E9" s="154" t="s">
        <v>713</v>
      </c>
      <c r="F9">
        <v>18</v>
      </c>
      <c r="H9">
        <v>7</v>
      </c>
      <c r="I9">
        <f>IFERROR(GETPIVOTDATA("Hora",$A$3,"Hora",H9),"")</f>
        <v>23</v>
      </c>
    </row>
    <row r="10" spans="1:9" x14ac:dyDescent="0.35">
      <c r="A10" s="155" t="s">
        <v>258</v>
      </c>
      <c r="B10">
        <v>12</v>
      </c>
      <c r="E10" s="154" t="s">
        <v>845</v>
      </c>
      <c r="F10">
        <v>13</v>
      </c>
      <c r="H10">
        <v>8</v>
      </c>
      <c r="I10">
        <f t="shared" ref="I10:I26" si="1">IFERROR(GETPIVOTDATA("Hora",$A$3,"Hora",H10),"")</f>
        <v>10</v>
      </c>
    </row>
    <row r="11" spans="1:9" x14ac:dyDescent="0.35">
      <c r="A11" s="155" t="s">
        <v>263</v>
      </c>
      <c r="B11">
        <v>10</v>
      </c>
      <c r="E11" s="154" t="s">
        <v>350</v>
      </c>
      <c r="F11">
        <v>176</v>
      </c>
      <c r="H11">
        <v>9</v>
      </c>
      <c r="I11">
        <f t="shared" si="1"/>
        <v>9</v>
      </c>
    </row>
    <row r="12" spans="1:9" x14ac:dyDescent="0.35">
      <c r="A12" s="155" t="s">
        <v>264</v>
      </c>
      <c r="B12">
        <v>9</v>
      </c>
      <c r="H12">
        <v>10</v>
      </c>
      <c r="I12">
        <f t="shared" si="1"/>
        <v>9</v>
      </c>
    </row>
    <row r="13" spans="1:9" x14ac:dyDescent="0.35">
      <c r="A13" s="155" t="s">
        <v>265</v>
      </c>
      <c r="B13">
        <v>13</v>
      </c>
      <c r="H13">
        <v>11</v>
      </c>
      <c r="I13">
        <f t="shared" si="1"/>
        <v>12</v>
      </c>
    </row>
    <row r="14" spans="1:9" x14ac:dyDescent="0.35">
      <c r="A14" s="155" t="s">
        <v>266</v>
      </c>
      <c r="B14">
        <v>11</v>
      </c>
      <c r="H14">
        <v>12</v>
      </c>
      <c r="I14">
        <f t="shared" si="1"/>
        <v>10</v>
      </c>
    </row>
    <row r="15" spans="1:9" x14ac:dyDescent="0.35">
      <c r="A15" s="155" t="s">
        <v>267</v>
      </c>
      <c r="B15">
        <v>14</v>
      </c>
      <c r="H15">
        <v>13</v>
      </c>
      <c r="I15">
        <f t="shared" si="1"/>
        <v>9</v>
      </c>
    </row>
    <row r="16" spans="1:9" x14ac:dyDescent="0.35">
      <c r="A16" s="155" t="s">
        <v>268</v>
      </c>
      <c r="B16">
        <v>9</v>
      </c>
      <c r="H16">
        <v>14</v>
      </c>
      <c r="I16">
        <f t="shared" si="1"/>
        <v>13</v>
      </c>
    </row>
    <row r="17" spans="1:9" x14ac:dyDescent="0.35">
      <c r="A17" s="155" t="s">
        <v>269</v>
      </c>
      <c r="B17">
        <v>10</v>
      </c>
      <c r="H17">
        <v>15</v>
      </c>
      <c r="I17">
        <f t="shared" si="1"/>
        <v>11</v>
      </c>
    </row>
    <row r="18" spans="1:9" x14ac:dyDescent="0.35">
      <c r="A18" s="155" t="s">
        <v>270</v>
      </c>
      <c r="B18">
        <v>11</v>
      </c>
      <c r="H18">
        <v>16</v>
      </c>
      <c r="I18">
        <f t="shared" si="1"/>
        <v>14</v>
      </c>
    </row>
    <row r="19" spans="1:9" x14ac:dyDescent="0.35">
      <c r="A19" s="155" t="s">
        <v>271</v>
      </c>
      <c r="B19">
        <v>7</v>
      </c>
      <c r="H19">
        <v>17</v>
      </c>
      <c r="I19">
        <f t="shared" si="1"/>
        <v>9</v>
      </c>
    </row>
    <row r="20" spans="1:9" x14ac:dyDescent="0.35">
      <c r="A20" s="155" t="s">
        <v>272</v>
      </c>
      <c r="B20">
        <v>3</v>
      </c>
      <c r="H20">
        <v>18</v>
      </c>
      <c r="I20">
        <f t="shared" si="1"/>
        <v>10</v>
      </c>
    </row>
    <row r="21" spans="1:9" x14ac:dyDescent="0.35">
      <c r="A21" s="155" t="s">
        <v>273</v>
      </c>
      <c r="B21">
        <v>1</v>
      </c>
      <c r="H21">
        <v>19</v>
      </c>
      <c r="I21">
        <f t="shared" si="1"/>
        <v>11</v>
      </c>
    </row>
    <row r="22" spans="1:9" x14ac:dyDescent="0.35">
      <c r="A22" s="155" t="s">
        <v>274</v>
      </c>
      <c r="B22">
        <v>1</v>
      </c>
      <c r="H22">
        <v>20</v>
      </c>
      <c r="I22">
        <f t="shared" si="1"/>
        <v>7</v>
      </c>
    </row>
    <row r="23" spans="1:9" x14ac:dyDescent="0.35">
      <c r="A23" s="155" t="s">
        <v>350</v>
      </c>
      <c r="B23">
        <v>176</v>
      </c>
      <c r="H23">
        <v>21</v>
      </c>
      <c r="I23">
        <f t="shared" si="1"/>
        <v>3</v>
      </c>
    </row>
    <row r="24" spans="1:9" x14ac:dyDescent="0.35">
      <c r="H24">
        <v>22</v>
      </c>
      <c r="I24">
        <f t="shared" si="1"/>
        <v>1</v>
      </c>
    </row>
    <row r="25" spans="1:9" x14ac:dyDescent="0.35">
      <c r="H25">
        <v>23</v>
      </c>
      <c r="I25">
        <f t="shared" si="1"/>
        <v>1</v>
      </c>
    </row>
    <row r="26" spans="1:9" x14ac:dyDescent="0.35">
      <c r="H26">
        <v>0</v>
      </c>
      <c r="I26" t="str">
        <f t="shared" si="1"/>
        <v/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2C16-E68F-42B4-AFD5-2D91359F6A03}">
  <dimension ref="A3:Z63"/>
  <sheetViews>
    <sheetView showGridLines="0" topLeftCell="A4" zoomScale="90" zoomScaleNormal="90" workbookViewId="0">
      <selection activeCell="P10" activeCellId="1" sqref="A4 P10"/>
    </sheetView>
  </sheetViews>
  <sheetFormatPr defaultRowHeight="14.5" x14ac:dyDescent="0.35"/>
  <cols>
    <col min="1" max="1" width="20.453125" bestFit="1" customWidth="1"/>
    <col min="2" max="2" width="17.36328125" bestFit="1" customWidth="1"/>
    <col min="3" max="3" width="3.6328125" bestFit="1" customWidth="1"/>
    <col min="4" max="4" width="3.36328125" bestFit="1" customWidth="1"/>
    <col min="5" max="5" width="4.08984375" bestFit="1" customWidth="1"/>
    <col min="6" max="7" width="3.6328125" bestFit="1" customWidth="1"/>
    <col min="8" max="8" width="3.81640625" bestFit="1" customWidth="1"/>
    <col min="9" max="9" width="10.26953125" bestFit="1" customWidth="1"/>
    <col min="10" max="10" width="14.453125" bestFit="1" customWidth="1"/>
    <col min="11" max="11" width="15" bestFit="1" customWidth="1"/>
    <col min="12" max="12" width="5.36328125" style="59" bestFit="1" customWidth="1"/>
    <col min="13" max="13" width="3.90625" bestFit="1" customWidth="1"/>
    <col min="14" max="14" width="4.6328125" bestFit="1" customWidth="1"/>
    <col min="15" max="15" width="4" bestFit="1" customWidth="1"/>
    <col min="16" max="16" width="4.6328125" bestFit="1" customWidth="1"/>
    <col min="17" max="17" width="10.36328125" bestFit="1" customWidth="1"/>
    <col min="18" max="18" width="17.6328125" bestFit="1" customWidth="1"/>
    <col min="19" max="19" width="19.08984375" bestFit="1" customWidth="1"/>
    <col min="20" max="21" width="10.26953125" bestFit="1" customWidth="1"/>
    <col min="22" max="56" width="2.90625" bestFit="1" customWidth="1"/>
    <col min="57" max="99" width="3.90625" bestFit="1" customWidth="1"/>
    <col min="100" max="100" width="10.26953125" bestFit="1" customWidth="1"/>
  </cols>
  <sheetData>
    <row r="3" spans="1:26" x14ac:dyDescent="0.35">
      <c r="A3" s="153" t="s">
        <v>538</v>
      </c>
      <c r="B3" s="153" t="s">
        <v>536</v>
      </c>
    </row>
    <row r="4" spans="1:26" x14ac:dyDescent="0.35">
      <c r="A4" s="153" t="s">
        <v>349</v>
      </c>
      <c r="B4" t="s">
        <v>351</v>
      </c>
      <c r="C4" t="s">
        <v>352</v>
      </c>
      <c r="D4" t="s">
        <v>353</v>
      </c>
      <c r="E4" t="s">
        <v>354</v>
      </c>
      <c r="F4" t="s">
        <v>570</v>
      </c>
      <c r="G4" t="s">
        <v>713</v>
      </c>
      <c r="H4" t="s">
        <v>845</v>
      </c>
      <c r="I4" t="s">
        <v>350</v>
      </c>
    </row>
    <row r="5" spans="1:26" x14ac:dyDescent="0.35">
      <c r="A5" s="154" t="s">
        <v>359</v>
      </c>
      <c r="E5">
        <v>1</v>
      </c>
      <c r="F5">
        <v>1</v>
      </c>
      <c r="I5">
        <v>2</v>
      </c>
    </row>
    <row r="6" spans="1:26" x14ac:dyDescent="0.35">
      <c r="A6" s="154" t="s">
        <v>94</v>
      </c>
      <c r="B6">
        <v>4</v>
      </c>
      <c r="C6">
        <v>7</v>
      </c>
      <c r="D6">
        <v>12</v>
      </c>
      <c r="E6">
        <v>3</v>
      </c>
      <c r="F6">
        <v>2</v>
      </c>
      <c r="G6">
        <v>3</v>
      </c>
      <c r="H6">
        <v>6</v>
      </c>
      <c r="I6">
        <v>37</v>
      </c>
    </row>
    <row r="7" spans="1:26" x14ac:dyDescent="0.35">
      <c r="A7" s="154" t="s">
        <v>97</v>
      </c>
      <c r="C7">
        <v>1</v>
      </c>
      <c r="D7">
        <v>1</v>
      </c>
      <c r="E7">
        <v>1</v>
      </c>
      <c r="F7">
        <v>3</v>
      </c>
      <c r="G7">
        <v>3</v>
      </c>
      <c r="H7">
        <v>1</v>
      </c>
      <c r="I7">
        <v>10</v>
      </c>
    </row>
    <row r="8" spans="1:26" x14ac:dyDescent="0.35">
      <c r="A8" s="154" t="s">
        <v>95</v>
      </c>
      <c r="B8">
        <v>5</v>
      </c>
      <c r="C8">
        <v>13</v>
      </c>
      <c r="D8">
        <v>10</v>
      </c>
      <c r="E8">
        <v>6</v>
      </c>
      <c r="F8">
        <v>9</v>
      </c>
      <c r="G8">
        <v>2</v>
      </c>
      <c r="H8">
        <v>2</v>
      </c>
      <c r="I8">
        <v>47</v>
      </c>
      <c r="R8" s="258" t="s">
        <v>581</v>
      </c>
      <c r="S8" s="258">
        <f>R22</f>
        <v>176</v>
      </c>
    </row>
    <row r="9" spans="1:26" x14ac:dyDescent="0.35">
      <c r="A9" s="154" t="s">
        <v>93</v>
      </c>
      <c r="B9">
        <v>11</v>
      </c>
      <c r="C9">
        <v>12</v>
      </c>
      <c r="D9">
        <v>5</v>
      </c>
      <c r="E9">
        <v>3</v>
      </c>
      <c r="G9">
        <v>3</v>
      </c>
      <c r="H9">
        <v>1</v>
      </c>
      <c r="I9">
        <v>35</v>
      </c>
      <c r="R9" s="258" t="s">
        <v>226</v>
      </c>
      <c r="S9" s="258">
        <f>S22</f>
        <v>101</v>
      </c>
    </row>
    <row r="10" spans="1:26" x14ac:dyDescent="0.35">
      <c r="A10" s="154" t="s">
        <v>96</v>
      </c>
      <c r="B10">
        <v>2</v>
      </c>
      <c r="C10">
        <v>2</v>
      </c>
      <c r="D10">
        <v>4</v>
      </c>
      <c r="E10">
        <v>24</v>
      </c>
      <c r="F10">
        <v>3</v>
      </c>
      <c r="G10">
        <v>7</v>
      </c>
      <c r="H10">
        <v>3</v>
      </c>
      <c r="I10">
        <v>45</v>
      </c>
      <c r="R10" s="258" t="s">
        <v>584</v>
      </c>
      <c r="S10" s="258">
        <f>T22</f>
        <v>75</v>
      </c>
    </row>
    <row r="11" spans="1:26" x14ac:dyDescent="0.35">
      <c r="A11" s="154" t="s">
        <v>350</v>
      </c>
      <c r="B11">
        <v>22</v>
      </c>
      <c r="C11">
        <v>35</v>
      </c>
      <c r="D11">
        <v>32</v>
      </c>
      <c r="E11">
        <v>38</v>
      </c>
      <c r="F11">
        <v>18</v>
      </c>
      <c r="G11">
        <v>18</v>
      </c>
      <c r="H11">
        <v>13</v>
      </c>
      <c r="I11">
        <v>176</v>
      </c>
      <c r="R11" s="258" t="s">
        <v>583</v>
      </c>
      <c r="S11" s="258">
        <f>U22</f>
        <v>40</v>
      </c>
    </row>
    <row r="14" spans="1:26" x14ac:dyDescent="0.35">
      <c r="A14" s="153" t="s">
        <v>537</v>
      </c>
      <c r="B14" s="153" t="s">
        <v>536</v>
      </c>
      <c r="J14" s="153" t="s">
        <v>542</v>
      </c>
      <c r="K14" t="s">
        <v>580</v>
      </c>
      <c r="R14" s="258" t="s">
        <v>581</v>
      </c>
      <c r="S14" s="258" t="s">
        <v>226</v>
      </c>
      <c r="T14" s="258" t="s">
        <v>584</v>
      </c>
      <c r="U14" s="258" t="s">
        <v>583</v>
      </c>
    </row>
    <row r="15" spans="1:26" x14ac:dyDescent="0.35">
      <c r="A15" s="153" t="s">
        <v>349</v>
      </c>
      <c r="B15" t="s">
        <v>7</v>
      </c>
      <c r="C15" t="s">
        <v>12</v>
      </c>
      <c r="D15" t="s">
        <v>350</v>
      </c>
      <c r="J15" s="154" t="s">
        <v>43</v>
      </c>
      <c r="K15">
        <v>75</v>
      </c>
      <c r="M15" t="s">
        <v>582</v>
      </c>
      <c r="Q15" s="61" t="s">
        <v>94</v>
      </c>
      <c r="R15" s="256">
        <f>IFERROR(GETPIVOTDATA("Ramal",$A$14,"Ramal",Q15),"")</f>
        <v>37</v>
      </c>
      <c r="S15" s="256">
        <f t="shared" ref="S15:S21" si="0">IFERROR(R15-T15,0)</f>
        <v>18</v>
      </c>
      <c r="T15" s="256">
        <f>GETPIVOTDATA("OS",$J$14,"Ramal","Deodoro","OS","N/A")</f>
        <v>19</v>
      </c>
      <c r="U15" s="256">
        <f>GETPIVOTDATA("Ramal",$A$14,"Ramal","Deodoro","Melhoria feita?","Sim")</f>
        <v>5</v>
      </c>
      <c r="W15" s="258" t="s">
        <v>2</v>
      </c>
      <c r="X15" s="260" t="s">
        <v>586</v>
      </c>
      <c r="Y15" s="260" t="s">
        <v>587</v>
      </c>
      <c r="Z15" s="260" t="s">
        <v>588</v>
      </c>
    </row>
    <row r="16" spans="1:26" x14ac:dyDescent="0.35">
      <c r="A16" s="154" t="s">
        <v>359</v>
      </c>
      <c r="B16">
        <v>2</v>
      </c>
      <c r="D16">
        <v>2</v>
      </c>
      <c r="J16" s="209" t="s">
        <v>359</v>
      </c>
      <c r="K16">
        <v>1</v>
      </c>
      <c r="M16">
        <f>GETPIVOTDATA("Ramal",$A$14,"Ramal","B. Roxo")-GETPIVOTDATA("OS",$J$14,"Ramal","B. Roxo","OS","N/A")</f>
        <v>1</v>
      </c>
      <c r="Q16" s="61" t="s">
        <v>95</v>
      </c>
      <c r="R16" s="256">
        <f t="shared" ref="R16:R21" si="1">IFERROR(GETPIVOTDATA("Ramal",$A$14,"Ramal",Q16),"")</f>
        <v>47</v>
      </c>
      <c r="S16" s="256">
        <f t="shared" si="0"/>
        <v>27</v>
      </c>
      <c r="T16" s="256">
        <f>GETPIVOTDATA("OS",$J$14,"Ramal","Japeri","OS","N/A")</f>
        <v>20</v>
      </c>
      <c r="U16" s="256">
        <f>GETPIVOTDATA("Ramal",$A$14,"Ramal","Japeri","Melhoria feita?","Sim")</f>
        <v>10</v>
      </c>
      <c r="W16" s="256">
        <v>-500</v>
      </c>
      <c r="X16" s="256">
        <f>GETPIVOTDATA("[Measures].[Contagem de Ramal]",$A$45,"[Tabela1].[Nivel]","[Tabela1].[Nivel].&amp;[-500]")</f>
        <v>170</v>
      </c>
      <c r="Y16" s="257"/>
      <c r="Z16" s="257"/>
    </row>
    <row r="17" spans="1:26" x14ac:dyDescent="0.35">
      <c r="A17" s="154" t="s">
        <v>94</v>
      </c>
      <c r="B17">
        <v>32</v>
      </c>
      <c r="C17">
        <v>5</v>
      </c>
      <c r="D17">
        <v>37</v>
      </c>
      <c r="J17" s="209" t="s">
        <v>94</v>
      </c>
      <c r="K17">
        <v>19</v>
      </c>
      <c r="M17">
        <f>GETPIVOTDATA("Ramal",$A$14,"Ramal","Deodoro")-GETPIVOTDATA("OS",$J$14,"Ramal","Deodoro","OS","N/A")</f>
        <v>18</v>
      </c>
      <c r="Q17" s="61" t="s">
        <v>151</v>
      </c>
      <c r="R17" s="256" t="str">
        <f>IFERROR(GETPIVOTDATA("Ramal",$A$14,"Ramal",Q17),"0")</f>
        <v>0</v>
      </c>
      <c r="S17" s="256">
        <f t="shared" si="0"/>
        <v>0</v>
      </c>
      <c r="T17" s="256">
        <v>0</v>
      </c>
      <c r="U17" s="256">
        <v>0</v>
      </c>
      <c r="W17" s="259" t="s">
        <v>561</v>
      </c>
      <c r="X17" s="256">
        <f>GETPIVOTDATA("[Measures].[Contagem de Ramal]",$A$45,"[Tabela1].[Nivel]","[Tabela1].[Nivel].&amp;[+500]")</f>
        <v>6</v>
      </c>
      <c r="Y17" s="257"/>
      <c r="Z17" s="257"/>
    </row>
    <row r="18" spans="1:26" x14ac:dyDescent="0.35">
      <c r="A18" s="154" t="s">
        <v>97</v>
      </c>
      <c r="B18">
        <v>9</v>
      </c>
      <c r="C18">
        <v>1</v>
      </c>
      <c r="D18">
        <v>10</v>
      </c>
      <c r="J18" s="209" t="s">
        <v>97</v>
      </c>
      <c r="K18">
        <v>7</v>
      </c>
      <c r="M18">
        <f>GETPIVOTDATA("Ramal",$A$14,"Ramal","Gramacho")-GETPIVOTDATA("OS",$J$14,"Ramal","Gramacho","OS","N/A")</f>
        <v>3</v>
      </c>
      <c r="Q18" s="61" t="s">
        <v>93</v>
      </c>
      <c r="R18" s="256">
        <f t="shared" si="1"/>
        <v>35</v>
      </c>
      <c r="S18" s="256">
        <f t="shared" si="0"/>
        <v>25</v>
      </c>
      <c r="T18" s="256">
        <f>GETPIVOTDATA("OS",$J$14,"Ramal","Santa Cruz","OS","N/A")</f>
        <v>10</v>
      </c>
      <c r="U18" s="256">
        <f>GETPIVOTDATA("Ramal",$A$14,"Ramal","Santa Cruz","Melhoria feita?","Sim")</f>
        <v>11</v>
      </c>
    </row>
    <row r="19" spans="1:26" x14ac:dyDescent="0.35">
      <c r="A19" s="154" t="s">
        <v>95</v>
      </c>
      <c r="B19">
        <v>37</v>
      </c>
      <c r="C19">
        <v>10</v>
      </c>
      <c r="D19">
        <v>47</v>
      </c>
      <c r="J19" s="209" t="s">
        <v>95</v>
      </c>
      <c r="K19">
        <v>20</v>
      </c>
      <c r="M19">
        <f>GETPIVOTDATA("Ramal",$A$14,"Ramal","Japeri")-GETPIVOTDATA("OS",$J$14,"Ramal","Japeri","OS","N/A")</f>
        <v>27</v>
      </c>
      <c r="Q19" s="61" t="s">
        <v>97</v>
      </c>
      <c r="R19" s="256">
        <f t="shared" si="1"/>
        <v>10</v>
      </c>
      <c r="S19" s="256">
        <f t="shared" si="0"/>
        <v>3</v>
      </c>
      <c r="T19" s="256">
        <f>GETPIVOTDATA("OS",$J$14,"Ramal","Gramacho","OS","N/A")</f>
        <v>7</v>
      </c>
      <c r="U19" s="256">
        <f>GETPIVOTDATA("Ramal",$A$14,"Ramal","Gramacho","Melhoria feita?","Sim")</f>
        <v>1</v>
      </c>
    </row>
    <row r="20" spans="1:26" x14ac:dyDescent="0.35">
      <c r="A20" s="154" t="s">
        <v>93</v>
      </c>
      <c r="B20">
        <v>24</v>
      </c>
      <c r="C20">
        <v>11</v>
      </c>
      <c r="D20">
        <v>35</v>
      </c>
      <c r="J20" s="209" t="s">
        <v>93</v>
      </c>
      <c r="K20">
        <v>10</v>
      </c>
      <c r="M20">
        <f>GETPIVOTDATA("Ramal",$A$14,"Ramal","Santa Cruz")-GETPIVOTDATA("OS",$J$14,"Ramal","Santa Cruz","OS","N/A")</f>
        <v>25</v>
      </c>
      <c r="Q20" s="61" t="s">
        <v>96</v>
      </c>
      <c r="R20" s="256">
        <f t="shared" si="1"/>
        <v>45</v>
      </c>
      <c r="S20" s="256">
        <f t="shared" si="0"/>
        <v>27</v>
      </c>
      <c r="T20" s="256">
        <f>GETPIVOTDATA("OS",$J$14,"Ramal","Saracuruna","OS","N/A")</f>
        <v>18</v>
      </c>
      <c r="U20" s="256">
        <f>GETPIVOTDATA("Ramal",$A$14,"Ramal","Saracuruna","Melhoria feita?","Sim")</f>
        <v>13</v>
      </c>
    </row>
    <row r="21" spans="1:26" x14ac:dyDescent="0.35">
      <c r="A21" s="154" t="s">
        <v>96</v>
      </c>
      <c r="B21">
        <v>32</v>
      </c>
      <c r="C21">
        <v>13</v>
      </c>
      <c r="D21">
        <v>45</v>
      </c>
      <c r="J21" s="209" t="s">
        <v>96</v>
      </c>
      <c r="K21">
        <v>18</v>
      </c>
      <c r="M21">
        <f>GETPIVOTDATA("Ramal",$A$14,"Ramal","Saracuruna")-GETPIVOTDATA("OS",$J$14,"Ramal","Saracuruna","OS","N/A")</f>
        <v>27</v>
      </c>
      <c r="Q21" s="61" t="s">
        <v>359</v>
      </c>
      <c r="R21" s="256">
        <f t="shared" si="1"/>
        <v>2</v>
      </c>
      <c r="S21" s="256">
        <f t="shared" si="0"/>
        <v>1</v>
      </c>
      <c r="T21" s="256">
        <f>GETPIVOTDATA("OS",$J$14,"Ramal","B. Roxo","OS","N/A")</f>
        <v>1</v>
      </c>
      <c r="U21" s="256">
        <f>GETPIVOTDATA("Ramal",$A$14,"Ramal","B. Roxo","Melhoria feita?","Sim")</f>
        <v>0</v>
      </c>
    </row>
    <row r="22" spans="1:26" x14ac:dyDescent="0.35">
      <c r="A22" s="154" t="s">
        <v>350</v>
      </c>
      <c r="B22">
        <v>136</v>
      </c>
      <c r="C22">
        <v>40</v>
      </c>
      <c r="D22">
        <v>176</v>
      </c>
      <c r="J22" s="154" t="s">
        <v>350</v>
      </c>
      <c r="K22">
        <v>75</v>
      </c>
      <c r="R22" s="256">
        <f>SUM(R15:R21)</f>
        <v>176</v>
      </c>
      <c r="S22" s="256">
        <f t="shared" ref="S22:U22" si="2">SUM(S15:S21)</f>
        <v>101</v>
      </c>
      <c r="T22" s="256">
        <f>SUM(T15:T21)</f>
        <v>75</v>
      </c>
      <c r="U22" s="256">
        <f t="shared" si="2"/>
        <v>40</v>
      </c>
    </row>
    <row r="25" spans="1:26" x14ac:dyDescent="0.35">
      <c r="A25" s="153" t="s">
        <v>540</v>
      </c>
      <c r="B25" s="153" t="s">
        <v>536</v>
      </c>
    </row>
    <row r="26" spans="1:26" x14ac:dyDescent="0.35">
      <c r="A26" s="153" t="s">
        <v>349</v>
      </c>
      <c r="B26" s="210">
        <v>1</v>
      </c>
      <c r="C26" s="210">
        <v>2</v>
      </c>
      <c r="D26" s="210">
        <v>3</v>
      </c>
      <c r="E26" s="210">
        <v>4</v>
      </c>
      <c r="F26" s="210">
        <v>5</v>
      </c>
      <c r="G26" s="210">
        <v>6</v>
      </c>
      <c r="H26" s="210">
        <v>7</v>
      </c>
      <c r="I26" s="210" t="s">
        <v>350</v>
      </c>
      <c r="K26" s="258" t="s">
        <v>578</v>
      </c>
      <c r="L26" s="258" t="s">
        <v>577</v>
      </c>
      <c r="M26" s="258" t="s">
        <v>576</v>
      </c>
      <c r="N26" s="258" t="s">
        <v>575</v>
      </c>
      <c r="O26" s="258" t="s">
        <v>574</v>
      </c>
      <c r="P26" s="258" t="s">
        <v>573</v>
      </c>
      <c r="Q26" s="258" t="s">
        <v>572</v>
      </c>
      <c r="R26" s="258" t="s">
        <v>571</v>
      </c>
    </row>
    <row r="27" spans="1:26" x14ac:dyDescent="0.35">
      <c r="A27" s="154" t="s">
        <v>359</v>
      </c>
      <c r="E27">
        <v>1</v>
      </c>
      <c r="F27">
        <v>1</v>
      </c>
      <c r="I27">
        <v>2</v>
      </c>
      <c r="K27" s="256" t="s">
        <v>94</v>
      </c>
      <c r="L27" s="256">
        <f>IFERROR(GETPIVOTDATA("Ramal",$A$25,"Dia de semana ",DATE(1900,1,1),"Ramal",$K$27),"")</f>
        <v>1</v>
      </c>
      <c r="M27" s="256">
        <f>IFERROR(GETPIVOTDATA("Ramal",$A$25,"Dia de semana ",DATE(1900,1,7),"Ramal",$K$27),"")</f>
        <v>6</v>
      </c>
      <c r="N27" s="256">
        <f>IFERROR(GETPIVOTDATA("Ramal",$A$25,"Dia de semana ",DATE(1900,1,6),"Ramal",$K$27),"")</f>
        <v>2</v>
      </c>
      <c r="O27" s="256">
        <f>IFERROR(GETPIVOTDATA("Ramal",$A$25,"Dia de semana ",DATE(1900,1,5),"Ramal",$K$27),"")</f>
        <v>4</v>
      </c>
      <c r="P27" s="256">
        <f>IFERROR(GETPIVOTDATA("Ramal",$A$25,"Dia de semana ",DATE(1900,1,4),"Ramal",$K$27),"")</f>
        <v>7</v>
      </c>
      <c r="Q27" s="256">
        <f>IFERROR(GETPIVOTDATA("Ramal",$A$25,"Dia de semana ",DATE(1900,1,3),"Ramal",$K$27),"")</f>
        <v>9</v>
      </c>
      <c r="R27" s="256">
        <f>IFERROR(GETPIVOTDATA("Ramal",$A$25,"Dia de semana ",DATE(1900,1,2),"Ramal",$K$27),"")</f>
        <v>8</v>
      </c>
    </row>
    <row r="28" spans="1:26" x14ac:dyDescent="0.35">
      <c r="A28" s="154" t="s">
        <v>94</v>
      </c>
      <c r="B28">
        <v>1</v>
      </c>
      <c r="C28">
        <v>8</v>
      </c>
      <c r="D28">
        <v>9</v>
      </c>
      <c r="E28">
        <v>7</v>
      </c>
      <c r="F28">
        <v>4</v>
      </c>
      <c r="G28">
        <v>2</v>
      </c>
      <c r="H28">
        <v>6</v>
      </c>
      <c r="I28">
        <v>37</v>
      </c>
      <c r="K28" s="256" t="s">
        <v>95</v>
      </c>
      <c r="L28" s="256">
        <f>IFERROR(GETPIVOTDATA("Ramal",$A$25,"Dia de semana ",DATE(1900,1,1),"Ramal",$K$28),"")</f>
        <v>1</v>
      </c>
      <c r="M28" s="256">
        <f>IFERROR(GETPIVOTDATA("Ramal",$A$25,"Dia de semana ",DATE(1900,1,7),"Ramal",$K$28),"")</f>
        <v>2</v>
      </c>
      <c r="N28" s="256">
        <f>IFERROR(GETPIVOTDATA("Ramal",$A$25,"Dia de semana ",DATE(1900,1,6),"Ramal",$K$28),"")</f>
        <v>5</v>
      </c>
      <c r="O28" s="256">
        <f>IFERROR(GETPIVOTDATA("Ramal",$A$25,"Dia de semana ",DATE(1900,1,5),"Ramal",$K$28),"")</f>
        <v>8</v>
      </c>
      <c r="P28" s="256">
        <f>IFERROR(GETPIVOTDATA("Ramal",$A$25,"Dia de semana ",DATE(1900,1,4),"Ramal",$K$28),"")</f>
        <v>10</v>
      </c>
      <c r="Q28" s="256">
        <f>IFERROR(GETPIVOTDATA("Ramal",$A$25,"Dia de semana ",DATE(1900,1,3),"Ramal",$K$28),"")</f>
        <v>11</v>
      </c>
      <c r="R28" s="256">
        <f>IFERROR(GETPIVOTDATA("Ramal",$A$25,"Dia de semana ",DATE(1900,1,2),"Ramal",$K$28),"")</f>
        <v>10</v>
      </c>
    </row>
    <row r="29" spans="1:26" x14ac:dyDescent="0.35">
      <c r="A29" s="154" t="s">
        <v>97</v>
      </c>
      <c r="B29">
        <v>1</v>
      </c>
      <c r="D29">
        <v>1</v>
      </c>
      <c r="E29">
        <v>3</v>
      </c>
      <c r="F29">
        <v>3</v>
      </c>
      <c r="G29">
        <v>1</v>
      </c>
      <c r="H29">
        <v>1</v>
      </c>
      <c r="I29">
        <v>10</v>
      </c>
      <c r="K29" s="256" t="s">
        <v>151</v>
      </c>
      <c r="L29" s="256" t="str">
        <f>IFERROR(GETPIVOTDATA("Ramal",$A$25,"Dia de semana ",DATE(1900,1,1),"Ramal",$K$29),"")</f>
        <v/>
      </c>
      <c r="M29" s="256" t="str">
        <f>IFERROR(GETPIVOTDATA("Ramal",$A$25,"Dia de semana ",DATE(1900,1,7),"Ramal",$K$29),"")</f>
        <v/>
      </c>
      <c r="N29" s="256" t="str">
        <f>IFERROR(GETPIVOTDATA("Ramal",$A$25,"Dia de semana ",DATE(1900,1,6),"Ramal",$K$29),"")</f>
        <v/>
      </c>
      <c r="O29" s="256" t="str">
        <f>IFERROR(GETPIVOTDATA("Ramal",$A$25,"Dia de semana ",DATE(1900,1,5),"Ramal",$K$29),"")</f>
        <v/>
      </c>
      <c r="P29" s="256" t="str">
        <f>IFERROR(GETPIVOTDATA("Ramal",$A$25,"Dia de semana ",DATE(1900,1,4),"Ramal",$K$29),"")</f>
        <v/>
      </c>
      <c r="Q29" s="256" t="str">
        <f>IFERROR(GETPIVOTDATA("Ramal",$A$25,"Dia de semana ",DATE(1900,1,3),"Ramal",$K$29),"")</f>
        <v/>
      </c>
      <c r="R29" s="256" t="str">
        <f>IFERROR(GETPIVOTDATA("Ramal",$A$25,"Dia de semana ",DATE(1900,1,2),"Ramal",$K$29),"")</f>
        <v/>
      </c>
    </row>
    <row r="30" spans="1:26" x14ac:dyDescent="0.35">
      <c r="A30" s="154" t="s">
        <v>95</v>
      </c>
      <c r="B30">
        <v>1</v>
      </c>
      <c r="C30">
        <v>10</v>
      </c>
      <c r="D30">
        <v>11</v>
      </c>
      <c r="E30">
        <v>10</v>
      </c>
      <c r="F30">
        <v>8</v>
      </c>
      <c r="G30">
        <v>5</v>
      </c>
      <c r="H30">
        <v>2</v>
      </c>
      <c r="I30">
        <v>47</v>
      </c>
      <c r="K30" s="256" t="s">
        <v>93</v>
      </c>
      <c r="L30" s="256">
        <f>IFERROR(GETPIVOTDATA("Ramal",$A$25,"Dia de semana ",DATE(1900,1,1),"Ramal",$K$30),"")</f>
        <v>0</v>
      </c>
      <c r="M30" s="256">
        <f>IFERROR(GETPIVOTDATA("Ramal",$A$25,"Dia de semana ",DATE(1900,1,7),"Ramal",$K$30),"")</f>
        <v>8</v>
      </c>
      <c r="N30" s="256">
        <f>IFERROR(GETPIVOTDATA("Ramal",$A$25,"Dia de semana ",DATE(1900,1,6),"Ramal",$K$30),"")</f>
        <v>6</v>
      </c>
      <c r="O30" s="256">
        <f>IFERROR(GETPIVOTDATA("Ramal",$A$25,"Dia de semana ",DATE(1900,1,5),"Ramal",$K$30),"")</f>
        <v>5</v>
      </c>
      <c r="P30" s="256">
        <f>IFERROR(GETPIVOTDATA("Ramal",$A$25,"Dia de semana ",DATE(1900,1,4),"Ramal",$K$30),"")</f>
        <v>2</v>
      </c>
      <c r="Q30" s="256">
        <f>IFERROR(GETPIVOTDATA("Ramal",$A$25,"Dia de semana ",DATE(1900,1,3),"Ramal",$K$30),"")</f>
        <v>6</v>
      </c>
      <c r="R30" s="256">
        <f>IFERROR(GETPIVOTDATA("Ramal",$A$25,"Dia de semana ",DATE(1900,1,2),"Ramal",$K$30),"")</f>
        <v>8</v>
      </c>
    </row>
    <row r="31" spans="1:26" x14ac:dyDescent="0.35">
      <c r="A31" s="154" t="s">
        <v>93</v>
      </c>
      <c r="C31">
        <v>8</v>
      </c>
      <c r="D31">
        <v>6</v>
      </c>
      <c r="E31">
        <v>2</v>
      </c>
      <c r="F31">
        <v>5</v>
      </c>
      <c r="G31">
        <v>6</v>
      </c>
      <c r="H31">
        <v>8</v>
      </c>
      <c r="I31">
        <v>35</v>
      </c>
      <c r="K31" s="256" t="s">
        <v>97</v>
      </c>
      <c r="L31" s="256">
        <f>IFERROR(GETPIVOTDATA("Ramal",$A$25,"Dia de semana ",DATE(1900,1,1),"Ramal",$K$31),"")</f>
        <v>1</v>
      </c>
      <c r="M31" s="256">
        <f>IFERROR(GETPIVOTDATA("Ramal",$A$25,"Dia de semana ",DATE(1900,1,7),"Ramal",$K$31),"")</f>
        <v>1</v>
      </c>
      <c r="N31" s="256">
        <f>IFERROR(GETPIVOTDATA("Ramal",$A$25,"Dia de semana ",DATE(1900,1,6),"Ramal",$K$31),"")</f>
        <v>1</v>
      </c>
      <c r="O31" s="256">
        <f>IFERROR(GETPIVOTDATA("Ramal",$A$25,"Dia de semana ",DATE(1900,1,5),"Ramal",$K$31),"")</f>
        <v>3</v>
      </c>
      <c r="P31" s="256">
        <f>IFERROR(GETPIVOTDATA("Ramal",$A$25,"Dia de semana ",DATE(1900,1,4),"Ramal",$K$31),"")</f>
        <v>3</v>
      </c>
      <c r="Q31" s="256">
        <f>IFERROR(GETPIVOTDATA("Ramal",$A$25,"Dia de semana ",DATE(1900,1,3),"Ramal",$K$31),"")</f>
        <v>1</v>
      </c>
      <c r="R31" s="256">
        <f>IFERROR(GETPIVOTDATA("Ramal",$A$25,"Dia de semana ",DATE(1900,1,2),"Ramal",$K$31),"")</f>
        <v>0</v>
      </c>
    </row>
    <row r="32" spans="1:26" x14ac:dyDescent="0.35">
      <c r="A32" s="154" t="s">
        <v>96</v>
      </c>
      <c r="B32">
        <v>1</v>
      </c>
      <c r="C32">
        <v>4</v>
      </c>
      <c r="D32">
        <v>2</v>
      </c>
      <c r="E32">
        <v>2</v>
      </c>
      <c r="F32">
        <v>16</v>
      </c>
      <c r="G32">
        <v>3</v>
      </c>
      <c r="H32">
        <v>17</v>
      </c>
      <c r="I32">
        <v>45</v>
      </c>
      <c r="K32" s="256" t="s">
        <v>96</v>
      </c>
      <c r="L32" s="256">
        <f>IFERROR(GETPIVOTDATA("Ramal",$A$25,"Dia de semana ",DATE(1900,1,1),"Ramal",$K$32),"")</f>
        <v>1</v>
      </c>
      <c r="M32" s="256">
        <f>IFERROR(GETPIVOTDATA("Ramal",$A$25,"Dia de semana ",DATE(1900,1,7),"Ramal",$K$32),"")</f>
        <v>17</v>
      </c>
      <c r="N32" s="256">
        <f>IFERROR(GETPIVOTDATA("Ramal",$A$25,"Dia de semana ",DATE(1900,1,6),"Ramal",$K$32),"")</f>
        <v>3</v>
      </c>
      <c r="O32" s="256">
        <f>IFERROR(GETPIVOTDATA("Ramal",$A$25,"Dia de semana ",DATE(1900,1,5),"Ramal",$K$32),"")</f>
        <v>16</v>
      </c>
      <c r="P32" s="256">
        <f>IFERROR(GETPIVOTDATA("Ramal",$A$25,"Dia de semana ",DATE(1900,1,4),"Ramal",$K$32),"")</f>
        <v>2</v>
      </c>
      <c r="Q32" s="256">
        <f>IFERROR(GETPIVOTDATA("Ramal",$A$25,"Dia de semana ",DATE(1900,1,3),"Ramal",$K$32),"")</f>
        <v>2</v>
      </c>
      <c r="R32" s="256">
        <f>IFERROR(GETPIVOTDATA("Ramal",$A$25,"Dia de semana ",DATE(1900,1,2),"Ramal",$K$32),"")</f>
        <v>4</v>
      </c>
    </row>
    <row r="33" spans="1:20" x14ac:dyDescent="0.35">
      <c r="A33" s="154" t="s">
        <v>350</v>
      </c>
      <c r="B33">
        <v>4</v>
      </c>
      <c r="C33">
        <v>30</v>
      </c>
      <c r="D33">
        <v>29</v>
      </c>
      <c r="E33">
        <v>25</v>
      </c>
      <c r="F33">
        <v>37</v>
      </c>
      <c r="G33">
        <v>17</v>
      </c>
      <c r="H33">
        <v>34</v>
      </c>
      <c r="I33">
        <v>176</v>
      </c>
      <c r="K33" s="256" t="s">
        <v>359</v>
      </c>
      <c r="L33" s="256">
        <f>IFERROR(GETPIVOTDATA("Ramal",$A$25,"Dia de semana ",DATE(1900,1,1),"Ramal",$K$33),"")</f>
        <v>0</v>
      </c>
      <c r="M33" s="256">
        <f>IFERROR(GETPIVOTDATA("Ramal",$A$25,"Dia de semana ",DATE(1900,1,7),"Ramal",$K$33),"")</f>
        <v>0</v>
      </c>
      <c r="N33" s="256">
        <f>IFERROR(GETPIVOTDATA("Ramal",$A$25,"Dia de semana ",DATE(1900,1,6),"Ramal",$K$33),"")</f>
        <v>0</v>
      </c>
      <c r="O33" s="256">
        <f>IFERROR(GETPIVOTDATA("Ramal",$A$25,"Dia de semana ",DATE(1900,1,5),"Ramal",$K$33),"")</f>
        <v>1</v>
      </c>
      <c r="P33" s="256">
        <f>IFERROR(GETPIVOTDATA("Ramal",$A$25,"Dia de semana ",DATE(1900,1,4),"Ramal",$K$33),"")</f>
        <v>1</v>
      </c>
      <c r="Q33" s="256">
        <f>IFERROR(GETPIVOTDATA("Ramal",$A$25,"Dia de semana ",DATE(1900,1,3),"Ramal",$K$33),"")</f>
        <v>0</v>
      </c>
      <c r="R33" s="256">
        <f>IFERROR(GETPIVOTDATA("Ramal",$A$25,"Dia de semana ",DATE(1900,1,2),"Ramal",$K$33),"")</f>
        <v>0</v>
      </c>
    </row>
    <row r="35" spans="1:20" x14ac:dyDescent="0.35">
      <c r="B35" s="153" t="s">
        <v>543</v>
      </c>
    </row>
    <row r="36" spans="1:20" x14ac:dyDescent="0.35">
      <c r="B36" t="s">
        <v>7</v>
      </c>
      <c r="C36" t="s">
        <v>12</v>
      </c>
      <c r="D36" t="s">
        <v>350</v>
      </c>
    </row>
    <row r="37" spans="1:20" x14ac:dyDescent="0.35">
      <c r="A37" t="s">
        <v>541</v>
      </c>
      <c r="B37">
        <v>136</v>
      </c>
      <c r="C37">
        <v>40</v>
      </c>
      <c r="D37">
        <v>176</v>
      </c>
    </row>
    <row r="39" spans="1:20" x14ac:dyDescent="0.35">
      <c r="R39" s="153" t="s">
        <v>580</v>
      </c>
      <c r="S39" s="153" t="s">
        <v>536</v>
      </c>
    </row>
    <row r="40" spans="1:20" x14ac:dyDescent="0.35">
      <c r="R40" s="153" t="s">
        <v>349</v>
      </c>
      <c r="S40" t="s">
        <v>12</v>
      </c>
      <c r="T40" t="s">
        <v>350</v>
      </c>
    </row>
    <row r="41" spans="1:20" x14ac:dyDescent="0.35">
      <c r="R41" s="154" t="s">
        <v>561</v>
      </c>
      <c r="S41">
        <v>6</v>
      </c>
      <c r="T41">
        <v>6</v>
      </c>
    </row>
    <row r="42" spans="1:20" x14ac:dyDescent="0.35">
      <c r="R42" s="154" t="s">
        <v>350</v>
      </c>
      <c r="S42">
        <v>6</v>
      </c>
      <c r="T42">
        <v>6</v>
      </c>
    </row>
    <row r="45" spans="1:20" x14ac:dyDescent="0.35">
      <c r="A45" s="153" t="s">
        <v>494</v>
      </c>
      <c r="B45" s="153" t="s">
        <v>536</v>
      </c>
    </row>
    <row r="46" spans="1:20" x14ac:dyDescent="0.35">
      <c r="A46" s="153" t="s">
        <v>349</v>
      </c>
      <c r="B46" s="59" t="s">
        <v>561</v>
      </c>
      <c r="C46" s="59" t="s">
        <v>562</v>
      </c>
      <c r="D46" t="s">
        <v>350</v>
      </c>
    </row>
    <row r="47" spans="1:20" x14ac:dyDescent="0.35">
      <c r="A47" s="154" t="s">
        <v>359</v>
      </c>
      <c r="B47" s="59"/>
      <c r="C47" s="59">
        <v>2</v>
      </c>
      <c r="D47" s="59">
        <v>2</v>
      </c>
    </row>
    <row r="48" spans="1:20" x14ac:dyDescent="0.35">
      <c r="A48" s="154" t="s">
        <v>94</v>
      </c>
      <c r="B48" s="59">
        <v>1</v>
      </c>
      <c r="C48" s="59">
        <v>36</v>
      </c>
      <c r="D48" s="59">
        <v>37</v>
      </c>
    </row>
    <row r="49" spans="1:4" x14ac:dyDescent="0.35">
      <c r="A49" s="154" t="s">
        <v>97</v>
      </c>
      <c r="B49" s="59"/>
      <c r="C49" s="59">
        <v>10</v>
      </c>
      <c r="D49" s="59">
        <v>10</v>
      </c>
    </row>
    <row r="50" spans="1:4" x14ac:dyDescent="0.35">
      <c r="A50" s="154" t="s">
        <v>95</v>
      </c>
      <c r="B50" s="59">
        <v>4</v>
      </c>
      <c r="C50" s="59">
        <v>43</v>
      </c>
      <c r="D50" s="59">
        <v>47</v>
      </c>
    </row>
    <row r="51" spans="1:4" x14ac:dyDescent="0.35">
      <c r="A51" s="154" t="s">
        <v>93</v>
      </c>
      <c r="B51" s="59"/>
      <c r="C51" s="59">
        <v>35</v>
      </c>
      <c r="D51" s="59">
        <v>35</v>
      </c>
    </row>
    <row r="52" spans="1:4" x14ac:dyDescent="0.35">
      <c r="A52" s="154" t="s">
        <v>96</v>
      </c>
      <c r="B52" s="59">
        <v>1</v>
      </c>
      <c r="C52" s="59">
        <v>44</v>
      </c>
      <c r="D52" s="59">
        <v>45</v>
      </c>
    </row>
    <row r="53" spans="1:4" x14ac:dyDescent="0.35">
      <c r="A53" s="154" t="s">
        <v>350</v>
      </c>
      <c r="B53" s="59">
        <v>6</v>
      </c>
      <c r="C53" s="59">
        <v>170</v>
      </c>
      <c r="D53" s="59">
        <v>176</v>
      </c>
    </row>
    <row r="60" spans="1:4" x14ac:dyDescent="0.35">
      <c r="A60" s="153" t="s">
        <v>545</v>
      </c>
      <c r="B60" t="s">
        <v>544</v>
      </c>
    </row>
    <row r="61" spans="1:4" x14ac:dyDescent="0.35">
      <c r="A61" s="154" t="s">
        <v>416</v>
      </c>
      <c r="B61">
        <v>29</v>
      </c>
    </row>
    <row r="62" spans="1:4" x14ac:dyDescent="0.35">
      <c r="A62" s="154" t="s">
        <v>13</v>
      </c>
      <c r="B62">
        <v>11</v>
      </c>
    </row>
    <row r="63" spans="1:4" x14ac:dyDescent="0.35">
      <c r="A63" s="154" t="s">
        <v>350</v>
      </c>
      <c r="B63">
        <v>40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W1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5367-6834-409B-A1E7-B29883D23CA1}">
  <dimension ref="A1:D6"/>
  <sheetViews>
    <sheetView showGridLines="0" workbookViewId="0">
      <selection activeCell="D3" sqref="D3"/>
    </sheetView>
  </sheetViews>
  <sheetFormatPr defaultRowHeight="14.5" x14ac:dyDescent="0.35"/>
  <cols>
    <col min="1" max="3" width="15.453125" customWidth="1"/>
    <col min="4" max="4" width="15.453125" style="51" customWidth="1"/>
  </cols>
  <sheetData>
    <row r="1" spans="1:4" x14ac:dyDescent="0.35">
      <c r="A1" s="49" t="s">
        <v>92</v>
      </c>
      <c r="B1" s="49" t="s">
        <v>110</v>
      </c>
      <c r="C1" s="49" t="s">
        <v>111</v>
      </c>
      <c r="D1" s="52" t="s">
        <v>112</v>
      </c>
    </row>
    <row r="2" spans="1:4" x14ac:dyDescent="0.35">
      <c r="A2" s="50" t="s">
        <v>93</v>
      </c>
      <c r="B2" s="50">
        <f>COUNTIF('Alertas PCDS'!I:I,"Santa Cruz")</f>
        <v>0</v>
      </c>
      <c r="C2" s="50">
        <f>B2</f>
        <v>0</v>
      </c>
      <c r="D2" s="53" t="e">
        <f>C2/C6</f>
        <v>#DIV/0!</v>
      </c>
    </row>
    <row r="3" spans="1:4" x14ac:dyDescent="0.35">
      <c r="A3" s="50" t="s">
        <v>94</v>
      </c>
      <c r="B3" s="50">
        <f>COUNTIF('Alertas PCDS'!I:I,"Deodoro")</f>
        <v>0</v>
      </c>
      <c r="C3" s="50">
        <f>B3+C2</f>
        <v>0</v>
      </c>
      <c r="D3" s="53" t="e">
        <f>(C3/$C$6)</f>
        <v>#DIV/0!</v>
      </c>
    </row>
    <row r="4" spans="1:4" x14ac:dyDescent="0.35">
      <c r="A4" s="50" t="s">
        <v>95</v>
      </c>
      <c r="B4" s="50">
        <f>COUNTIF('Alertas PCDS'!I:I,"Japeri")</f>
        <v>0</v>
      </c>
      <c r="C4" s="50">
        <f t="shared" ref="C4:C6" si="0">B4+C3</f>
        <v>0</v>
      </c>
      <c r="D4" s="53" t="e">
        <f t="shared" ref="D4:D6" si="1">(C4/$C$6)</f>
        <v>#DIV/0!</v>
      </c>
    </row>
    <row r="5" spans="1:4" x14ac:dyDescent="0.35">
      <c r="A5" s="50" t="s">
        <v>96</v>
      </c>
      <c r="B5" s="50">
        <f>COUNTIF('Alertas PCDS'!I:I,"Saracuruna")</f>
        <v>0</v>
      </c>
      <c r="C5" s="50">
        <f t="shared" si="0"/>
        <v>0</v>
      </c>
      <c r="D5" s="53" t="e">
        <f t="shared" si="1"/>
        <v>#DIV/0!</v>
      </c>
    </row>
    <row r="6" spans="1:4" x14ac:dyDescent="0.35">
      <c r="A6" s="50" t="s">
        <v>97</v>
      </c>
      <c r="B6" s="50">
        <f>COUNTIF('Alertas PCDS'!I:I,"Gramacho")</f>
        <v>0</v>
      </c>
      <c r="C6" s="50">
        <f t="shared" si="0"/>
        <v>0</v>
      </c>
      <c r="D6" s="53" t="e">
        <f t="shared" si="1"/>
        <v>#DIV/0!</v>
      </c>
    </row>
  </sheetData>
  <autoFilter ref="A1:B1" xr:uid="{8FC55367-6834-409B-A1E7-B29883D23CA1}">
    <sortState xmlns:xlrd2="http://schemas.microsoft.com/office/spreadsheetml/2017/richdata2" ref="A2:B6">
      <sortCondition descending="1" ref="B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4072-1352-4F14-A2C9-CD751DC85B2C}">
  <dimension ref="A1"/>
  <sheetViews>
    <sheetView showGridLines="0" tabSelected="1" workbookViewId="0"/>
  </sheetViews>
  <sheetFormatPr defaultRowHeight="14.5" x14ac:dyDescent="0.35"/>
  <sheetData>
    <row r="1" spans="1:1" x14ac:dyDescent="0.35">
      <c r="A1" t="s">
        <v>879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I Z D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D I Z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G Q 1 U o i k e 4 D g A A A B E A A A A T A B w A R m 9 y b X V s Y X M v U 2 V j d G l v b j E u b S C i G A A o o B Q A A A A A A A A A A A A A A A A A A A A A A A A A A A A r T k 0 u y c z P U w i G 0 I b W A F B L A Q I t A B Q A A g A I A A y G Q 1 X A f 4 J M p A A A A P Y A A A A S A A A A A A A A A A A A A A A A A A A A A A B D b 2 5 m a W c v U G F j a 2 F n Z S 5 4 b W x Q S w E C L Q A U A A I A C A A M h k N V D 8 r p q 6 Q A A A D p A A A A E w A A A A A A A A A A A A A A A A D w A A A A W 0 N v b n R l b n R f V H l w Z X N d L n h t b F B L A Q I t A B Q A A g A I A A y G Q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a O b S G 1 V d w Q r t 0 M S F r T 8 M y A A A A A A I A A A A A A A N m A A D A A A A A E A A A A I w 7 D 0 m 6 a X a O A 1 p z E n V 0 g + 4 A A A A A B I A A A K A A A A A Q A A A A X r B 0 6 m L 3 n U 6 V m 7 7 S z F G 8 a V A A A A D E f j I 3 k 0 h W v b o i B q 8 9 u P e N f J i B 5 w U L a 7 k U N 0 W 2 4 W R j 4 L 9 P s I i p r q P 5 b a C U e 4 l d 6 z O d g A R 8 5 X G Y k J 9 N t i O T I J + J P 4 s C C D H 9 y X 6 N q l V O D u L 5 K h Q A A A A 1 K n 9 Z N 0 5 P m V w H V h d d p f D 6 F O g 7 d Q = = < / D a t a M a s h u p > 
</file>

<file path=customXml/itemProps1.xml><?xml version="1.0" encoding="utf-8"?>
<ds:datastoreItem xmlns:ds="http://schemas.openxmlformats.org/officeDocument/2006/customXml" ds:itemID="{C4E525B3-338A-4C96-A068-63A9E308EA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3</vt:i4>
      </vt:variant>
    </vt:vector>
  </HeadingPairs>
  <TitlesOfParts>
    <vt:vector size="19" baseType="lpstr">
      <vt:lpstr>Alertas PCDS</vt:lpstr>
      <vt:lpstr>Controle</vt:lpstr>
      <vt:lpstr>Painel_Operacional</vt:lpstr>
      <vt:lpstr>Painel</vt:lpstr>
      <vt:lpstr>Planilha2</vt:lpstr>
      <vt:lpstr>Hora</vt:lpstr>
      <vt:lpstr>DIN - PO</vt:lpstr>
      <vt:lpstr>Alarme-Ramal</vt:lpstr>
      <vt:lpstr>Mapa</vt:lpstr>
      <vt:lpstr>Planilha1</vt:lpstr>
      <vt:lpstr>Painel (2)</vt:lpstr>
      <vt:lpstr>Meta Semanal</vt:lpstr>
      <vt:lpstr>Alarmes Mensais</vt:lpstr>
      <vt:lpstr>Qtd.Críticos</vt:lpstr>
      <vt:lpstr>Melhorias Realizadas</vt:lpstr>
      <vt:lpstr>Processo</vt:lpstr>
      <vt:lpstr>Painel!Area_de_impressao</vt:lpstr>
      <vt:lpstr>'Painel (2)'!Area_de_impressao</vt:lpstr>
      <vt:lpstr>Painel_Operacional!Area_de_impressao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Riccio Junior</dc:creator>
  <cp:lastModifiedBy>Joao Felipe Rodrigues dos Reis</cp:lastModifiedBy>
  <cp:lastPrinted>2022-10-19T19:12:50Z</cp:lastPrinted>
  <dcterms:created xsi:type="dcterms:W3CDTF">2021-05-21T14:09:59Z</dcterms:created>
  <dcterms:modified xsi:type="dcterms:W3CDTF">2022-12-23T21:01:41Z</dcterms:modified>
</cp:coreProperties>
</file>