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F6D8FBCE-7C0E-4617-95A6-E8F0BD013DC4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  <sheet name="Tabelas de Apoio" sheetId="5" r:id="rId5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">'Base de Dados'!$O$3:$O$5000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Dados'!$A$3:$A$5022),1)</definedName>
    <definedName name="seg_ANO">#N/A</definedName>
    <definedName name="seg_Extensão">#N/A</definedName>
    <definedName name="seg_IDIOMA">#N/A</definedName>
    <definedName name="seg_PAÍS_DA_OBRA_ORIGINAL">#N/A</definedName>
    <definedName name="td_Ano">'Tabelas Dinâmicas'!$P$4:$Q$5000</definedName>
    <definedName name="td_Assunto">'Tabelas Dinâmicas'!$A$4:$B$5000</definedName>
    <definedName name="td_Autor">'Tabelas Dinâmicas'!$D$4:$E$5000</definedName>
    <definedName name="td_Coleção">'Tabelas Dinâmicas'!$S$4:$T$5000</definedName>
    <definedName name="td_Editora">'Tabelas Dinâmicas'!$G$4:$H$5000</definedName>
    <definedName name="td_Extensão">'Tabelas Dinâmicas'!$V$4:$W$5000</definedName>
    <definedName name="td_Idioma">'Tabelas Dinâmicas'!$J$4:$K$5000</definedName>
    <definedName name="td_País">'Tabelas Dinâmicas'!$M$4:$N$5000</definedName>
  </definedNames>
  <calcPr calcId="181029"/>
  <pivotCaches>
    <pivotCache cacheId="0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7" i="2" l="1"/>
  <c r="B16" i="2"/>
  <c r="B15" i="2"/>
  <c r="B14" i="2"/>
  <c r="B13" i="2"/>
  <c r="B12" i="2"/>
  <c r="B11" i="2"/>
  <c r="B10" i="2"/>
  <c r="B9" i="2"/>
  <c r="B8" i="2"/>
  <c r="B7" i="2"/>
  <c r="B6" i="2"/>
  <c r="T17" i="4"/>
  <c r="T16" i="4"/>
  <c r="T15" i="4"/>
  <c r="T14" i="4"/>
  <c r="T13" i="4"/>
  <c r="T12" i="4"/>
  <c r="T11" i="4"/>
  <c r="T10" i="4"/>
  <c r="T9" i="4"/>
  <c r="T8" i="4"/>
  <c r="T7" i="4"/>
  <c r="T6" i="4"/>
  <c r="E4" i="5"/>
  <c r="D4" i="5" s="1"/>
  <c r="I19" i="4" l="1"/>
  <c r="D19" i="4" s="1"/>
  <c r="I4" i="4"/>
  <c r="F4" i="4"/>
  <c r="B12" i="5"/>
  <c r="B11" i="5"/>
  <c r="B10" i="5"/>
  <c r="A10" i="5" s="1"/>
  <c r="E6" i="5"/>
  <c r="E5" i="5"/>
  <c r="D5" i="5" s="1"/>
  <c r="B6" i="5"/>
  <c r="B4" i="5"/>
  <c r="A4" i="5" s="1"/>
  <c r="B5" i="5"/>
  <c r="I14" i="4"/>
  <c r="D14" i="4" s="1"/>
  <c r="I15" i="4"/>
  <c r="D15" i="4" s="1"/>
  <c r="A12" i="5" l="1"/>
  <c r="A11" i="5"/>
  <c r="A5" i="5"/>
  <c r="A6" i="5"/>
  <c r="D6" i="5"/>
  <c r="I13" i="4"/>
  <c r="D13" i="4" s="1"/>
  <c r="C4" i="4"/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N3" i="1"/>
  <c r="B18" i="2" s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T18" i="4" s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T19" i="4" s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B19" i="2" s="1"/>
  <c r="Q19" i="4" l="1"/>
  <c r="L19" i="4" s="1"/>
  <c r="Q18" i="4"/>
  <c r="L18" i="4" s="1"/>
  <c r="I18" i="4"/>
  <c r="D18" i="4" s="1"/>
  <c r="Q17" i="4"/>
  <c r="L17" i="4" s="1"/>
  <c r="I17" i="4"/>
  <c r="D17" i="4" s="1"/>
  <c r="Q16" i="4"/>
  <c r="L16" i="4" s="1"/>
  <c r="I16" i="4"/>
  <c r="D16" i="4" s="1"/>
  <c r="Q15" i="4"/>
  <c r="L15" i="4" s="1"/>
  <c r="Q14" i="4"/>
  <c r="L14" i="4" s="1"/>
  <c r="Q13" i="4"/>
  <c r="L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<sst xmlns="http://schemas.openxmlformats.org/spreadsheetml/2006/main" count="2028" uniqueCount="756">
  <si>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</si>
  <si>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</si>
  <si>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</si>
  <si>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</si>
  <si>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</si>
  <si>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</si>
  <si>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</si>
  <si>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</si>
  <si>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</si>
  <si>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</si>
  <si>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</si>
  <si>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</si>
  <si>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</si>
  <si>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</si>
  <si>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</si>
  <si>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</si>
  <si>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</si>
  <si>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</si>
  <si>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</si>
  <si>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</si>
  <si>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</si>
  <si>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</si>
  <si>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</si>
  <si>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</si>
  <si>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</si>
  <si>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</si>
  <si>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</si>
  <si>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</si>
  <si>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</si>
  <si>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</si>
  <si>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</si>
  <si>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</si>
  <si>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</si>
  <si>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</si>
  <si>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</si>
  <si>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</si>
  <si>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</si>
  <si>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</si>
  <si>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</si>
  <si>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</si>
  <si>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</si>
  <si>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</si>
  <si>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</si>
  <si>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</si>
  <si>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</si>
  <si>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</si>
  <si>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</si>
  <si>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</si>
  <si>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</si>
  <si>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</si>
  <si>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</si>
  <si>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</si>
  <si>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</si>
  <si>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</si>
  <si>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</si>
  <si>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</si>
  <si>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</si>
  <si>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</si>
  <si>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</si>
  <si>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</si>
  <si>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</si>
  <si>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</si>
  <si>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</si>
  <si>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</si>
  <si>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</si>
  <si>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</si>
  <si>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</si>
  <si>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</si>
  <si>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</si>
  <si>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</si>
  <si>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</si>
  <si>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</si>
  <si>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</si>
  <si>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</si>
  <si>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</si>
  <si>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</si>
  <si>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</si>
  <si>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</si>
  <si>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</si>
  <si>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</si>
  <si>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</si>
  <si>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</si>
  <si>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</si>
  <si>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</si>
  <si>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</si>
  <si>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</si>
  <si>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</si>
  <si>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</si>
  <si>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</si>
  <si>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</si>
  <si>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</si>
  <si>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</si>
  <si>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</si>
  <si>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</si>
  <si>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</si>
  <si>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</si>
  <si>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</si>
  <si>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</si>
  <si>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</si>
  <si>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</si>
  <si>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</si>
  <si>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</si>
  <si>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</si>
  <si>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</si>
  <si>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</si>
  <si>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</si>
  <si>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</si>
  <si>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</si>
  <si>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</si>
  <si>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</si>
  <si>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</si>
  <si>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</si>
  <si>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</si>
  <si>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</si>
  <si>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</si>
  <si>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</si>
  <si>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</si>
  <si>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</si>
  <si>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</si>
  <si>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</si>
  <si>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</si>
  <si>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</si>
  <si>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</si>
  <si>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</si>
  <si>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</si>
  <si>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</si>
  <si>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</si>
  <si>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</si>
  <si>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</si>
  <si>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</si>
  <si>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</si>
  <si>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</si>
  <si>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</si>
  <si>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</si>
  <si>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</si>
  <si>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</si>
  <si>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</si>
  <si>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</si>
  <si>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</si>
  <si>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</si>
  <si>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</si>
  <si>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</si>
  <si>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</si>
  <si>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</si>
  <si>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</si>
  <si>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</si>
  <si>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</si>
  <si>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</si>
  <si>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</si>
  <si>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</si>
  <si>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</si>
  <si>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</si>
  <si>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</si>
  <si>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</si>
  <si>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</si>
  <si>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</si>
  <si>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</si>
  <si>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</si>
  <si>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</si>
  <si>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</si>
  <si>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</si>
  <si>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</si>
  <si>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</si>
  <si>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</si>
  <si>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</si>
  <si>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</si>
  <si>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</si>
  <si>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</si>
  <si>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</si>
  <si>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</si>
  <si>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</si>
  <si>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</si>
  <si>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</si>
  <si>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</si>
  <si>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</si>
  <si>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</si>
  <si>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</si>
  <si>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</si>
  <si>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</si>
  <si>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</si>
  <si>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</si>
  <si>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</si>
  <si>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</si>
  <si>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</si>
  <si>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</si>
  <si>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</si>
  <si>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</si>
  <si>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</si>
  <si>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</si>
  <si>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</si>
  <si>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</si>
  <si>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</si>
  <si>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</si>
  <si>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</si>
  <si>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</si>
  <si>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</si>
  <si>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</si>
  <si>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</si>
  <si>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</si>
  <si>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</si>
  <si>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</si>
  <si>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</si>
  <si>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</si>
  <si>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</si>
  <si>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</si>
  <si>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</si>
  <si>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</si>
  <si>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</si>
  <si>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</si>
  <si>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</si>
  <si>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</si>
  <si>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</si>
  <si>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</si>
  <si>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</si>
  <si>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</si>
  <si>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</si>
  <si>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</si>
  <si>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</si>
  <si>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</si>
  <si>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</si>
  <si>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</si>
  <si>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</si>
  <si>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</si>
  <si>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</si>
  <si>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</si>
  <si>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</si>
  <si>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</si>
  <si>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</si>
  <si>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</si>
  <si>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</si>
  <si>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</si>
  <si>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</si>
  <si>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</si>
  <si>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</si>
  <si>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</si>
  <si>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</si>
  <si>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</si>
  <si>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</si>
  <si>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</si>
  <si>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</si>
  <si>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</si>
  <si>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</si>
  <si>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</si>
  <si>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</si>
  <si>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</si>
  <si>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</si>
  <si>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</si>
  <si>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</si>
  <si>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</si>
  <si>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</si>
  <si>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</si>
  <si>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</si>
  <si>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</si>
  <si>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</si>
  <si>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</si>
  <si>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</si>
  <si>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</si>
  <si>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</si>
  <si>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</si>
  <si>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</si>
  <si>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</si>
  <si>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</si>
  <si>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</si>
  <si>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</si>
  <si>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</si>
  <si>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</si>
  <si>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</si>
  <si>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</si>
  <si>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</si>
  <si>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</si>
  <si>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</si>
  <si>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</si>
  <si>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</si>
  <si>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</si>
  <si>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</si>
  <si>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</si>
  <si>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</si>
  <si>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</si>
  <si>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</si>
  <si>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</si>
  <si>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</si>
  <si>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</si>
  <si>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</si>
  <si>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</si>
  <si>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</si>
  <si>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</si>
  <si>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</si>
  <si>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</si>
  <si>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</si>
  <si>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</si>
  <si>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</si>
  <si>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</si>
  <si>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</si>
  <si>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</si>
  <si>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</si>
  <si>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</si>
  <si>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</si>
  <si>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</si>
  <si>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</si>
  <si>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</si>
  <si>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</si>
  <si>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</si>
  <si>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</si>
  <si>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</si>
  <si>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</si>
  <si>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</si>
  <si>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</si>
  <si>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</si>
  <si>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</si>
  <si>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</si>
  <si>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</si>
  <si>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</si>
  <si>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</si>
  <si>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</si>
  <si>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</si>
  <si>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</si>
  <si>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</si>
  <si>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</si>
  <si>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</si>
  <si>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</si>
  <si>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</si>
  <si>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</si>
  <si>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</si>
  <si>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</si>
  <si>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</si>
  <si>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</si>
  <si>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</si>
  <si>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</si>
  <si>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</si>
  <si>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</si>
  <si>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</si>
  <si>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</si>
  <si>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</si>
  <si>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</si>
  <si>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</si>
  <si>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</si>
  <si>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</si>
  <si>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</si>
  <si>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</si>
  <si>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</si>
  <si>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</si>
  <si>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</si>
  <si>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</si>
  <si>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</si>
  <si>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</si>
  <si>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</si>
  <si>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</si>
  <si>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</si>
  <si>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</si>
  <si>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</si>
  <si>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</si>
  <si>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</si>
  <si>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</si>
  <si>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</si>
  <si>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</si>
  <si>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</si>
  <si>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</si>
  <si>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</si>
  <si>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</si>
  <si>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</si>
  <si>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</si>
  <si>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</si>
  <si>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</si>
  <si>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</si>
  <si>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</si>
  <si>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</si>
  <si>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</si>
  <si>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</si>
  <si>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</si>
  <si>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</si>
  <si>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</si>
  <si>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</si>
  <si>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</si>
  <si>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</si>
  <si>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</si>
  <si>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</si>
  <si>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</si>
  <si>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</si>
  <si>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</si>
  <si>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</si>
  <si>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</si>
  <si>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</si>
  <si>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</si>
  <si>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</si>
  <si>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</si>
  <si>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</si>
  <si>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</si>
  <si>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</si>
  <si>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</si>
  <si>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</si>
  <si>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</si>
  <si>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</si>
  <si>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</si>
  <si>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</si>
  <si>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</si>
  <si>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</si>
  <si>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</si>
  <si>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</si>
  <si>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</si>
  <si>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</si>
  <si>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</si>
  <si>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</si>
  <si>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</si>
  <si>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</si>
  <si>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</si>
  <si>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</si>
  <si>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</si>
  <si>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</si>
  <si>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</si>
  <si>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</si>
  <si>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</si>
  <si>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</si>
  <si>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</si>
  <si>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</si>
  <si>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</si>
  <si>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</si>
  <si>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</si>
  <si>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</si>
  <si>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</si>
  <si>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</si>
  <si>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</si>
  <si>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</si>
  <si>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</si>
  <si>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</si>
  <si>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</si>
  <si>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</si>
  <si>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</si>
  <si>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</si>
  <si>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</si>
  <si>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</si>
  <si>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</si>
  <si>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</si>
  <si>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</si>
  <si>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</si>
  <si>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</si>
  <si>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</si>
  <si>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</si>
  <si>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</si>
  <si>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</si>
  <si>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</si>
  <si>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</si>
  <si>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</si>
  <si>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</si>
  <si>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</si>
  <si>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</si>
  <si>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</si>
  <si>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</si>
  <si>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</si>
  <si>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</si>
  <si>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</si>
  <si>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</si>
  <si>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</si>
  <si>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</si>
  <si>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</si>
  <si>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</si>
  <si>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</si>
  <si>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</si>
  <si>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</si>
  <si>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</si>
  <si>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</si>
  <si>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</si>
  <si>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</si>
  <si>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</si>
  <si>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</si>
  <si>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</si>
  <si>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</si>
  <si>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</si>
  <si>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</si>
  <si>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</si>
  <si>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</si>
  <si>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</si>
  <si>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</si>
  <si>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</si>
  <si>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</si>
  <si>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</si>
  <si>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</si>
  <si>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</si>
  <si>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</si>
  <si>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</si>
  <si>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</si>
  <si>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</si>
  <si>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</si>
  <si>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</si>
  <si>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</si>
  <si>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</si>
  <si>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</si>
  <si>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</si>
  <si>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</si>
  <si>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</si>
  <si>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</si>
  <si>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</si>
  <si>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</si>
  <si>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</si>
  <si>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</si>
  <si>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</si>
  <si>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</si>
  <si>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</si>
  <si>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</si>
  <si>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</si>
  <si>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</si>
  <si>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</si>
  <si>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</si>
  <si>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</si>
  <si>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</si>
  <si>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</si>
  <si>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</si>
  <si>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</si>
  <si>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</si>
  <si>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</si>
  <si>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</si>
  <si>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</si>
  <si>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</si>
  <si>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</si>
  <si>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</si>
  <si>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</si>
  <si>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</si>
  <si>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</si>
  <si>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</si>
  <si>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</si>
  <si>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</si>
  <si>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</si>
  <si>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</si>
  <si>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</si>
  <si>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</si>
  <si>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</si>
  <si>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</si>
  <si>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</si>
  <si>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</si>
  <si>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</si>
  <si>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</si>
  <si>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</si>
  <si>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</si>
  <si>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</si>
  <si>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</si>
  <si>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</si>
  <si>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</si>
  <si>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</si>
  <si>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</si>
  <si>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</si>
  <si>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</si>
  <si>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</si>
  <si>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</si>
  <si>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</si>
  <si>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</si>
  <si>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</si>
  <si>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</si>
  <si>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</si>
  <si>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</si>
  <si>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</si>
  <si>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</si>
  <si>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</si>
  <si>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</si>
  <si>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</si>
  <si>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</si>
  <si>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</si>
  <si>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</si>
  <si>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</si>
  <si>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</si>
  <si>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</si>
  <si>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</si>
  <si>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</si>
  <si>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</si>
  <si>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</si>
  <si>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</si>
  <si>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</si>
  <si>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</si>
  <si>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</si>
  <si>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</si>
  <si>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</si>
  <si>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</si>
  <si>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</si>
  <si>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</si>
  <si>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</si>
  <si>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</si>
  <si>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</si>
  <si>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</si>
  <si>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</si>
  <si>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</si>
  <si>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</si>
  <si>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</si>
  <si>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</si>
  <si>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</si>
  <si>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</si>
  <si>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</si>
  <si>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</si>
  <si>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</si>
  <si>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</si>
  <si>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</si>
  <si>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</si>
  <si>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</si>
  <si>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</si>
  <si>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</si>
  <si>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</si>
  <si>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</si>
  <si>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</si>
  <si>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</si>
  <si>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</si>
  <si>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</si>
  <si>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</si>
  <si>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</si>
  <si>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</si>
  <si>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</si>
  <si>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</si>
  <si>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</si>
  <si>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</si>
  <si>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</si>
  <si>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</si>
  <si>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</si>
  <si>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</si>
  <si>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</si>
  <si>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</si>
  <si>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</si>
  <si>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</si>
  <si>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</si>
  <si>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</si>
  <si>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</si>
  <si>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</si>
  <si>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</si>
  <si>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</si>
  <si>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</si>
  <si>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</si>
  <si>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</si>
  <si>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</si>
  <si>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</si>
  <si>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</si>
  <si>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</si>
  <si>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</si>
  <si>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</si>
  <si>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</si>
  <si>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</si>
  <si>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</si>
  <si>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</si>
  <si>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</si>
  <si>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</si>
  <si>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</si>
  <si>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</si>
  <si>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</si>
  <si>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</si>
  <si>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</si>
  <si>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</si>
  <si>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</si>
  <si>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</si>
  <si>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</si>
  <si>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</si>
  <si>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</si>
  <si>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</si>
  <si>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</si>
  <si>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</si>
  <si>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</si>
  <si>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</si>
  <si>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</si>
  <si>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</si>
  <si>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</si>
  <si>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</si>
  <si>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</si>
  <si>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</si>
  <si>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</si>
  <si>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</si>
  <si>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</si>
  <si>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</si>
  <si>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</si>
  <si>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</si>
  <si>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</si>
  <si>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</si>
  <si>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</si>
  <si>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</si>
  <si>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</si>
  <si>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</si>
  <si>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</si>
  <si>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</si>
  <si>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</si>
  <si>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</si>
  <si>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</si>
  <si>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</si>
  <si>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</si>
  <si>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</si>
  <si>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</si>
  <si>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</si>
  <si>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</si>
  <si>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</si>
  <si>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</si>
  <si>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</si>
  <si>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</si>
  <si>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</si>
  <si>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</si>
  <si>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</si>
  <si>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</si>
  <si>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</si>
  <si>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</si>
  <si>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</si>
  <si>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</si>
  <si>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</si>
  <si>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</si>
  <si>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</si>
  <si>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</si>
  <si>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</si>
  <si>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</si>
  <si>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</si>
  <si>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</si>
  <si>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</si>
  <si>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</si>
  <si>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</si>
  <si>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</si>
  <si>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</si>
  <si>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</si>
  <si>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</si>
  <si>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</si>
  <si>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</si>
  <si>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</si>
  <si>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</si>
  <si>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</si>
  <si>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</si>
  <si>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</si>
  <si>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</si>
  <si>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</si>
  <si>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</si>
  <si>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</si>
  <si>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</si>
  <si>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</si>
  <si>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</si>
  <si>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</si>
  <si>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</si>
  <si>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</si>
  <si>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</si>
  <si>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</si>
  <si>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</si>
  <si>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</si>
  <si>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</si>
  <si>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</si>
  <si>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</si>
  <si>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</si>
  <si>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</si>
  <si>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</si>
  <si>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</si>
  <si>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</si>
  <si>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</si>
  <si>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</si>
  <si>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</si>
  <si>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</si>
  <si>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</si>
  <si>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</si>
  <si>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</si>
  <si>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</si>
  <si>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</si>
  <si>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</si>
  <si>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</si>
  <si>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</si>
  <si>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</si>
  <si>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</si>
  <si>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</si>
  <si>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</si>
  <si>
    <t>VALOR</t>
  </si>
  <si>
    <t>Tabela Auxiliar - Autor Top 3</t>
  </si>
  <si>
    <t>Tabela Auxiliar - Assunto Top 3</t>
  </si>
  <si>
    <t>Tabela Auxiliar - Editora Top 3</t>
  </si>
  <si>
    <t>Editora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</si>
</sst>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8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</fills>
  <borders count="47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16" fillId="10" borderId="0" xfId="0" applyFont="1" applyFill="1" applyBorder="1" applyAlignment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4" xfId="0" applyFont="1" applyFill="1" applyBorder="1" applyAlignment="1">
      <alignment horizontal="center"/>
    </xf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2" fillId="0" borderId="0" xfId="0" applyFont="1" applyFill="1" applyBorder="1" applyAlignment="1"/>
    <xf numFmtId="0" fontId="33" fillId="0" borderId="0" xfId="0" applyFont="1" applyFill="1" applyBorder="1" applyAlignment="1"/>
    <xf numFmtId="0" fontId="20" fillId="11" borderId="0" xfId="1" applyFont="1" applyFill="1" applyBorder="1" applyAlignment="1"/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0" fillId="11" borderId="0" xfId="0" applyFill="1" applyBorder="1" applyAlignment="1"/>
    <xf numFmtId="0" fontId="30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0" borderId="0" xfId="0" applyAlignment="1">
      <alignment horizontal="left"/>
    </xf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13" fillId="0" borderId="25" xfId="0" applyFont="1" applyBorder="1"/>
    <xf numFmtId="0" fontId="0" fillId="0" borderId="29" xfId="0" applyBorder="1"/>
    <xf numFmtId="0" fontId="0" fillId="0" borderId="40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4" fillId="0" borderId="0" xfId="0" applyFont="1" applyFill="1" applyBorder="1" applyAlignment="1"/>
    <xf numFmtId="0" fontId="24" fillId="10" borderId="1" xfId="0" applyFont="1" applyFill="1" applyBorder="1" applyAlignment="1"/>
    <xf numFmtId="0" fontId="24" fillId="10" borderId="27" xfId="0" applyFont="1" applyFill="1" applyBorder="1" applyAlignment="1"/>
    <xf numFmtId="0" fontId="24" fillId="11" borderId="1" xfId="0" applyFont="1" applyFill="1" applyBorder="1" applyAlignment="1"/>
    <xf numFmtId="0" fontId="24" fillId="10" borderId="0" xfId="0" applyFont="1" applyFill="1" applyBorder="1" applyAlignment="1"/>
    <xf numFmtId="0" fontId="0" fillId="0" borderId="25" xfId="0" applyFill="1" applyBorder="1"/>
    <xf numFmtId="0" fontId="13" fillId="13" borderId="39" xfId="0" applyFont="1" applyFill="1" applyBorder="1" applyAlignment="1">
      <alignment horizontal="center"/>
    </xf>
    <xf numFmtId="0" fontId="15" fillId="11" borderId="0" xfId="1" applyFont="1" applyFill="1" applyBorder="1" applyAlignment="1">
      <alignment vertical="center"/>
    </xf>
    <xf numFmtId="0" fontId="22" fillId="2" borderId="10" xfId="0" applyFont="1" applyFill="1" applyBorder="1" applyAlignment="1">
      <alignment horizontal="center"/>
    </xf>
    <xf numFmtId="0" fontId="28" fillId="12" borderId="42" xfId="0" applyFont="1" applyFill="1" applyBorder="1" applyAlignment="1">
      <alignment horizontal="center" vertical="center"/>
    </xf>
    <xf numFmtId="0" fontId="28" fillId="12" borderId="28" xfId="0" applyFont="1" applyFill="1" applyBorder="1" applyAlignment="1">
      <alignment horizontal="center" vertical="center"/>
    </xf>
    <xf numFmtId="0" fontId="14" fillId="2" borderId="13" xfId="0" applyFont="1" applyFill="1" applyBorder="1"/>
    <xf numFmtId="0" fontId="14" fillId="13" borderId="5" xfId="0" applyFont="1" applyFill="1" applyBorder="1"/>
    <xf numFmtId="0" fontId="14" fillId="2" borderId="9" xfId="0" applyFont="1" applyFill="1" applyBorder="1"/>
    <xf numFmtId="0" fontId="14" fillId="2" borderId="1" xfId="0" applyFont="1" applyFill="1" applyBorder="1"/>
    <xf numFmtId="0" fontId="0" fillId="0" borderId="43" xfId="0" applyFill="1" applyBorder="1"/>
    <xf numFmtId="0" fontId="17" fillId="2" borderId="0" xfId="0" applyFont="1" applyFill="1" applyBorder="1" applyAlignment="1"/>
    <xf numFmtId="0" fontId="17" fillId="2" borderId="7" xfId="0" applyFont="1" applyFill="1" applyBorder="1" applyAlignment="1"/>
    <xf numFmtId="0" fontId="22" fillId="2" borderId="44" xfId="0" applyFont="1" applyFill="1" applyBorder="1" applyAlignment="1">
      <alignment horizontal="center"/>
    </xf>
    <xf numFmtId="0" fontId="16" fillId="10" borderId="22" xfId="0" applyFont="1" applyFill="1" applyBorder="1" applyAlignment="1"/>
    <xf numFmtId="0" fontId="16" fillId="10" borderId="40" xfId="0" applyFont="1" applyFill="1" applyBorder="1" applyAlignment="1"/>
    <xf numFmtId="0" fontId="16" fillId="10" borderId="23" xfId="0" applyFont="1" applyFill="1" applyBorder="1" applyAlignment="1"/>
    <xf numFmtId="0" fontId="16" fillId="10" borderId="24" xfId="0" applyFont="1" applyFill="1" applyBorder="1" applyAlignment="1"/>
    <xf numFmtId="0" fontId="18" fillId="10" borderId="24" xfId="0" applyFont="1" applyFill="1" applyBorder="1" applyAlignment="1">
      <alignment vertical="center"/>
    </xf>
    <xf numFmtId="0" fontId="18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" fillId="11" borderId="36" xfId="0" applyFont="1" applyFill="1" applyBorder="1" applyAlignment="1">
      <alignment horizontal="center"/>
    </xf>
    <xf numFmtId="0" fontId="2" fillId="11" borderId="37" xfId="0" applyFont="1" applyFill="1" applyBorder="1" applyAlignment="1">
      <alignment horizontal="center"/>
    </xf>
    <xf numFmtId="0" fontId="2" fillId="11" borderId="36" xfId="0" applyFont="1" applyFill="1" applyBorder="1"/>
    <xf numFmtId="0" fontId="0" fillId="11" borderId="3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3" xfId="0" applyBorder="1"/>
    <xf numFmtId="0" fontId="16" fillId="0" borderId="43" xfId="0" applyFont="1" applyFill="1" applyBorder="1"/>
    <xf numFmtId="0" fontId="17" fillId="0" borderId="43" xfId="0" applyFont="1" applyFill="1" applyBorder="1" applyAlignment="1"/>
    <xf numFmtId="0" fontId="26" fillId="0" borderId="43" xfId="0" applyFont="1" applyFill="1" applyBorder="1" applyAlignment="1">
      <alignment vertical="center"/>
    </xf>
    <xf numFmtId="0" fontId="18" fillId="0" borderId="43" xfId="0" applyFont="1" applyFill="1" applyBorder="1" applyAlignment="1">
      <alignment horizontal="left" vertical="center"/>
    </xf>
    <xf numFmtId="0" fontId="24" fillId="0" borderId="43" xfId="0" applyFont="1" applyFill="1" applyBorder="1" applyAlignment="1"/>
    <xf numFmtId="0" fontId="0" fillId="0" borderId="24" xfId="0" applyBorder="1" applyAlignment="1"/>
    <xf numFmtId="0" fontId="0" fillId="0" borderId="25" xfId="0" applyBorder="1"/>
    <xf numFmtId="0" fontId="0" fillId="0" borderId="46" xfId="0" applyBorder="1" applyAlignment="1"/>
    <xf numFmtId="0" fontId="0" fillId="0" borderId="28" xfId="0" applyBorder="1" applyAlignment="1"/>
    <xf numFmtId="0" fontId="26" fillId="4" borderId="26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26" fillId="4" borderId="30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16" fillId="0" borderId="21" xfId="0" applyFont="1" applyFill="1" applyBorder="1" applyAlignment="1">
      <alignment horizont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8" fillId="8" borderId="32" xfId="0" applyFont="1" applyFill="1" applyBorder="1" applyAlignment="1">
      <alignment horizontal="center" vertical="center"/>
    </xf>
    <xf numFmtId="0" fontId="28" fillId="8" borderId="33" xfId="0" applyFont="1" applyFill="1" applyBorder="1" applyAlignment="1">
      <alignment horizontal="center" vertical="center"/>
    </xf>
    <xf numFmtId="0" fontId="28" fillId="8" borderId="31" xfId="0" applyFont="1" applyFill="1" applyBorder="1" applyAlignment="1">
      <alignment horizontal="center" vertical="center"/>
    </xf>
    <xf numFmtId="0" fontId="7" fillId="5" borderId="38" xfId="0" applyFont="1" applyFill="1" applyBorder="1" applyAlignment="1">
      <alignment horizontal="center"/>
    </xf>
    <xf numFmtId="0" fontId="7" fillId="5" borderId="37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7" fillId="4" borderId="14" xfId="0" applyFont="1" applyFill="1" applyBorder="1" applyAlignment="1">
      <alignment horizontal="right" vertical="center"/>
    </xf>
    <xf numFmtId="0" fontId="27" fillId="4" borderId="13" xfId="0" applyFont="1" applyFill="1" applyBorder="1" applyAlignment="1">
      <alignment horizontal="right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7" fillId="4" borderId="35" xfId="0" applyFont="1" applyFill="1" applyBorder="1" applyAlignment="1">
      <alignment horizontal="right" vertical="center"/>
    </xf>
    <xf numFmtId="0" fontId="27" fillId="4" borderId="28" xfId="0" applyFont="1" applyFill="1" applyBorder="1" applyAlignment="1">
      <alignment horizontal="right" vertical="center"/>
    </xf>
    <xf numFmtId="0" fontId="29" fillId="8" borderId="35" xfId="0" applyFont="1" applyFill="1" applyBorder="1" applyAlignment="1">
      <alignment horizontal="center"/>
    </xf>
    <xf numFmtId="0" fontId="29" fillId="8" borderId="28" xfId="0" applyFont="1" applyFill="1" applyBorder="1" applyAlignment="1">
      <alignment horizontal="center"/>
    </xf>
    <xf numFmtId="0" fontId="29" fillId="8" borderId="34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right" vertical="center"/>
    </xf>
    <xf numFmtId="0" fontId="27" fillId="4" borderId="5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39" xfId="0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41" xfId="0" applyFont="1" applyFill="1" applyBorder="1" applyAlignment="1">
      <alignment horizontal="center"/>
    </xf>
    <xf numFmtId="0" fontId="34" fillId="15" borderId="37" xfId="0" applyFont="1" applyFill="1" applyBorder="1" applyAlignment="1">
      <alignment horizontal="center"/>
    </xf>
    <xf numFmtId="0" fontId="34" fillId="15" borderId="21" xfId="0" applyFont="1" applyFill="1" applyBorder="1" applyAlignment="1">
      <alignment horizontal="center"/>
    </xf>
    <xf numFmtId="0" fontId="35" fillId="13" borderId="38" xfId="0" applyFont="1" applyFill="1" applyBorder="1" applyAlignment="1">
      <alignment horizontal="center"/>
    </xf>
    <xf numFmtId="0" fontId="37" fillId="4" borderId="1" xfId="0" applyFont="1" applyFill="1" applyBorder="1" applyAlignment="1">
      <alignment horizontal="center" vertical="center"/>
    </xf>
    <xf numFmtId="0" fontId="37" fillId="4" borderId="0" xfId="0" applyFont="1" applyFill="1" applyBorder="1" applyAlignment="1">
      <alignment horizontal="center" vertical="center"/>
    </xf>
    <xf numFmtId="0" fontId="37" fillId="4" borderId="25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27" xfId="0" applyFont="1" applyFill="1" applyBorder="1" applyAlignment="1">
      <alignment horizontal="center"/>
    </xf>
    <xf numFmtId="0" fontId="36" fillId="13" borderId="36" xfId="1" applyFont="1" applyFill="1" applyBorder="1" applyAlignment="1">
      <alignment horizontal="center"/>
    </xf>
    <xf numFmtId="0" fontId="36" fillId="13" borderId="38" xfId="1" applyFont="1" applyFill="1" applyBorder="1" applyAlignment="1">
      <alignment horizont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25" fillId="17" borderId="0" xfId="2" applyFont="1" applyFill="1" applyAlignment="1">
      <alignment horizontal="center"/>
    </xf>
    <xf numFmtId="0" fontId="31" fillId="15" borderId="24" xfId="2" applyFont="1" applyFill="1" applyBorder="1" applyAlignment="1">
      <alignment horizontal="center" vertical="center"/>
    </xf>
    <xf numFmtId="0" fontId="31" fillId="15" borderId="0" xfId="2" applyFont="1" applyFill="1" applyBorder="1" applyAlignment="1">
      <alignment horizontal="center" vertical="center"/>
    </xf>
    <xf numFmtId="0" fontId="25" fillId="14" borderId="2" xfId="2" applyFont="1" applyFill="1" applyBorder="1" applyAlignment="1">
      <alignment horizontal="center" vertical="center"/>
    </xf>
    <xf numFmtId="0" fontId="25" fillId="14" borderId="3" xfId="2" applyFont="1" applyFill="1" applyBorder="1" applyAlignment="1">
      <alignment horizontal="center" vertical="center"/>
    </xf>
    <xf numFmtId="0" fontId="14" fillId="16" borderId="36" xfId="0" applyFont="1" applyFill="1" applyBorder="1" applyAlignment="1">
      <alignment horizontal="center"/>
    </xf>
    <xf numFmtId="0" fontId="14" fillId="16" borderId="37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horizontal="center" vertical="center"/>
    </xf>
    <xf numFmtId="0" fontId="12" fillId="9" borderId="45" xfId="0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41"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Medium9">
    <tableStyle name="SlicerStyleLight1 2" pivot="0" table="0" count="10" xr9:uid="{C3A02AF4-1A97-443F-BDC9-065622958B60}">
      <tableStyleElement type="wholeTable" dxfId="40"/>
      <tableStyleElement type="headerRow" dxfId="39"/>
    </tableStyle>
  </tableStyles>
  <colors>
    <mruColors>
      <color rgb="FFF3F6FB"/>
      <color rgb="FFDEEBF7"/>
      <color rgb="FFDAE3F3"/>
      <color rgb="FFBDD7EE"/>
      <color rgb="FF000000"/>
      <color rgb="FF4472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microsoft.com/office/2011/relationships/chartColorStyle" Target="colors1.xml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microsoft.com/office/2011/relationships/chartStyle" Target="style1.xml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27282596298431067"/>
          <c:y val="2.4197107987496257E-3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dkUp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855059784193646E-2"/>
          <c:y val="0.10083864185411837"/>
          <c:w val="0.92620539976362615"/>
          <c:h val="0.59651399012789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Up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1E-4C58-AE0C-65DE7CAD5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1"/>
        <c:axPos val="l"/>
        <c:majorGridlines>
          <c:spPr>
            <a:ln w="9525" cap="flat" cmpd="sng" algn="ctr">
              <a:solidFill>
                <a:schemeClr val="accent1">
                  <a:alpha val="18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69362480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chemeClr val="accent5">
                    <a:lumMod val="50000"/>
                  </a:schemeClr>
                </a:solidFill>
              </a:rPr>
              <a:t>OBRAS POR PAÍS</a:t>
            </a:r>
          </a:p>
        </c:rich>
      </c:tx>
      <c:layout>
        <c:manualLayout>
          <c:xMode val="edge"/>
          <c:yMode val="edge"/>
          <c:x val="0.36583926600857786"/>
          <c:y val="8.869436644441900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numFmt formatCode="[&gt;2]0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5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6"/>
        <c:spPr>
          <a:blipFill>
            <a:blip xmlns:r="http://schemas.openxmlformats.org/officeDocument/2006/relationships" r:embed="rId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7"/>
        <c:spPr>
          <a:blipFill>
            <a:blip xmlns:r="http://schemas.openxmlformats.org/officeDocument/2006/relationships" r:embed="rId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8"/>
        <c:spPr>
          <a:blipFill>
            <a:blip xmlns:r="http://schemas.openxmlformats.org/officeDocument/2006/relationships" r:embed="rId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29"/>
        <c:spPr>
          <a:blipFill>
            <a:blip xmlns:r="http://schemas.openxmlformats.org/officeDocument/2006/relationships" r:embed="rId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0"/>
        <c:spPr>
          <a:blipFill>
            <a:blip xmlns:r="http://schemas.openxmlformats.org/officeDocument/2006/relationships" r:embed="rId1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1"/>
        <c:spPr>
          <a:blipFill>
            <a:blip xmlns:r="http://schemas.openxmlformats.org/officeDocument/2006/relationships" r:embed="rId1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2"/>
        <c:spPr>
          <a:blipFill>
            <a:blip xmlns:r="http://schemas.openxmlformats.org/officeDocument/2006/relationships" r:embed="rId12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blipFill>
            <a:blip xmlns:r="http://schemas.openxmlformats.org/officeDocument/2006/relationships" r:embed="rId13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5"/>
        <c:spPr>
          <a:blipFill>
            <a:blip xmlns:r="http://schemas.openxmlformats.org/officeDocument/2006/relationships" r:embed="rId14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6"/>
        <c:spPr>
          <a:blipFill>
            <a:blip xmlns:r="http://schemas.openxmlformats.org/officeDocument/2006/relationships" r:embed="rId15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7"/>
        <c:spPr>
          <a:blipFill>
            <a:blip xmlns:r="http://schemas.openxmlformats.org/officeDocument/2006/relationships" r:embed="rId16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8"/>
        <c:spPr>
          <a:blipFill>
            <a:blip xmlns:r="http://schemas.openxmlformats.org/officeDocument/2006/relationships" r:embed="rId17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39"/>
        <c:spPr>
          <a:blipFill>
            <a:blip xmlns:r="http://schemas.openxmlformats.org/officeDocument/2006/relationships" r:embed="rId18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0"/>
        <c:spPr>
          <a:blipFill>
            <a:blip xmlns:r="http://schemas.openxmlformats.org/officeDocument/2006/relationships" r:embed="rId19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1"/>
        <c:spPr>
          <a:blipFill>
            <a:blip xmlns:r="http://schemas.openxmlformats.org/officeDocument/2006/relationships" r:embed="rId20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  <c:pivotFmt>
        <c:idx val="42"/>
        <c:spPr>
          <a:blipFill>
            <a:blip xmlns:r="http://schemas.openxmlformats.org/officeDocument/2006/relationships" r:embed="rId21"/>
            <a:stretch>
              <a:fillRect/>
            </a:stretch>
          </a:blipFill>
          <a:ln>
            <a:solidFill>
              <a:schemeClr val="tx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405293431857044"/>
          <c:y val="9.7523663114179052E-2"/>
          <c:w val="0.7385895030600288"/>
          <c:h val="0.90540575774167598"/>
        </c:manualLayout>
      </c:layout>
      <c:doughnut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CF1-4062-9426-9661819D4847}"/>
              </c:ext>
            </c:extLst>
          </c:dPt>
          <c:dPt>
            <c:idx val="1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734-498A-96C7-9B2967A8B65E}"/>
              </c:ext>
            </c:extLst>
          </c:dPt>
          <c:dPt>
            <c:idx val="2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734-498A-96C7-9B2967A8B65E}"/>
              </c:ext>
            </c:extLst>
          </c:dPt>
          <c:dPt>
            <c:idx val="3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734-498A-96C7-9B2967A8B65E}"/>
              </c:ext>
            </c:extLst>
          </c:dPt>
          <c:dPt>
            <c:idx val="4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734-498A-96C7-9B2967A8B65E}"/>
              </c:ext>
            </c:extLst>
          </c:dPt>
          <c:dPt>
            <c:idx val="5"/>
            <c:bubble3D val="0"/>
            <c:spPr>
              <a:blipFill>
                <a:blip xmlns:r="http://schemas.openxmlformats.org/officeDocument/2006/relationships" r:embed="rId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9734-498A-96C7-9B2967A8B65E}"/>
              </c:ext>
            </c:extLst>
          </c:dPt>
          <c:dPt>
            <c:idx val="6"/>
            <c:bubble3D val="0"/>
            <c:spPr>
              <a:blipFill>
                <a:blip xmlns:r="http://schemas.openxmlformats.org/officeDocument/2006/relationships" r:embed="rId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9734-498A-96C7-9B2967A8B65E}"/>
              </c:ext>
            </c:extLst>
          </c:dPt>
          <c:dPt>
            <c:idx val="7"/>
            <c:bubble3D val="0"/>
            <c:spPr>
              <a:blipFill>
                <a:blip xmlns:r="http://schemas.openxmlformats.org/officeDocument/2006/relationships" r:embed="rId1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9734-498A-96C7-9B2967A8B65E}"/>
              </c:ext>
            </c:extLst>
          </c:dPt>
          <c:dPt>
            <c:idx val="8"/>
            <c:bubble3D val="0"/>
            <c:spPr>
              <a:blipFill>
                <a:blip xmlns:r="http://schemas.openxmlformats.org/officeDocument/2006/relationships" r:embed="rId15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734-498A-96C7-9B2967A8B65E}"/>
              </c:ext>
            </c:extLst>
          </c:dPt>
          <c:dPt>
            <c:idx val="9"/>
            <c:bubble3D val="0"/>
            <c:spPr>
              <a:blipFill>
                <a:blip xmlns:r="http://schemas.openxmlformats.org/officeDocument/2006/relationships" r:embed="rId12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734-498A-96C7-9B2967A8B65E}"/>
              </c:ext>
            </c:extLst>
          </c:dPt>
          <c:dPt>
            <c:idx val="10"/>
            <c:bubble3D val="0"/>
            <c:spPr>
              <a:blipFill>
                <a:blip xmlns:r="http://schemas.openxmlformats.org/officeDocument/2006/relationships" r:embed="rId13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734-498A-96C7-9B2967A8B65E}"/>
              </c:ext>
            </c:extLst>
          </c:dPt>
          <c:dPt>
            <c:idx val="11"/>
            <c:bubble3D val="0"/>
            <c:spPr>
              <a:blipFill>
                <a:blip xmlns:r="http://schemas.openxmlformats.org/officeDocument/2006/relationships" r:embed="rId1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734-498A-96C7-9B2967A8B65E}"/>
              </c:ext>
            </c:extLst>
          </c:dPt>
          <c:dPt>
            <c:idx val="12"/>
            <c:bubble3D val="0"/>
            <c:spPr>
              <a:blipFill>
                <a:blip xmlns:r="http://schemas.openxmlformats.org/officeDocument/2006/relationships" r:embed="rId14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9734-498A-96C7-9B2967A8B65E}"/>
              </c:ext>
            </c:extLst>
          </c:dPt>
          <c:dPt>
            <c:idx val="13"/>
            <c:bubble3D val="0"/>
            <c:spPr>
              <a:blipFill>
                <a:blip xmlns:r="http://schemas.openxmlformats.org/officeDocument/2006/relationships" r:embed="rId17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9734-498A-96C7-9B2967A8B65E}"/>
              </c:ext>
            </c:extLst>
          </c:dPt>
          <c:dPt>
            <c:idx val="14"/>
            <c:bubble3D val="0"/>
            <c:spPr>
              <a:blipFill>
                <a:blip xmlns:r="http://schemas.openxmlformats.org/officeDocument/2006/relationships" r:embed="rId16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9734-498A-96C7-9B2967A8B65E}"/>
              </c:ext>
            </c:extLst>
          </c:dPt>
          <c:dPt>
            <c:idx val="15"/>
            <c:bubble3D val="0"/>
            <c:spPr>
              <a:blipFill>
                <a:blip xmlns:r="http://schemas.openxmlformats.org/officeDocument/2006/relationships" r:embed="rId21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9734-498A-96C7-9B2967A8B65E}"/>
              </c:ext>
            </c:extLst>
          </c:dPt>
          <c:dPt>
            <c:idx val="16"/>
            <c:bubble3D val="0"/>
            <c:spPr>
              <a:blipFill>
                <a:blip xmlns:r="http://schemas.openxmlformats.org/officeDocument/2006/relationships" r:embed="rId20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9734-498A-96C7-9B2967A8B65E}"/>
              </c:ext>
            </c:extLst>
          </c:dPt>
          <c:dPt>
            <c:idx val="17"/>
            <c:bubble3D val="0"/>
            <c:spPr>
              <a:blipFill>
                <a:blip xmlns:r="http://schemas.openxmlformats.org/officeDocument/2006/relationships" r:embed="rId18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9734-498A-96C7-9B2967A8B65E}"/>
              </c:ext>
            </c:extLst>
          </c:dPt>
          <c:dPt>
            <c:idx val="18"/>
            <c:bubble3D val="0"/>
            <c:spPr>
              <a:blipFill>
                <a:blip xmlns:r="http://schemas.openxmlformats.org/officeDocument/2006/relationships" r:embed="rId19"/>
                <a:stretch>
                  <a:fillRect/>
                </a:stretch>
              </a:blipFill>
              <a:ln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9734-498A-96C7-9B2967A8B65E}"/>
              </c:ext>
            </c:extLst>
          </c:dPt>
          <c:dLbls>
            <c:numFmt formatCode="[&gt;2]0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ECF1-4062-9426-9661819D48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44"/>
        <c:holeSize val="22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</a:rPr>
              <a:t>NÚMERO</a:t>
            </a:r>
            <a:r>
              <a:rPr lang="en-US" sz="2400" b="1" baseline="0">
                <a:solidFill>
                  <a:schemeClr val="accent5">
                    <a:lumMod val="50000"/>
                  </a:schemeClr>
                </a:solidFill>
              </a:rPr>
              <a:t> DE OBRAS POR EDITORA</a:t>
            </a:r>
            <a:endParaRPr lang="en-US" sz="2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dkDnDiag">
            <a:fgClr>
              <a:schemeClr val="accent5">
                <a:lumMod val="60000"/>
                <a:lumOff val="40000"/>
              </a:schemeClr>
            </a:fgClr>
            <a:bgClr>
              <a:schemeClr val="bg1"/>
            </a:bgClr>
          </a:pattFill>
          <a:ln>
            <a:solidFill>
              <a:schemeClr val="accent5">
                <a:lumMod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dk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ln>
              <a:solidFill>
                <a:schemeClr val="accent5">
                  <a:lumMod val="50000"/>
                </a:schemeClr>
              </a:solidFill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1-4689-A45E-3575E0AE7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  <a:alpha val="2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Dinâmicas!tabD_Classificação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</a:rPr>
              <a:t>OBRAS POR EXTENSÃO</a:t>
            </a:r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9694168161898071"/>
          <c:y val="1.1728816668010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7997947932634381"/>
          <c:y val="0.1276105203313774"/>
          <c:w val="0.68281926585803732"/>
          <c:h val="0.7985754954163331"/>
        </c:manualLayout>
      </c:layout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alpha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9B-4654-9EB8-9FF111A748FF}"/>
              </c:ext>
            </c:extLst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9B-4654-9EB8-9FF111A748FF}"/>
              </c:ext>
            </c:extLst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9B-4654-9EB8-9FF111A748FF}"/>
              </c:ext>
            </c:extLst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9B-4654-9EB8-9FF111A748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0E-483D-9AED-EE7E7640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elas Din&#226;micas'!A1"/><Relationship Id="rId13" Type="http://schemas.openxmlformats.org/officeDocument/2006/relationships/image" Target="../media/image23.png"/><Relationship Id="rId18" Type="http://schemas.openxmlformats.org/officeDocument/2006/relationships/image" Target="../media/image28.png"/><Relationship Id="rId3" Type="http://schemas.openxmlformats.org/officeDocument/2006/relationships/hyperlink" Target="http://iyanovich.wordpress.com/2010/01/04/wallpapers-azules" TargetMode="External"/><Relationship Id="rId21" Type="http://schemas.openxmlformats.org/officeDocument/2006/relationships/image" Target="../media/image31.png"/><Relationship Id="rId7" Type="http://schemas.openxmlformats.org/officeDocument/2006/relationships/hyperlink" Target="#'Base de Dados'!A1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microsoft.com/office/2007/relationships/hdphoto" Target="../media/hdphoto1.wdp"/><Relationship Id="rId16" Type="http://schemas.openxmlformats.org/officeDocument/2006/relationships/image" Target="../media/image26.png"/><Relationship Id="rId20" Type="http://schemas.openxmlformats.org/officeDocument/2006/relationships/image" Target="../media/image30.png"/><Relationship Id="rId1" Type="http://schemas.openxmlformats.org/officeDocument/2006/relationships/image" Target="../media/image2.png"/><Relationship Id="rId6" Type="http://schemas.openxmlformats.org/officeDocument/2006/relationships/hyperlink" Target="#Consulta!A1"/><Relationship Id="rId11" Type="http://schemas.openxmlformats.org/officeDocument/2006/relationships/chart" Target="../charts/chart4.xml"/><Relationship Id="rId5" Type="http://schemas.openxmlformats.org/officeDocument/2006/relationships/chart" Target="../charts/chart1.xml"/><Relationship Id="rId15" Type="http://schemas.openxmlformats.org/officeDocument/2006/relationships/image" Target="../media/image25.png"/><Relationship Id="rId10" Type="http://schemas.openxmlformats.org/officeDocument/2006/relationships/chart" Target="../charts/chart3.xml"/><Relationship Id="rId19" Type="http://schemas.openxmlformats.org/officeDocument/2006/relationships/image" Target="../media/image29.png"/><Relationship Id="rId4" Type="http://schemas.openxmlformats.org/officeDocument/2006/relationships/hyperlink" Target="https://creativecommons.org/licenses/by-sa/3.0/" TargetMode="External"/><Relationship Id="rId9" Type="http://schemas.openxmlformats.org/officeDocument/2006/relationships/chart" Target="../charts/chart2.xml"/><Relationship Id="rId1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19</xdr:row>
      <xdr:rowOff>150906</xdr:rowOff>
    </xdr:from>
    <xdr:to>
      <xdr:col>26</xdr:col>
      <xdr:colOff>84605</xdr:colOff>
      <xdr:row>67</xdr:row>
      <xdr:rowOff>19050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D78194-2960-48E0-A468-CAB3DBBB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400"/>
                  </a14:imgEffect>
                  <a14:imgEffect>
                    <a14:brightnessContrast bright="40000" contras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28575" y="4351431"/>
          <a:ext cx="17953505" cy="9012144"/>
        </a:xfrm>
        <a:prstGeom prst="rect">
          <a:avLst/>
        </a:prstGeom>
        <a:solidFill>
          <a:srgbClr val="000000">
            <a:alpha val="50196"/>
          </a:srgbClr>
        </a:solidFill>
      </xdr:spPr>
    </xdr:pic>
    <xdr:clientData/>
  </xdr:twoCellAnchor>
  <xdr:oneCellAnchor>
    <xdr:from>
      <xdr:col>0</xdr:col>
      <xdr:colOff>85725</xdr:colOff>
      <xdr:row>54</xdr:row>
      <xdr:rowOff>95250</xdr:rowOff>
    </xdr:from>
    <xdr:ext cx="17697450" cy="233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496D62-527B-44CF-ADAF-327DCD743378}"/>
            </a:ext>
          </a:extLst>
        </xdr:cNvPr>
        <xdr:cNvSpPr txBox="1"/>
      </xdr:nvSpPr>
      <xdr:spPr>
        <a:xfrm>
          <a:off x="85725" y="10963275"/>
          <a:ext cx="176974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3" tooltip="http://iyanovich.wordpress.com/2010/01/04/wallpapers-azules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4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>
    <xdr:from>
      <xdr:col>0</xdr:col>
      <xdr:colOff>85724</xdr:colOff>
      <xdr:row>21</xdr:row>
      <xdr:rowOff>82736</xdr:rowOff>
    </xdr:from>
    <xdr:to>
      <xdr:col>25</xdr:col>
      <xdr:colOff>435304</xdr:colOff>
      <xdr:row>59</xdr:row>
      <xdr:rowOff>9525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85724" y="4664261"/>
          <a:ext cx="17637455" cy="7165789"/>
        </a:xfrm>
        <a:prstGeom prst="rect">
          <a:avLst/>
        </a:prstGeom>
        <a:solidFill>
          <a:srgbClr val="DEEBF7">
            <a:alpha val="50196"/>
          </a:srgb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533400</xdr:colOff>
      <xdr:row>41</xdr:row>
      <xdr:rowOff>28575</xdr:rowOff>
    </xdr:from>
    <xdr:to>
      <xdr:col>19</xdr:col>
      <xdr:colOff>523875</xdr:colOff>
      <xdr:row>58</xdr:row>
      <xdr:rowOff>161925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8391525" y="8420100"/>
          <a:ext cx="5762625" cy="3371850"/>
        </a:xfrm>
        <a:prstGeom prst="roundRect">
          <a:avLst/>
        </a:prstGeom>
        <a:solidFill>
          <a:schemeClr val="accent5">
            <a:lumMod val="40000"/>
            <a:lumOff val="60000"/>
            <a:alpha val="61961"/>
          </a:scheme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209549</xdr:colOff>
      <xdr:row>21</xdr:row>
      <xdr:rowOff>124198</xdr:rowOff>
    </xdr:from>
    <xdr:to>
      <xdr:col>25</xdr:col>
      <xdr:colOff>352424</xdr:colOff>
      <xdr:row>40</xdr:row>
      <xdr:rowOff>95623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157100</xdr:colOff>
      <xdr:row>40</xdr:row>
      <xdr:rowOff>176407</xdr:rowOff>
    </xdr:from>
    <xdr:to>
      <xdr:col>5</xdr:col>
      <xdr:colOff>628651</xdr:colOff>
      <xdr:row>58</xdr:row>
      <xdr:rowOff>85725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152400</xdr:colOff>
      <xdr:row>21</xdr:row>
      <xdr:rowOff>124199</xdr:rowOff>
    </xdr:from>
    <xdr:to>
      <xdr:col>13</xdr:col>
      <xdr:colOff>85725</xdr:colOff>
      <xdr:row>40</xdr:row>
      <xdr:rowOff>95623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331351</xdr:colOff>
      <xdr:row>43</xdr:row>
      <xdr:rowOff>28575</xdr:rowOff>
    </xdr:from>
    <xdr:to>
      <xdr:col>16</xdr:col>
      <xdr:colOff>592228</xdr:colOff>
      <xdr:row>49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32601" y="8801100"/>
              <a:ext cx="1689627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428625</xdr:colOff>
      <xdr:row>8</xdr:row>
      <xdr:rowOff>96125</xdr:rowOff>
    </xdr:from>
    <xdr:to>
      <xdr:col>7</xdr:col>
      <xdr:colOff>369285</xdr:colOff>
      <xdr:row>10</xdr:row>
      <xdr:rowOff>35035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571750" y="2020175"/>
          <a:ext cx="2798160" cy="33896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 editAs="oneCell">
    <xdr:from>
      <xdr:col>17</xdr:col>
      <xdr:colOff>95326</xdr:colOff>
      <xdr:row>43</xdr:row>
      <xdr:rowOff>38099</xdr:rowOff>
    </xdr:from>
    <xdr:to>
      <xdr:col>19</xdr:col>
      <xdr:colOff>299053</xdr:colOff>
      <xdr:row>50</xdr:row>
      <xdr:rowOff>185930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39701" y="8810624"/>
              <a:ext cx="1689627" cy="14813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66675</xdr:colOff>
      <xdr:row>43</xdr:row>
      <xdr:rowOff>47624</xdr:rowOff>
    </xdr:from>
    <xdr:to>
      <xdr:col>14</xdr:col>
      <xdr:colOff>123825</xdr:colOff>
      <xdr:row>58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39175" y="8820149"/>
              <a:ext cx="1485900" cy="2819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350400</xdr:colOff>
      <xdr:row>51</xdr:row>
      <xdr:rowOff>180975</xdr:rowOff>
    </xdr:from>
    <xdr:to>
      <xdr:col>16</xdr:col>
      <xdr:colOff>611277</xdr:colOff>
      <xdr:row>58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51650" y="10477500"/>
              <a:ext cx="1689627" cy="1219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17</xdr:col>
      <xdr:colOff>136964</xdr:colOff>
      <xdr:row>52</xdr:row>
      <xdr:rowOff>114300</xdr:rowOff>
    </xdr:from>
    <xdr:to>
      <xdr:col>19</xdr:col>
      <xdr:colOff>257175</xdr:colOff>
      <xdr:row>57</xdr:row>
      <xdr:rowOff>5191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2281339" y="10601325"/>
          <a:ext cx="1606111" cy="84339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>
              <a:solidFill>
                <a:schemeClr val="accent5">
                  <a:lumMod val="50000"/>
                </a:schemeClr>
              </a:solidFill>
            </a:rPr>
            <a:t>RESETAR FILTROS </a:t>
          </a:r>
          <a:endParaRPr lang="pt-BR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24</xdr:col>
      <xdr:colOff>265803</xdr:colOff>
      <xdr:row>54</xdr:row>
      <xdr:rowOff>32328</xdr:rowOff>
    </xdr:from>
    <xdr:to>
      <xdr:col>25</xdr:col>
      <xdr:colOff>246916</xdr:colOff>
      <xdr:row>56</xdr:row>
      <xdr:rowOff>133350</xdr:rowOff>
    </xdr:to>
    <xdr:sp macro="" textlink="I4">
      <xdr:nvSpPr>
        <xdr:cNvPr id="31" name="Retângulo 30">
          <a:extLst>
            <a:ext uri="{FF2B5EF4-FFF2-40B4-BE49-F238E27FC236}">
              <a16:creationId xmlns:a16="http://schemas.microsoft.com/office/drawing/2014/main" id="{F8209346-6241-487F-87D4-7A4005C8F83A}"/>
            </a:ext>
          </a:extLst>
        </xdr:cNvPr>
        <xdr:cNvSpPr/>
      </xdr:nvSpPr>
      <xdr:spPr>
        <a:xfrm>
          <a:off x="16944078" y="10900353"/>
          <a:ext cx="590713" cy="48202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89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418961</xdr:colOff>
      <xdr:row>2</xdr:row>
      <xdr:rowOff>267654</xdr:rowOff>
    </xdr:from>
    <xdr:to>
      <xdr:col>3</xdr:col>
      <xdr:colOff>542786</xdr:colOff>
      <xdr:row>5</xdr:row>
      <xdr:rowOff>210504</xdr:rowOff>
    </xdr:to>
    <xdr:sp macro="" textlink="C4">
      <xdr:nvSpPr>
        <xdr:cNvPr id="32" name="Retângulo 31">
          <a:extLst>
            <a:ext uri="{FF2B5EF4-FFF2-40B4-BE49-F238E27FC236}">
              <a16:creationId xmlns:a16="http://schemas.microsoft.com/office/drawing/2014/main" id="{58118D4D-3FD6-49CC-ABA2-007BACFEAE48}"/>
            </a:ext>
          </a:extLst>
        </xdr:cNvPr>
        <xdr:cNvSpPr/>
      </xdr:nvSpPr>
      <xdr:spPr>
        <a:xfrm>
          <a:off x="1133336" y="743904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4BCDA4-671F-4351-B828-B596D05E734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390525</xdr:colOff>
      <xdr:row>2</xdr:row>
      <xdr:rowOff>238125</xdr:rowOff>
    </xdr:from>
    <xdr:to>
      <xdr:col>6</xdr:col>
      <xdr:colOff>514350</xdr:colOff>
      <xdr:row>5</xdr:row>
      <xdr:rowOff>180975</xdr:rowOff>
    </xdr:to>
    <xdr:sp macro="" textlink="F4">
      <xdr:nvSpPr>
        <xdr:cNvPr id="33" name="Retângulo 32">
          <a:extLst>
            <a:ext uri="{FF2B5EF4-FFF2-40B4-BE49-F238E27FC236}">
              <a16:creationId xmlns:a16="http://schemas.microsoft.com/office/drawing/2014/main" id="{017AE4D8-268B-4142-9C83-8FF4A0B6508C}"/>
            </a:ext>
          </a:extLst>
        </xdr:cNvPr>
        <xdr:cNvSpPr/>
      </xdr:nvSpPr>
      <xdr:spPr>
        <a:xfrm>
          <a:off x="3248025" y="7143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320709</xdr:colOff>
      <xdr:row>2</xdr:row>
      <xdr:rowOff>257683</xdr:rowOff>
    </xdr:from>
    <xdr:to>
      <xdr:col>9</xdr:col>
      <xdr:colOff>444534</xdr:colOff>
      <xdr:row>5</xdr:row>
      <xdr:rowOff>200533</xdr:rowOff>
    </xdr:to>
    <xdr:sp macro="" textlink="I4">
      <xdr:nvSpPr>
        <xdr:cNvPr id="35" name="Retângulo 34">
          <a:extLst>
            <a:ext uri="{FF2B5EF4-FFF2-40B4-BE49-F238E27FC236}">
              <a16:creationId xmlns:a16="http://schemas.microsoft.com/office/drawing/2014/main" id="{734521F3-2900-4A0B-877E-BDEB6D03DFDB}"/>
            </a:ext>
          </a:extLst>
        </xdr:cNvPr>
        <xdr:cNvSpPr/>
      </xdr:nvSpPr>
      <xdr:spPr>
        <a:xfrm>
          <a:off x="5321334" y="733933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50470</xdr:colOff>
      <xdr:row>40</xdr:row>
      <xdr:rowOff>177986</xdr:rowOff>
    </xdr:from>
    <xdr:to>
      <xdr:col>11</xdr:col>
      <xdr:colOff>381001</xdr:colOff>
      <xdr:row>58</xdr:row>
      <xdr:rowOff>85725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EDA6AE-0F6D-46AF-90FA-61D73A0A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561836</xdr:colOff>
      <xdr:row>5</xdr:row>
      <xdr:rowOff>142875</xdr:rowOff>
    </xdr:from>
    <xdr:to>
      <xdr:col>3</xdr:col>
      <xdr:colOff>428625</xdr:colOff>
      <xdr:row>7</xdr:row>
      <xdr:rowOff>77154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D8A5BEC0-B770-4A00-9D9B-5D848DDC7201}"/>
            </a:ext>
          </a:extLst>
        </xdr:cNvPr>
        <xdr:cNvSpPr/>
      </xdr:nvSpPr>
      <xdr:spPr>
        <a:xfrm>
          <a:off x="1276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4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533261</xdr:colOff>
      <xdr:row>5</xdr:row>
      <xdr:rowOff>133350</xdr:rowOff>
    </xdr:from>
    <xdr:to>
      <xdr:col>6</xdr:col>
      <xdr:colOff>400050</xdr:colOff>
      <xdr:row>7</xdr:row>
      <xdr:rowOff>67629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46DF227B-465A-429D-B302-29692EDD90C4}"/>
            </a:ext>
          </a:extLst>
        </xdr:cNvPr>
        <xdr:cNvSpPr/>
      </xdr:nvSpPr>
      <xdr:spPr>
        <a:xfrm>
          <a:off x="3390761" y="1409700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7</xdr:col>
      <xdr:colOff>466586</xdr:colOff>
      <xdr:row>5</xdr:row>
      <xdr:rowOff>142875</xdr:rowOff>
    </xdr:from>
    <xdr:to>
      <xdr:col>9</xdr:col>
      <xdr:colOff>333375</xdr:colOff>
      <xdr:row>7</xdr:row>
      <xdr:rowOff>77154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57A6E5-7293-4ED4-A555-740B380F7F80}"/>
            </a:ext>
          </a:extLst>
        </xdr:cNvPr>
        <xdr:cNvSpPr/>
      </xdr:nvSpPr>
      <xdr:spPr>
        <a:xfrm>
          <a:off x="5467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237071</xdr:colOff>
      <xdr:row>56</xdr:row>
      <xdr:rowOff>95214</xdr:rowOff>
    </xdr:from>
    <xdr:to>
      <xdr:col>25</xdr:col>
      <xdr:colOff>249849</xdr:colOff>
      <xdr:row>58</xdr:row>
      <xdr:rowOff>28576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53863E7-9EEE-4CD5-9CFB-15D69BF6BC19}"/>
            </a:ext>
          </a:extLst>
        </xdr:cNvPr>
        <xdr:cNvSpPr/>
      </xdr:nvSpPr>
      <xdr:spPr>
        <a:xfrm>
          <a:off x="16305746" y="11344239"/>
          <a:ext cx="1231978" cy="314362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1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Editoras</a:t>
          </a:r>
          <a:endParaRPr lang="en-US" sz="11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59348</xdr:colOff>
      <xdr:row>46</xdr:row>
      <xdr:rowOff>95250</xdr:rowOff>
    </xdr:from>
    <xdr:to>
      <xdr:col>22</xdr:col>
      <xdr:colOff>392723</xdr:colOff>
      <xdr:row>47</xdr:row>
      <xdr:rowOff>85725</xdr:rowOff>
    </xdr:to>
    <xdr:sp macro="" textlink="'Tabelas de Apoio'!D4">
      <xdr:nvSpPr>
        <xdr:cNvPr id="42" name="Retângulo 41">
          <a:extLst>
            <a:ext uri="{FF2B5EF4-FFF2-40B4-BE49-F238E27FC236}">
              <a16:creationId xmlns:a16="http://schemas.microsoft.com/office/drawing/2014/main" id="{AF584CB0-DB0F-4715-9555-792C0EE4751B}"/>
            </a:ext>
          </a:extLst>
        </xdr:cNvPr>
        <xdr:cNvSpPr/>
      </xdr:nvSpPr>
      <xdr:spPr>
        <a:xfrm>
          <a:off x="14299223" y="9439275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75936D0-6AB9-4516-950E-8E90DA4206AA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Romance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59348</xdr:colOff>
      <xdr:row>47</xdr:row>
      <xdr:rowOff>85725</xdr:rowOff>
    </xdr:from>
    <xdr:to>
      <xdr:col>22</xdr:col>
      <xdr:colOff>392723</xdr:colOff>
      <xdr:row>48</xdr:row>
      <xdr:rowOff>76200</xdr:rowOff>
    </xdr:to>
    <xdr:sp macro="" textlink="'Tabelas de Apoio'!D5">
      <xdr:nvSpPr>
        <xdr:cNvPr id="43" name="Retângulo 42">
          <a:extLst>
            <a:ext uri="{FF2B5EF4-FFF2-40B4-BE49-F238E27FC236}">
              <a16:creationId xmlns:a16="http://schemas.microsoft.com/office/drawing/2014/main" id="{FBC3DAE9-504A-4D72-8F09-35B3C3E9ED40}"/>
            </a:ext>
          </a:extLst>
        </xdr:cNvPr>
        <xdr:cNvSpPr/>
      </xdr:nvSpPr>
      <xdr:spPr>
        <a:xfrm>
          <a:off x="14299223" y="9620250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38141B9-3CD8-43AE-946C-B5D7B3645708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Ficção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57149</xdr:colOff>
      <xdr:row>48</xdr:row>
      <xdr:rowOff>73211</xdr:rowOff>
    </xdr:from>
    <xdr:to>
      <xdr:col>22</xdr:col>
      <xdr:colOff>390524</xdr:colOff>
      <xdr:row>49</xdr:row>
      <xdr:rowOff>63686</xdr:rowOff>
    </xdr:to>
    <xdr:sp macro="" textlink="'Tabelas de Apoio'!D6">
      <xdr:nvSpPr>
        <xdr:cNvPr id="44" name="Retângulo 43">
          <a:extLst>
            <a:ext uri="{FF2B5EF4-FFF2-40B4-BE49-F238E27FC236}">
              <a16:creationId xmlns:a16="http://schemas.microsoft.com/office/drawing/2014/main" id="{CE2CF868-AC89-4868-9E0A-61E29902B1FC}"/>
            </a:ext>
          </a:extLst>
        </xdr:cNvPr>
        <xdr:cNvSpPr/>
      </xdr:nvSpPr>
      <xdr:spPr>
        <a:xfrm>
          <a:off x="14297024" y="97982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A6124A-2055-40A8-8C3E-F9FA924DDE40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Filosofia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50</xdr:row>
      <xdr:rowOff>168461</xdr:rowOff>
    </xdr:from>
    <xdr:to>
      <xdr:col>22</xdr:col>
      <xdr:colOff>400049</xdr:colOff>
      <xdr:row>51</xdr:row>
      <xdr:rowOff>158936</xdr:rowOff>
    </xdr:to>
    <xdr:sp macro="" textlink="'Tabelas de Apoio'!A4">
      <xdr:nvSpPr>
        <xdr:cNvPr id="45" name="Retângulo 44">
          <a:extLst>
            <a:ext uri="{FF2B5EF4-FFF2-40B4-BE49-F238E27FC236}">
              <a16:creationId xmlns:a16="http://schemas.microsoft.com/office/drawing/2014/main" id="{A5313DD7-42EB-4931-A2F5-FAA21E6153A7}"/>
            </a:ext>
          </a:extLst>
        </xdr:cNvPr>
        <xdr:cNvSpPr/>
      </xdr:nvSpPr>
      <xdr:spPr>
        <a:xfrm>
          <a:off x="14306549" y="102744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93BD3A8-2079-4129-90B0-1A8E58857BF9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Selma El-Kathib e Luiz Cesar Pinto Ribeiro (coord.)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51</xdr:row>
      <xdr:rowOff>158936</xdr:rowOff>
    </xdr:from>
    <xdr:to>
      <xdr:col>22</xdr:col>
      <xdr:colOff>400049</xdr:colOff>
      <xdr:row>52</xdr:row>
      <xdr:rowOff>149411</xdr:rowOff>
    </xdr:to>
    <xdr:sp macro="" textlink="'Tabelas de Apoio'!A5">
      <xdr:nvSpPr>
        <xdr:cNvPr id="46" name="Retângulo 45">
          <a:extLst>
            <a:ext uri="{FF2B5EF4-FFF2-40B4-BE49-F238E27FC236}">
              <a16:creationId xmlns:a16="http://schemas.microsoft.com/office/drawing/2014/main" id="{3DDDACA2-B932-4F27-91FD-3998BC89284D}"/>
            </a:ext>
          </a:extLst>
        </xdr:cNvPr>
        <xdr:cNvSpPr/>
      </xdr:nvSpPr>
      <xdr:spPr>
        <a:xfrm>
          <a:off x="14306549" y="1045546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09F89AF-B4F1-4EA8-AACE-2EFF820539F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Machado de Assis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52</xdr:row>
      <xdr:rowOff>149411</xdr:rowOff>
    </xdr:from>
    <xdr:to>
      <xdr:col>22</xdr:col>
      <xdr:colOff>400049</xdr:colOff>
      <xdr:row>53</xdr:row>
      <xdr:rowOff>139886</xdr:rowOff>
    </xdr:to>
    <xdr:sp macro="" textlink="'Tabelas de Apoio'!A6">
      <xdr:nvSpPr>
        <xdr:cNvPr id="47" name="Retângulo 46">
          <a:extLst>
            <a:ext uri="{FF2B5EF4-FFF2-40B4-BE49-F238E27FC236}">
              <a16:creationId xmlns:a16="http://schemas.microsoft.com/office/drawing/2014/main" id="{E5250E74-C008-40D3-82E9-C46CAC00BDDD}"/>
            </a:ext>
          </a:extLst>
        </xdr:cNvPr>
        <xdr:cNvSpPr/>
      </xdr:nvSpPr>
      <xdr:spPr>
        <a:xfrm>
          <a:off x="14306549" y="1063643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066668D-0F7F-47FC-AA53-D74F842B62D4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Mario Sérgio Cortella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55</xdr:row>
      <xdr:rowOff>63686</xdr:rowOff>
    </xdr:from>
    <xdr:to>
      <xdr:col>22</xdr:col>
      <xdr:colOff>400049</xdr:colOff>
      <xdr:row>56</xdr:row>
      <xdr:rowOff>54161</xdr:rowOff>
    </xdr:to>
    <xdr:sp macro="" textlink="'Tabelas de Apoio'!A10">
      <xdr:nvSpPr>
        <xdr:cNvPr id="48" name="Retângulo 47">
          <a:extLst>
            <a:ext uri="{FF2B5EF4-FFF2-40B4-BE49-F238E27FC236}">
              <a16:creationId xmlns:a16="http://schemas.microsoft.com/office/drawing/2014/main" id="{77130C82-1326-4AE2-9C05-AAFDB985D8D4}"/>
            </a:ext>
          </a:extLst>
        </xdr:cNvPr>
        <xdr:cNvSpPr/>
      </xdr:nvSpPr>
      <xdr:spPr>
        <a:xfrm>
          <a:off x="14306549" y="111222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A0D4767-D912-47A5-89BD-1F225E4F09F3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L&amp;PM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56</xdr:row>
      <xdr:rowOff>63686</xdr:rowOff>
    </xdr:from>
    <xdr:to>
      <xdr:col>22</xdr:col>
      <xdr:colOff>400049</xdr:colOff>
      <xdr:row>57</xdr:row>
      <xdr:rowOff>54161</xdr:rowOff>
    </xdr:to>
    <xdr:sp macro="" textlink="'Tabelas de Apoio'!A11">
      <xdr:nvSpPr>
        <xdr:cNvPr id="49" name="Retângulo 48">
          <a:extLst>
            <a:ext uri="{FF2B5EF4-FFF2-40B4-BE49-F238E27FC236}">
              <a16:creationId xmlns:a16="http://schemas.microsoft.com/office/drawing/2014/main" id="{CFD96BD1-F75E-4E25-B745-8C954190E72C}"/>
            </a:ext>
          </a:extLst>
        </xdr:cNvPr>
        <xdr:cNvSpPr/>
      </xdr:nvSpPr>
      <xdr:spPr>
        <a:xfrm>
          <a:off x="14306549" y="11312711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07829A-A402-48DC-B098-761335780E3D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Martin Claret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66674</xdr:colOff>
      <xdr:row>57</xdr:row>
      <xdr:rowOff>54161</xdr:rowOff>
    </xdr:from>
    <xdr:to>
      <xdr:col>22</xdr:col>
      <xdr:colOff>400049</xdr:colOff>
      <xdr:row>58</xdr:row>
      <xdr:rowOff>44636</xdr:rowOff>
    </xdr:to>
    <xdr:sp macro="" textlink="'Tabelas de Apoio'!A12">
      <xdr:nvSpPr>
        <xdr:cNvPr id="50" name="Retângulo 49">
          <a:extLst>
            <a:ext uri="{FF2B5EF4-FFF2-40B4-BE49-F238E27FC236}">
              <a16:creationId xmlns:a16="http://schemas.microsoft.com/office/drawing/2014/main" id="{5A3D4294-08C0-49F7-81FF-C909040C7609}"/>
            </a:ext>
          </a:extLst>
        </xdr:cNvPr>
        <xdr:cNvSpPr/>
      </xdr:nvSpPr>
      <xdr:spPr>
        <a:xfrm>
          <a:off x="14306549" y="11493686"/>
          <a:ext cx="1552575" cy="1809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47EE05E-0935-416F-AA13-54748C855717}" type="TxLink">
            <a:rPr lang="en-US" sz="10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Vozes</a:t>
          </a:fld>
          <a:endParaRPr lang="pt-BR" sz="10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20</xdr:col>
      <xdr:colOff>314325</xdr:colOff>
      <xdr:row>49</xdr:row>
      <xdr:rowOff>171450</xdr:rowOff>
    </xdr:from>
    <xdr:to>
      <xdr:col>22</xdr:col>
      <xdr:colOff>154598</xdr:colOff>
      <xdr:row>50</xdr:row>
      <xdr:rowOff>180975</xdr:rowOff>
    </xdr:to>
    <xdr:sp macro="" textlink="">
      <xdr:nvSpPr>
        <xdr:cNvPr id="51" name="Retângulo 50">
          <a:extLst>
            <a:ext uri="{FF2B5EF4-FFF2-40B4-BE49-F238E27FC236}">
              <a16:creationId xmlns:a16="http://schemas.microsoft.com/office/drawing/2014/main" id="{EA2D6FD4-C2B3-42E9-A904-A8D102D99F18}"/>
            </a:ext>
          </a:extLst>
        </xdr:cNvPr>
        <xdr:cNvSpPr/>
      </xdr:nvSpPr>
      <xdr:spPr>
        <a:xfrm>
          <a:off x="14554200" y="100869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54</xdr:row>
      <xdr:rowOff>66675</xdr:rowOff>
    </xdr:from>
    <xdr:to>
      <xdr:col>22</xdr:col>
      <xdr:colOff>145073</xdr:colOff>
      <xdr:row>55</xdr:row>
      <xdr:rowOff>76200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6EC9F1FF-64F8-47DD-9111-55F55BF0646D}"/>
            </a:ext>
          </a:extLst>
        </xdr:cNvPr>
        <xdr:cNvSpPr/>
      </xdr:nvSpPr>
      <xdr:spPr>
        <a:xfrm>
          <a:off x="14544675" y="10934700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Editoras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304800</xdr:colOff>
      <xdr:row>45</xdr:row>
      <xdr:rowOff>95250</xdr:rowOff>
    </xdr:from>
    <xdr:to>
      <xdr:col>22</xdr:col>
      <xdr:colOff>145073</xdr:colOff>
      <xdr:row>46</xdr:row>
      <xdr:rowOff>104775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3EC55892-E69D-4B81-804D-6B57182B027C}"/>
            </a:ext>
          </a:extLst>
        </xdr:cNvPr>
        <xdr:cNvSpPr/>
      </xdr:nvSpPr>
      <xdr:spPr>
        <a:xfrm>
          <a:off x="14544675" y="9248775"/>
          <a:ext cx="1059473" cy="2000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Assunto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20</xdr:col>
      <xdr:colOff>428625</xdr:colOff>
      <xdr:row>41</xdr:row>
      <xdr:rowOff>66675</xdr:rowOff>
    </xdr:from>
    <xdr:to>
      <xdr:col>22</xdr:col>
      <xdr:colOff>28575</xdr:colOff>
      <xdr:row>45</xdr:row>
      <xdr:rowOff>28575</xdr:rowOff>
    </xdr:to>
    <xdr:sp macro="" textlink="">
      <xdr:nvSpPr>
        <xdr:cNvPr id="57" name="Elipse 56">
          <a:extLst>
            <a:ext uri="{FF2B5EF4-FFF2-40B4-BE49-F238E27FC236}">
              <a16:creationId xmlns:a16="http://schemas.microsoft.com/office/drawing/2014/main" id="{518294B4-7551-470D-A431-9D71D3ABEACC}"/>
            </a:ext>
          </a:extLst>
        </xdr:cNvPr>
        <xdr:cNvSpPr/>
      </xdr:nvSpPr>
      <xdr:spPr>
        <a:xfrm>
          <a:off x="14668500" y="8458200"/>
          <a:ext cx="819150" cy="723900"/>
        </a:xfrm>
        <a:prstGeom prst="ellipse">
          <a:avLst/>
        </a:prstGeom>
        <a:solidFill>
          <a:srgbClr val="F3F6FB"/>
        </a:solidFill>
        <a:ln>
          <a:solidFill>
            <a:schemeClr val="accent5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20</xdr:col>
      <xdr:colOff>552450</xdr:colOff>
      <xdr:row>41</xdr:row>
      <xdr:rowOff>114300</xdr:rowOff>
    </xdr:from>
    <xdr:to>
      <xdr:col>21</xdr:col>
      <xdr:colOff>523875</xdr:colOff>
      <xdr:row>44</xdr:row>
      <xdr:rowOff>28575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5CC204EF-1300-45B4-AC2F-328330CF2F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2325" y="8505825"/>
          <a:ext cx="581025" cy="485775"/>
        </a:xfrm>
        <a:prstGeom prst="rect">
          <a:avLst/>
        </a:prstGeom>
      </xdr:spPr>
    </xdr:pic>
    <xdr:clientData/>
  </xdr:twoCellAnchor>
  <xdr:twoCellAnchor>
    <xdr:from>
      <xdr:col>20</xdr:col>
      <xdr:colOff>581024</xdr:colOff>
      <xdr:row>43</xdr:row>
      <xdr:rowOff>152399</xdr:rowOff>
    </xdr:from>
    <xdr:to>
      <xdr:col>21</xdr:col>
      <xdr:colOff>533400</xdr:colOff>
      <xdr:row>44</xdr:row>
      <xdr:rowOff>171450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27B50636-6AA0-4C98-AED2-3539A07D5FBA}"/>
            </a:ext>
          </a:extLst>
        </xdr:cNvPr>
        <xdr:cNvSpPr txBox="1"/>
      </xdr:nvSpPr>
      <xdr:spPr>
        <a:xfrm>
          <a:off x="14820899" y="8924924"/>
          <a:ext cx="561976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1">
              <a:solidFill>
                <a:schemeClr val="accent5">
                  <a:lumMod val="50000"/>
                </a:schemeClr>
              </a:solidFill>
            </a:rPr>
            <a:t>TOP 3</a:t>
          </a:r>
        </a:p>
      </xdr:txBody>
    </xdr:sp>
    <xdr:clientData/>
  </xdr:twoCellAnchor>
  <xdr:twoCellAnchor>
    <xdr:from>
      <xdr:col>24</xdr:col>
      <xdr:colOff>248041</xdr:colOff>
      <xdr:row>47</xdr:row>
      <xdr:rowOff>142874</xdr:rowOff>
    </xdr:from>
    <xdr:to>
      <xdr:col>25</xdr:col>
      <xdr:colOff>246916</xdr:colOff>
      <xdr:row>50</xdr:row>
      <xdr:rowOff>91439</xdr:rowOff>
    </xdr:to>
    <xdr:sp macro="" textlink="F4">
      <xdr:nvSpPr>
        <xdr:cNvPr id="59" name="Retângulo 58">
          <a:extLst>
            <a:ext uri="{FF2B5EF4-FFF2-40B4-BE49-F238E27FC236}">
              <a16:creationId xmlns:a16="http://schemas.microsoft.com/office/drawing/2014/main" id="{7DB7DCF7-E3E8-4C8F-94DA-7CD3636168A3}"/>
            </a:ext>
          </a:extLst>
        </xdr:cNvPr>
        <xdr:cNvSpPr/>
      </xdr:nvSpPr>
      <xdr:spPr>
        <a:xfrm>
          <a:off x="16926316" y="9677399"/>
          <a:ext cx="608475" cy="52006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324D4-1B8E-4F8A-B464-77191BA6F54D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129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200025</xdr:colOff>
      <xdr:row>50</xdr:row>
      <xdr:rowOff>8334</xdr:rowOff>
    </xdr:from>
    <xdr:to>
      <xdr:col>25</xdr:col>
      <xdr:colOff>249848</xdr:colOff>
      <xdr:row>51</xdr:row>
      <xdr:rowOff>142875</xdr:rowOff>
    </xdr:to>
    <xdr:sp macro="" textlink="">
      <xdr:nvSpPr>
        <xdr:cNvPr id="60" name="Retângulo 59">
          <a:extLst>
            <a:ext uri="{FF2B5EF4-FFF2-40B4-BE49-F238E27FC236}">
              <a16:creationId xmlns:a16="http://schemas.microsoft.com/office/drawing/2014/main" id="{E79CE2B1-D6D7-4798-A1E5-F3AC7B7F454A}"/>
            </a:ext>
          </a:extLst>
        </xdr:cNvPr>
        <xdr:cNvSpPr/>
      </xdr:nvSpPr>
      <xdr:spPr>
        <a:xfrm>
          <a:off x="16268700" y="10114359"/>
          <a:ext cx="1269023" cy="325041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Autores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24</xdr:col>
      <xdr:colOff>213839</xdr:colOff>
      <xdr:row>42</xdr:row>
      <xdr:rowOff>28574</xdr:rowOff>
    </xdr:from>
    <xdr:to>
      <xdr:col>25</xdr:col>
      <xdr:colOff>265967</xdr:colOff>
      <xdr:row>44</xdr:row>
      <xdr:rowOff>187957</xdr:rowOff>
    </xdr:to>
    <xdr:sp macro="" textlink="C4">
      <xdr:nvSpPr>
        <xdr:cNvPr id="61" name="Retângulo 60">
          <a:extLst>
            <a:ext uri="{FF2B5EF4-FFF2-40B4-BE49-F238E27FC236}">
              <a16:creationId xmlns:a16="http://schemas.microsoft.com/office/drawing/2014/main" id="{E5F92BF8-88F8-44D3-9866-7CF2DA3BF2B2}"/>
            </a:ext>
          </a:extLst>
        </xdr:cNvPr>
        <xdr:cNvSpPr/>
      </xdr:nvSpPr>
      <xdr:spPr>
        <a:xfrm>
          <a:off x="16892114" y="8610599"/>
          <a:ext cx="661728" cy="54038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F38887B-5D97-446B-ADA1-04E1AFB4E261}" type="TxLink">
            <a:rPr lang="en-US" sz="24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156</a:t>
          </a:fld>
          <a:endParaRPr lang="pt-BR" sz="24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190501</xdr:colOff>
      <xdr:row>44</xdr:row>
      <xdr:rowOff>76201</xdr:rowOff>
    </xdr:from>
    <xdr:to>
      <xdr:col>25</xdr:col>
      <xdr:colOff>268899</xdr:colOff>
      <xdr:row>46</xdr:row>
      <xdr:rowOff>47625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108831FB-8D1B-459A-B560-47CB5D1D4E3B}"/>
            </a:ext>
          </a:extLst>
        </xdr:cNvPr>
        <xdr:cNvSpPr/>
      </xdr:nvSpPr>
      <xdr:spPr>
        <a:xfrm>
          <a:off x="16259176" y="9039226"/>
          <a:ext cx="1297598" cy="35242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Total</a:t>
          </a:r>
          <a:r>
            <a:rPr lang="en-US" sz="1200" b="1" i="0" u="none" strike="noStrike" baseline="0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t> de Obras</a:t>
          </a:r>
          <a:endParaRPr lang="en-US" sz="1200" b="1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23</xdr:col>
      <xdr:colOff>257174</xdr:colOff>
      <xdr:row>41</xdr:row>
      <xdr:rowOff>157969</xdr:rowOff>
    </xdr:from>
    <xdr:to>
      <xdr:col>24</xdr:col>
      <xdr:colOff>189889</xdr:colOff>
      <xdr:row>44</xdr:row>
      <xdr:rowOff>128784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99397A16-F8A0-4903-81AC-344714604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49" y="8549494"/>
          <a:ext cx="542315" cy="542315"/>
        </a:xfrm>
        <a:prstGeom prst="rect">
          <a:avLst/>
        </a:prstGeom>
      </xdr:spPr>
    </xdr:pic>
    <xdr:clientData/>
  </xdr:twoCellAnchor>
  <xdr:twoCellAnchor editAs="oneCell">
    <xdr:from>
      <xdr:col>23</xdr:col>
      <xdr:colOff>270247</xdr:colOff>
      <xdr:row>47</xdr:row>
      <xdr:rowOff>94148</xdr:rowOff>
    </xdr:from>
    <xdr:to>
      <xdr:col>24</xdr:col>
      <xdr:colOff>253217</xdr:colOff>
      <xdr:row>50</xdr:row>
      <xdr:rowOff>84355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1FDB2E9A-887C-4DC7-A27D-3882ECEDE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36704">
          <a:off x="16338922" y="9628673"/>
          <a:ext cx="592570" cy="561707"/>
        </a:xfrm>
        <a:prstGeom prst="rect">
          <a:avLst/>
        </a:prstGeom>
      </xdr:spPr>
    </xdr:pic>
    <xdr:clientData/>
  </xdr:twoCellAnchor>
  <xdr:twoCellAnchor editAs="oneCell">
    <xdr:from>
      <xdr:col>23</xdr:col>
      <xdr:colOff>323849</xdr:colOff>
      <xdr:row>53</xdr:row>
      <xdr:rowOff>190499</xdr:rowOff>
    </xdr:from>
    <xdr:to>
      <xdr:col>24</xdr:col>
      <xdr:colOff>237514</xdr:colOff>
      <xdr:row>56</xdr:row>
      <xdr:rowOff>142264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1FA53-22A2-4406-A17D-86A3E77D7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92524" y="10868024"/>
          <a:ext cx="523265" cy="523265"/>
        </a:xfrm>
        <a:prstGeom prst="rect">
          <a:avLst/>
        </a:prstGeom>
      </xdr:spPr>
    </xdr:pic>
    <xdr:clientData/>
  </xdr:twoCellAnchor>
  <xdr:twoCellAnchor>
    <xdr:from>
      <xdr:col>12</xdr:col>
      <xdr:colOff>390525</xdr:colOff>
      <xdr:row>41</xdr:row>
      <xdr:rowOff>114300</xdr:rowOff>
    </xdr:from>
    <xdr:to>
      <xdr:col>13</xdr:col>
      <xdr:colOff>438150</xdr:colOff>
      <xdr:row>43</xdr:row>
      <xdr:rowOff>66675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FAAA764B-DDF0-4D9C-BECB-2ACBE710FDFD}"/>
            </a:ext>
          </a:extLst>
        </xdr:cNvPr>
        <xdr:cNvSpPr/>
      </xdr:nvSpPr>
      <xdr:spPr>
        <a:xfrm>
          <a:off x="8963025" y="8505825"/>
          <a:ext cx="762000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12</xdr:col>
      <xdr:colOff>523875</xdr:colOff>
      <xdr:row>41</xdr:row>
      <xdr:rowOff>28575</xdr:rowOff>
    </xdr:from>
    <xdr:to>
      <xdr:col>13</xdr:col>
      <xdr:colOff>314325</xdr:colOff>
      <xdr:row>43</xdr:row>
      <xdr:rowOff>152400</xdr:rowOff>
    </xdr:to>
    <xdr:pic>
      <xdr:nvPicPr>
        <xdr:cNvPr id="64" name="Imagem 63">
          <a:extLst>
            <a:ext uri="{FF2B5EF4-FFF2-40B4-BE49-F238E27FC236}">
              <a16:creationId xmlns:a16="http://schemas.microsoft.com/office/drawing/2014/main" id="{B946102E-73C8-48CF-859E-52588E658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6375" y="8420100"/>
          <a:ext cx="504825" cy="50482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41</xdr:row>
      <xdr:rowOff>123825</xdr:rowOff>
    </xdr:from>
    <xdr:to>
      <xdr:col>16</xdr:col>
      <xdr:colOff>104775</xdr:colOff>
      <xdr:row>43</xdr:row>
      <xdr:rowOff>76200</xdr:rowOff>
    </xdr:to>
    <xdr:sp macro="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02685108-28A8-4858-855A-A5F5CD64AD83}"/>
            </a:ext>
          </a:extLst>
        </xdr:cNvPr>
        <xdr:cNvSpPr/>
      </xdr:nvSpPr>
      <xdr:spPr>
        <a:xfrm>
          <a:off x="10763250" y="851535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316535</xdr:colOff>
      <xdr:row>41</xdr:row>
      <xdr:rowOff>152399</xdr:rowOff>
    </xdr:from>
    <xdr:to>
      <xdr:col>15</xdr:col>
      <xdr:colOff>571502</xdr:colOff>
      <xdr:row>43</xdr:row>
      <xdr:rowOff>56744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id="{D60234AD-A48B-48C9-A7DE-3539602049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32160" y="8543924"/>
          <a:ext cx="254967" cy="28534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50</xdr:row>
      <xdr:rowOff>57150</xdr:rowOff>
    </xdr:from>
    <xdr:to>
      <xdr:col>16</xdr:col>
      <xdr:colOff>104775</xdr:colOff>
      <xdr:row>52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39152955-27F9-4F72-9B77-DFAE07D04C2E}"/>
            </a:ext>
          </a:extLst>
        </xdr:cNvPr>
        <xdr:cNvSpPr/>
      </xdr:nvSpPr>
      <xdr:spPr>
        <a:xfrm>
          <a:off x="10763250" y="10163175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15</xdr:col>
      <xdr:colOff>285750</xdr:colOff>
      <xdr:row>50</xdr:row>
      <xdr:rowOff>66675</xdr:rowOff>
    </xdr:from>
    <xdr:to>
      <xdr:col>15</xdr:col>
      <xdr:colOff>608989</xdr:colOff>
      <xdr:row>52</xdr:row>
      <xdr:rowOff>8914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5C894B19-58FB-4AD9-95C1-423CF16A0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375" y="10172700"/>
          <a:ext cx="323239" cy="323239"/>
        </a:xfrm>
        <a:prstGeom prst="rect">
          <a:avLst/>
        </a:prstGeom>
      </xdr:spPr>
    </xdr:pic>
    <xdr:clientData/>
  </xdr:twoCellAnchor>
  <xdr:twoCellAnchor>
    <xdr:from>
      <xdr:col>18</xdr:col>
      <xdr:colOff>190500</xdr:colOff>
      <xdr:row>41</xdr:row>
      <xdr:rowOff>104775</xdr:rowOff>
    </xdr:from>
    <xdr:to>
      <xdr:col>18</xdr:col>
      <xdr:colOff>962025</xdr:colOff>
      <xdr:row>43</xdr:row>
      <xdr:rowOff>57150</xdr:rowOff>
    </xdr:to>
    <xdr:sp macro="" textlink="">
      <xdr:nvSpPr>
        <xdr:cNvPr id="78" name="Retângulo: Cantos Arredondados 77">
          <a:extLst>
            <a:ext uri="{FF2B5EF4-FFF2-40B4-BE49-F238E27FC236}">
              <a16:creationId xmlns:a16="http://schemas.microsoft.com/office/drawing/2014/main" id="{B4BD3C9F-B58E-4556-A0F7-0803A7026E85}"/>
            </a:ext>
          </a:extLst>
        </xdr:cNvPr>
        <xdr:cNvSpPr/>
      </xdr:nvSpPr>
      <xdr:spPr>
        <a:xfrm>
          <a:off x="12687300" y="8496300"/>
          <a:ext cx="771525" cy="333375"/>
        </a:xfrm>
        <a:prstGeom prst="roundRect">
          <a:avLst/>
        </a:prstGeom>
        <a:solidFill>
          <a:srgbClr val="F3F6FB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2400" b="0" i="0" u="none" strike="noStrike">
            <a:solidFill>
              <a:schemeClr val="accent5">
                <a:lumMod val="50000"/>
              </a:schemeClr>
            </a:solidFill>
            <a:latin typeface="Calibri"/>
            <a:cs typeface="Calibri"/>
          </a:endParaRPr>
        </a:p>
      </xdr:txBody>
    </xdr:sp>
    <xdr:clientData/>
  </xdr:twoCellAnchor>
  <xdr:twoCellAnchor editAs="oneCell">
    <xdr:from>
      <xdr:col>18</xdr:col>
      <xdr:colOff>457199</xdr:colOff>
      <xdr:row>41</xdr:row>
      <xdr:rowOff>133349</xdr:rowOff>
    </xdr:from>
    <xdr:to>
      <xdr:col>18</xdr:col>
      <xdr:colOff>719910</xdr:colOff>
      <xdr:row>43</xdr:row>
      <xdr:rowOff>15060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id="{89D167A7-1B99-485B-8967-CE0E84AFAD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53999" y="8524874"/>
          <a:ext cx="262711" cy="262711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38</xdr:row>
      <xdr:rowOff>47625</xdr:rowOff>
    </xdr:from>
    <xdr:to>
      <xdr:col>25</xdr:col>
      <xdr:colOff>436012</xdr:colOff>
      <xdr:row>40</xdr:row>
      <xdr:rowOff>102637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id="{0EB97155-3776-4166-B327-344DC2571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87875" y="7867650"/>
          <a:ext cx="436012" cy="436012"/>
        </a:xfrm>
        <a:prstGeom prst="rect">
          <a:avLst/>
        </a:prstGeom>
      </xdr:spPr>
    </xdr:pic>
    <xdr:clientData/>
  </xdr:twoCellAnchor>
  <xdr:twoCellAnchor editAs="oneCell">
    <xdr:from>
      <xdr:col>5</xdr:col>
      <xdr:colOff>400049</xdr:colOff>
      <xdr:row>55</xdr:row>
      <xdr:rowOff>47624</xdr:rowOff>
    </xdr:from>
    <xdr:to>
      <xdr:col>6</xdr:col>
      <xdr:colOff>333375</xdr:colOff>
      <xdr:row>58</xdr:row>
      <xdr:rowOff>123825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id="{369B29B0-E201-478D-BE74-ED340864A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1924" y="11106149"/>
          <a:ext cx="647701" cy="6477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8.647621180557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Ficção " u="1"/>
        <s v=" Biologia" u="1"/>
        <s v="Ficção (Sociologia)" u="1"/>
        <s v="Administração (Trabalhista)" u="1"/>
        <s v="Administração (Marketing)" u="1"/>
        <s v="Administração ; Gestão do Conhecimento" u="1"/>
        <s v="Ficção (Mangá)" u="1"/>
        <s v="Direito ; Legislação" u="1"/>
        <s v="Romance (Policial)" u="1"/>
        <s v="Romance (terror)" u="1"/>
        <s v="Ficção (Economia)" u="1"/>
        <s v=" Auto-Ajuda" u="1"/>
        <s v="Romance (Biográfico)" u="1"/>
        <s v="Romance (Poesia)" u="1"/>
        <s v="História (Fotográfia)" u="1"/>
        <s v=" Filosofia ; Auto-Ajuda" u="1"/>
        <s v="Linguagem2" u="1"/>
        <s v="Ficção (Investigação)" u="1"/>
        <s v="Economia Política ; Filosofia" u="1"/>
        <s v="Economia Política ; História" u="1"/>
        <s v="Filosofia ; Autobiografia" u="1"/>
        <s v="Romance (Espírita)" u="1"/>
        <s v="Ficção (HQ)" u="1"/>
        <s v="Economia; Economia Política" u="1"/>
        <s v="Ficção(HQ)" u="1"/>
        <s v="Autobiografia ; Espiritualidade" u="1"/>
        <s v="Direito (Legislação)" u="1"/>
        <s v="Filosofia (Sociologia)" u="1"/>
        <s v="Romance (Contos)" u="1"/>
        <s v="Filosofia (Autobiografia)" u="1"/>
        <s v="Biografia (HQ)" u="1"/>
        <s v=" Biologia ; Filosofia" u="1"/>
        <s v=" Comportamento ; Administração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Organizado por Vanderlei Batista dos Santos" u="1"/>
        <s v="Selma El-Kathib e Luiz Cesar Pinto Ribeiro (coord)" u="1"/>
        <s v="Organização de Daniel Aarão Reis" u="1"/>
        <s v="Clarice Lispector ; Organização de Benjamin Moser" u="1"/>
        <s v="Organizado por Fabio Giambiagi, José Guilherme Reis e André Urani" u="1"/>
        <s v="Organização de Carl G. Jung" u="1"/>
        <s v=" Fabio Giambiagi, José Guilherme Reis e André Urani (org)" u="1"/>
        <s v="Coordenação de Luzia Sigoli Fernandes Costa" u="1"/>
        <s v="Organizado por Jesus Ruescas" u="1"/>
        <s v="Coordenado por Selma El-Kathib e Luiz Cesar Pinto Ribeiro" u="1"/>
        <s v=" Antônio Carlos [Espírito] ;  Psicografado por Vera Lúcia Marinzeck de Carvalho" u="1"/>
        <s v="Arthu Schopenhauer" u="1"/>
        <s v="Friedrich Wilhelm Nietzsche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abD_An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2">
      <pivotArea dataOnly="0" labelOnly="1" outline="0" fieldPosition="0">
        <references count="1">
          <reference field="6" count="0"/>
        </references>
      </pivotArea>
    </format>
    <format dxfId="1">
      <pivotArea dataOnly="0" labelOnly="1" outline="0" axis="axisValues" fieldPosition="0"/>
    </format>
    <format dxfId="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abD_Assunt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4"/>
        <item x="7"/>
        <item m="1" x="74"/>
        <item x="9"/>
        <item m="1" x="75"/>
        <item m="1" x="56"/>
        <item x="5"/>
        <item m="1" x="67"/>
        <item m="1" x="68"/>
        <item m="1" x="72"/>
        <item x="13"/>
        <item m="1" x="49"/>
        <item m="1" x="71"/>
        <item m="1" x="66"/>
        <item m="1" x="55"/>
        <item m="1" x="51"/>
        <item m="1" x="73"/>
        <item x="2"/>
        <item m="1" x="78"/>
        <item m="1" x="76"/>
        <item x="16"/>
        <item x="8"/>
        <item x="1"/>
        <item x="6"/>
        <item x="12"/>
        <item m="1" x="70"/>
        <item m="1" x="62"/>
        <item x="10"/>
        <item m="1" x="48"/>
        <item m="1" x="58"/>
        <item m="1" x="79"/>
        <item m="1" x="61"/>
        <item m="1" x="57"/>
        <item m="1" x="77"/>
        <item m="1" x="81"/>
        <item x="22"/>
        <item x="23"/>
        <item x="24"/>
        <item x="25"/>
        <item x="19"/>
        <item m="1" x="64"/>
        <item x="26"/>
        <item m="1" x="80"/>
        <item x="27"/>
        <item x="28"/>
        <item m="1" x="63"/>
        <item m="1" x="52"/>
        <item m="1" x="53"/>
        <item x="0"/>
        <item m="1" x="59"/>
        <item m="1" x="69"/>
        <item x="30"/>
        <item x="31"/>
        <item x="3"/>
        <item x="11"/>
        <item x="14"/>
        <item x="15"/>
        <item x="17"/>
        <item x="18"/>
        <item x="20"/>
        <item x="21"/>
        <item m="1" x="60"/>
        <item m="1" x="5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abD_País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abD_Cole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3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abD_Autor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40"/>
        <item m="1" x="136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41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3"/>
        <item x="84"/>
        <item m="1" x="137"/>
        <item m="1" x="139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42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2"/>
        <item m="1" x="134"/>
        <item m="1" x="138"/>
        <item m="1" x="130"/>
        <item x="121"/>
        <item x="13"/>
        <item x="70"/>
        <item x="46"/>
        <item x="124"/>
        <item x="23"/>
        <item x="19"/>
        <item x="0"/>
        <item m="1" x="131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abD_Classificação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abD_Editora" cacheId="0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abD_Idioma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Extensão" xr10:uid="{3AC6B248-8212-4FB3-96D7-787C449F1FFD}" sourceName="Extensão">
  <pivotTables>
    <pivotTable tabId="3" name="tabD_Assunto"/>
    <pivotTable tabId="3" name="tabD_Ano"/>
    <pivotTable tabId="3" name="tabD_Autor"/>
    <pivotTable tabId="3" name="tabD_Coleção"/>
    <pivotTable tabId="3" name="tabD_Editora"/>
    <pivotTable tabId="3" name="tabD_Idioma"/>
    <pivotTable tabId="3" name="tab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IDIOMA" xr10:uid="{59D6D422-D260-4892-A8D4-AA281DC0E3D2}" sourceName="IDIOMA">
  <pivotTables>
    <pivotTable tabId="3" name="tabD_Editora"/>
    <pivotTable tabId="3" name="tabD_Ano"/>
    <pivotTable tabId="3" name="tabD_Assunto"/>
    <pivotTable tabId="3" name="tabD_Autor"/>
    <pivotTable tabId="3" name="tabD_Classificação"/>
    <pivotTable tabId="3" name="tabD_Coleção"/>
    <pivotTable tabId="3" name="tab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PAÍS_DA_OBRA_ORIGINAL" xr10:uid="{D9F1D422-B957-4233-9CE3-C5C0505A15E0}" sourceName="PAÍS DA OBRA ORIGINAL">
  <pivotTables>
    <pivotTable tabId="3" name="tabD_Editora"/>
    <pivotTable tabId="3" name="tabD_Ano"/>
    <pivotTable tabId="3" name="tabD_Assunto"/>
    <pivotTable tabId="3" name="tabD_Autor"/>
    <pivotTable tabId="3" name="tabD_Classificação"/>
    <pivotTable tabId="3" name="tabD_Coleção"/>
    <pivotTable tabId="3" name="tab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_ANO" xr10:uid="{F940566E-927E-4F6D-8EA6-2A450D5B66E8}" sourceName="ANO">
  <pivotTables>
    <pivotTable tabId="3" name="tabD_Assunto"/>
    <pivotTable tabId="3" name="tabD_Autor"/>
    <pivotTable tabId="3" name="tabD_Classificação"/>
    <pivotTable tabId="3" name="tabD_Coleção"/>
    <pivotTable tabId="3" name="tabD_Editora"/>
    <pivotTable tabId="3" name="tabD_Idioma"/>
    <pivotTable tabId="3" name="tab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_Extensão" caption="EXTENSÃO" showCaption="0" style="SlicerStyleLight1 2" rowHeight="241300"/>
  <slicer name="IDIOMA" xr10:uid="{F08CBCA9-5A89-4F9A-8EDD-33011283F20B}" cache="seg_IDIOMA" caption="IDIOMA" showCaption="0" style="SlicerStyleLight1 2" rowHeight="241300"/>
  <slicer name="PAÍS DA OBRA ORIGINAL" xr10:uid="{F3A665DD-B255-4720-A11D-2D0EC7C31C61}" cache="seg_PAÍS_DA_OBRA_ORIGINAL" caption="PAÍS" showCaption="0" style="SlicerStyleLight1 2" rowHeight="241300"/>
  <slicer name="ANO" xr10:uid="{4F3EDC28-3A71-4E53-AAF4-EC3194DF5DF3}" cache="seg_ANO" caption="ANO" startItem="24" showCaption="0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36" dataDxfId="34" headerRowBorderDxfId="35" tableBorderDxfId="33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32" totalsRowDxfId="31"/>
    <tableColumn id="2" xr3:uid="{F69C6FEC-2424-4E51-A50E-61B0D1FC308D}" name="ASSUNTO" dataDxfId="30" totalsRowDxfId="29"/>
    <tableColumn id="3" xr3:uid="{10CF6132-4477-44D3-A734-D359F9710DDE}" name="AUTOR" dataDxfId="28" totalsRowDxfId="27"/>
    <tableColumn id="4" xr3:uid="{D3D0472B-751A-4551-A42E-496660A3C6EA}" name="EDIÇÃO" dataDxfId="26" totalsRowDxfId="25"/>
    <tableColumn id="5" xr3:uid="{3DAD1955-B407-42D9-A940-F4F4B78C11E7}" name="VOLUME" dataDxfId="24" totalsRowDxfId="23"/>
    <tableColumn id="6" xr3:uid="{36232F8B-9CBE-46A3-9E57-B8BB77DE3416}" name="EDITORA" dataDxfId="22" totalsRowDxfId="21"/>
    <tableColumn id="7" xr3:uid="{7835AD41-5487-4DE6-B5D6-9DD62684E009}" name="ANO" dataDxfId="20"/>
    <tableColumn id="8" xr3:uid="{E138D237-6C52-440A-8C15-FD6C5DFD8276}" name="COLEÇÃO" dataDxfId="19" totalsRowDxfId="18"/>
    <tableColumn id="9" xr3:uid="{D240AC32-30E6-4B7E-944E-600BDE74253F}" name="IDIOMA" dataDxfId="17" totalsRowDxfId="16"/>
    <tableColumn id="10" xr3:uid="{8BB00431-BC04-4A9F-A097-A8A2BF70E37D}" name="PÁGINAS" dataDxfId="15" totalsRowDxfId="14"/>
    <tableColumn id="11" xr3:uid="{6A7BF096-545E-40B8-80BC-4CA4B3081D9E}" name="CDD" dataDxfId="13" totalsRowDxfId="12"/>
    <tableColumn id="13" xr3:uid="{55B8682F-C610-421D-A738-DBB4214713BB}" name="CUTTER" dataDxfId="11" totalsRowDxfId="10"/>
    <tableColumn id="15" xr3:uid="{B2F45359-CCCA-4DB1-AEAF-4834080124BA}" name="PAÍS DA OBRA ORIGINAL" dataDxfId="9" totalsRowDxfId="8"/>
    <tableColumn id="14" xr3:uid="{3EDAB3FB-9195-4238-A6C4-492A4E2521F6}" name="Extensão" dataDxfId="7" totalsRowDxfId="6">
      <calculatedColumnFormula>IF(J3&gt;700, "Muito Longo", IF(J3&gt;=600, "Longo", IF(J3&gt;=250, "Médio", "Curto")))</calculatedColumnFormula>
    </tableColumn>
    <tableColumn id="12" xr3:uid="{44C1E41B-667E-4F7E-8C9C-ED8558DF1C55}" name="ID" dataDxfId="5" totalsRowDxfId="4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1:AC42"/>
  <sheetViews>
    <sheetView showGridLines="0" tabSelected="1" topLeftCell="A22" zoomScaleNormal="100" workbookViewId="0">
      <selection activeCell="M59" sqref="M59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1" spans="1:29" x14ac:dyDescent="0.25">
      <c r="A1" s="128"/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  <c r="V1" s="129"/>
      <c r="W1" s="129"/>
      <c r="X1" s="129"/>
      <c r="Y1" s="129"/>
      <c r="Z1" s="130"/>
    </row>
    <row r="2" spans="1:29" ht="22.5" x14ac:dyDescent="0.45">
      <c r="A2" s="111"/>
      <c r="B2" s="153" t="s">
        <v>749</v>
      </c>
      <c r="C2" s="153"/>
      <c r="D2" s="153"/>
      <c r="E2" s="153"/>
      <c r="F2" s="153"/>
      <c r="G2" s="153"/>
      <c r="H2" s="153"/>
      <c r="I2" s="153"/>
      <c r="J2" s="154"/>
      <c r="K2" s="188" t="s">
        <v>746</v>
      </c>
      <c r="L2" s="188"/>
      <c r="M2" s="188"/>
      <c r="N2" s="188"/>
      <c r="O2" s="188"/>
      <c r="P2" s="188"/>
      <c r="Q2" s="188"/>
      <c r="R2" s="111"/>
      <c r="S2" s="186" t="s">
        <v>744</v>
      </c>
      <c r="T2" s="187"/>
      <c r="U2" s="187"/>
      <c r="V2" s="187"/>
      <c r="W2" s="187"/>
      <c r="X2" s="187"/>
      <c r="Y2" s="187"/>
      <c r="Z2" s="101"/>
      <c r="AA2" s="96"/>
      <c r="AB2" s="96"/>
      <c r="AC2" s="96"/>
    </row>
    <row r="3" spans="1:29" ht="28.5" x14ac:dyDescent="0.45">
      <c r="A3" s="131"/>
      <c r="B3" s="115"/>
      <c r="C3" s="116"/>
      <c r="D3" s="116"/>
      <c r="E3" s="116"/>
      <c r="F3" s="116"/>
      <c r="G3" s="116"/>
      <c r="H3" s="116"/>
      <c r="I3" s="116"/>
      <c r="J3" s="117"/>
      <c r="K3" s="50"/>
      <c r="L3" s="50"/>
      <c r="M3" s="78"/>
      <c r="N3" s="78"/>
      <c r="O3" s="78"/>
      <c r="P3" s="79"/>
      <c r="Q3" s="79"/>
      <c r="R3" s="111"/>
      <c r="S3" s="189" t="s">
        <v>745</v>
      </c>
      <c r="T3" s="190"/>
      <c r="U3" s="190"/>
      <c r="V3" s="190"/>
      <c r="W3" s="190"/>
      <c r="X3" s="190"/>
      <c r="Y3" s="191"/>
      <c r="Z3" s="101"/>
      <c r="AA3" s="95"/>
      <c r="AB3" s="155"/>
      <c r="AC3" s="155"/>
    </row>
    <row r="4" spans="1:29" ht="18.75" customHeight="1" x14ac:dyDescent="0.3">
      <c r="A4" s="132"/>
      <c r="B4" s="118"/>
      <c r="C4" s="146">
        <f ca="1">IFERROR(SUM(OFFSET('Tabelas Dinâmicas'!$B$4,0,0,COUNTA('Tabelas Dinâmicas'!$B$4:$B$5000),1)), "-")</f>
        <v>156</v>
      </c>
      <c r="D4" s="49"/>
      <c r="E4" s="49"/>
      <c r="F4" s="146">
        <f ca="1">IFERROR(COUNTA(bd_Autor),"-")</f>
        <v>129</v>
      </c>
      <c r="G4" s="49"/>
      <c r="H4" s="49"/>
      <c r="I4" s="146">
        <f ca="1">IFERROR(COUNTA(bd_Editora),"-")</f>
        <v>89</v>
      </c>
      <c r="J4" s="57"/>
      <c r="K4" s="51"/>
      <c r="L4" s="74"/>
      <c r="M4" s="74"/>
      <c r="N4" s="50"/>
      <c r="O4" s="80"/>
      <c r="P4" s="80"/>
      <c r="Q4" s="80"/>
      <c r="R4" s="111"/>
      <c r="S4" s="107" t="s">
        <v>697</v>
      </c>
      <c r="T4" s="192" t="s">
        <v>152</v>
      </c>
      <c r="U4" s="193"/>
      <c r="V4" s="193"/>
      <c r="W4" s="193"/>
      <c r="X4" s="193"/>
      <c r="Y4" s="194"/>
      <c r="Z4" s="101"/>
      <c r="AA4" s="15"/>
      <c r="AB4" s="15"/>
      <c r="AC4" s="15"/>
    </row>
    <row r="5" spans="1:29" ht="15.75" customHeight="1" x14ac:dyDescent="0.25">
      <c r="A5" s="133"/>
      <c r="B5" s="118"/>
      <c r="C5" s="146"/>
      <c r="D5" s="49"/>
      <c r="E5" s="49"/>
      <c r="F5" s="146"/>
      <c r="G5" s="49"/>
      <c r="H5" s="49"/>
      <c r="I5" s="146"/>
      <c r="J5" s="57"/>
      <c r="K5" s="73"/>
      <c r="L5" s="51"/>
      <c r="M5" s="51"/>
      <c r="N5" s="51"/>
      <c r="O5" s="51"/>
      <c r="P5" s="51"/>
      <c r="Q5" s="75"/>
      <c r="R5" s="111"/>
      <c r="S5" s="108"/>
      <c r="T5" s="87"/>
      <c r="U5" s="88"/>
      <c r="V5" s="88"/>
      <c r="W5" s="88"/>
      <c r="X5" s="88"/>
      <c r="Y5" s="102"/>
      <c r="Z5" s="101"/>
      <c r="AA5" s="15"/>
      <c r="AB5" s="15"/>
      <c r="AC5" s="15"/>
    </row>
    <row r="6" spans="1:29" ht="19.5" x14ac:dyDescent="0.4">
      <c r="A6" s="133"/>
      <c r="B6" s="118"/>
      <c r="C6" s="146"/>
      <c r="D6" s="49"/>
      <c r="E6" s="49"/>
      <c r="F6" s="146"/>
      <c r="G6" s="49"/>
      <c r="H6" s="49"/>
      <c r="I6" s="146"/>
      <c r="J6" s="57"/>
      <c r="K6" s="198" t="s">
        <v>731</v>
      </c>
      <c r="L6" s="199"/>
      <c r="M6" s="199"/>
      <c r="N6" s="199"/>
      <c r="O6" s="199"/>
      <c r="P6" s="199"/>
      <c r="Q6" s="199"/>
      <c r="R6" s="111"/>
      <c r="S6" s="109" t="s">
        <v>1</v>
      </c>
      <c r="T6" s="195" t="str">
        <f>VLOOKUP($T$4,bd_Main[],2,FALSE)</f>
        <v>Mangá</v>
      </c>
      <c r="U6" s="196"/>
      <c r="V6" s="196"/>
      <c r="W6" s="196"/>
      <c r="X6" s="196"/>
      <c r="Y6" s="197"/>
      <c r="Z6" s="101"/>
      <c r="AA6" s="15"/>
      <c r="AB6" s="15"/>
      <c r="AC6" s="15"/>
    </row>
    <row r="7" spans="1:29" ht="15.75" x14ac:dyDescent="0.25">
      <c r="A7" s="133"/>
      <c r="B7" s="119"/>
      <c r="C7" s="120"/>
      <c r="D7" s="120"/>
      <c r="E7" s="120"/>
      <c r="F7" s="120"/>
      <c r="G7" s="120"/>
      <c r="H7" s="120"/>
      <c r="I7" s="120"/>
      <c r="J7" s="58"/>
      <c r="K7" s="73"/>
      <c r="L7" s="73"/>
      <c r="M7" s="73"/>
      <c r="N7" s="50"/>
      <c r="O7" s="51"/>
      <c r="P7" s="51"/>
      <c r="Q7" s="75"/>
      <c r="R7" s="111"/>
      <c r="S7" s="109" t="s">
        <v>2</v>
      </c>
      <c r="T7" s="180" t="str">
        <f>VLOOKUP($T$4,bd_Main[],3,FALSE)</f>
        <v>Rumiko Takahashi</v>
      </c>
      <c r="U7" s="181"/>
      <c r="V7" s="181"/>
      <c r="W7" s="181"/>
      <c r="X7" s="181"/>
      <c r="Y7" s="182"/>
      <c r="Z7" s="101"/>
      <c r="AA7" s="15"/>
      <c r="AB7" s="15"/>
      <c r="AC7" s="15"/>
    </row>
    <row r="8" spans="1:29" ht="15.75" x14ac:dyDescent="0.25">
      <c r="A8" s="134"/>
      <c r="B8" s="119"/>
      <c r="C8" s="120"/>
      <c r="D8" s="120"/>
      <c r="E8" s="120"/>
      <c r="F8" s="120"/>
      <c r="G8" s="120"/>
      <c r="H8" s="120"/>
      <c r="I8" s="120"/>
      <c r="J8" s="58"/>
      <c r="K8" s="73"/>
      <c r="L8" s="74"/>
      <c r="M8" s="74"/>
      <c r="N8" s="50"/>
      <c r="O8" s="75"/>
      <c r="P8" s="75"/>
      <c r="Q8" s="75"/>
      <c r="R8" s="111"/>
      <c r="S8" s="109" t="s">
        <v>3</v>
      </c>
      <c r="T8" s="180" t="str">
        <f>VLOOKUP($T$4,bd_Main[],4,FALSE)</f>
        <v>n / a</v>
      </c>
      <c r="U8" s="181"/>
      <c r="V8" s="181"/>
      <c r="W8" s="181"/>
      <c r="X8" s="181"/>
      <c r="Y8" s="182"/>
      <c r="Z8" s="101"/>
      <c r="AA8" s="15"/>
      <c r="AB8" s="15"/>
      <c r="AC8" s="15"/>
    </row>
    <row r="9" spans="1:29" ht="15.75" x14ac:dyDescent="0.25">
      <c r="A9" s="111"/>
      <c r="B9" s="54"/>
      <c r="C9" s="54"/>
      <c r="D9" s="54"/>
      <c r="E9" s="54"/>
      <c r="F9" s="54"/>
      <c r="G9" s="54"/>
      <c r="H9" s="54"/>
      <c r="I9" s="54"/>
      <c r="J9" s="55"/>
      <c r="K9" s="74"/>
      <c r="L9" s="76"/>
      <c r="M9" s="73"/>
      <c r="N9" s="74"/>
      <c r="O9" s="51"/>
      <c r="P9" s="51"/>
      <c r="Q9" s="103"/>
      <c r="R9" s="111"/>
      <c r="S9" s="109" t="s">
        <v>4</v>
      </c>
      <c r="T9" s="180">
        <f>VLOOKUP($T$4,bd_Main[],5,FALSE)</f>
        <v>10</v>
      </c>
      <c r="U9" s="181"/>
      <c r="V9" s="181"/>
      <c r="W9" s="181"/>
      <c r="X9" s="181"/>
      <c r="Y9" s="182"/>
      <c r="Z9" s="101"/>
      <c r="AA9" s="15"/>
      <c r="AB9" s="15"/>
      <c r="AC9" s="15"/>
    </row>
    <row r="10" spans="1:29" ht="15.75" x14ac:dyDescent="0.25">
      <c r="A10" s="111"/>
      <c r="B10" s="56"/>
      <c r="C10" s="56"/>
      <c r="D10" s="56"/>
      <c r="E10" s="56"/>
      <c r="F10" s="121"/>
      <c r="G10" s="56"/>
      <c r="H10" s="56"/>
      <c r="I10" s="54"/>
      <c r="J10" s="55"/>
      <c r="K10" s="77"/>
      <c r="L10" s="77"/>
      <c r="M10" s="77"/>
      <c r="N10" s="77"/>
      <c r="O10" s="77"/>
      <c r="P10" s="77"/>
      <c r="Q10" s="77"/>
      <c r="R10" s="111"/>
      <c r="S10" s="109" t="s">
        <v>5</v>
      </c>
      <c r="T10" s="180" t="str">
        <f>VLOOKUP($T$4,bd_Main[],6,FALSE)</f>
        <v>JBC</v>
      </c>
      <c r="U10" s="181"/>
      <c r="V10" s="181"/>
      <c r="W10" s="181"/>
      <c r="X10" s="181"/>
      <c r="Y10" s="182"/>
      <c r="Z10" s="101"/>
      <c r="AA10" s="15"/>
      <c r="AB10" s="15"/>
      <c r="AC10" s="15"/>
    </row>
    <row r="11" spans="1:29" ht="18.75" x14ac:dyDescent="0.3">
      <c r="A11" s="135"/>
      <c r="B11" s="97"/>
      <c r="C11" s="97"/>
      <c r="D11" s="97"/>
      <c r="E11" s="97"/>
      <c r="F11" s="97"/>
      <c r="G11" s="97"/>
      <c r="H11" s="97"/>
      <c r="I11" s="100"/>
      <c r="J11" s="98"/>
      <c r="K11" s="99"/>
      <c r="L11" s="99"/>
      <c r="M11" s="99"/>
      <c r="N11" s="99"/>
      <c r="O11" s="99"/>
      <c r="P11" s="99"/>
      <c r="Q11" s="99"/>
      <c r="R11" s="111"/>
      <c r="S11" s="109" t="s">
        <v>6</v>
      </c>
      <c r="T11" s="180" t="str">
        <f>VLOOKUP($T$4,bd_Main[],7,FALSE)</f>
        <v>2003 (?)</v>
      </c>
      <c r="U11" s="181"/>
      <c r="V11" s="181"/>
      <c r="W11" s="181"/>
      <c r="X11" s="181"/>
      <c r="Y11" s="182"/>
      <c r="Z11" s="101"/>
      <c r="AA11" s="15"/>
      <c r="AB11" s="15"/>
      <c r="AC11" s="15"/>
    </row>
    <row r="12" spans="1:29" ht="18.75" x14ac:dyDescent="0.3">
      <c r="A12" s="111"/>
      <c r="B12" s="112"/>
      <c r="C12" s="112"/>
      <c r="D12" s="112"/>
      <c r="E12" s="112"/>
      <c r="F12" s="112"/>
      <c r="G12" s="112"/>
      <c r="H12" s="113"/>
      <c r="I12" s="114" t="s">
        <v>698</v>
      </c>
      <c r="J12" s="172"/>
      <c r="K12" s="173"/>
      <c r="L12" s="173"/>
      <c r="M12" s="173"/>
      <c r="N12" s="173"/>
      <c r="O12" s="173"/>
      <c r="P12" s="174"/>
      <c r="Q12" s="104" t="s">
        <v>698</v>
      </c>
      <c r="R12" s="111"/>
      <c r="S12" s="109" t="s">
        <v>7</v>
      </c>
      <c r="T12" s="180" t="str">
        <f>VLOOKUP($T$4,bd_Main[],8,FALSE)</f>
        <v>n / a</v>
      </c>
      <c r="U12" s="181"/>
      <c r="V12" s="181"/>
      <c r="W12" s="181"/>
      <c r="X12" s="181"/>
      <c r="Y12" s="182"/>
      <c r="Z12" s="101"/>
      <c r="AA12" s="15"/>
      <c r="AB12" s="15"/>
      <c r="AC12" s="15"/>
    </row>
    <row r="13" spans="1:29" ht="15.75" x14ac:dyDescent="0.25">
      <c r="A13" s="111"/>
      <c r="B13" s="142" t="s">
        <v>699</v>
      </c>
      <c r="C13" s="143"/>
      <c r="D13" s="147" t="str">
        <f ca="1">IFERROR(INDEX(td_Assunto, MATCH(I13,'Tabelas Dinâmicas'!$B$4:$B$5000,0),1),"-")</f>
        <v>Romance</v>
      </c>
      <c r="E13" s="148"/>
      <c r="F13" s="148"/>
      <c r="G13" s="148"/>
      <c r="H13" s="149"/>
      <c r="I13" s="52">
        <f ca="1">LARGE(OFFSET('Tabelas Dinâmicas'!$B$4,0,0,COUNTA(bd_Assunto),1),1)</f>
        <v>28</v>
      </c>
      <c r="J13" s="156" t="s">
        <v>700</v>
      </c>
      <c r="K13" s="157"/>
      <c r="L13" s="164" t="str">
        <f ca="1">IFERROR(INDEX(td_Assunto, MATCH(Q13,'Tabelas Dinâmicas'!$B$4:$B$5000,1),1),"-")</f>
        <v>Legislação</v>
      </c>
      <c r="M13" s="165"/>
      <c r="N13" s="165"/>
      <c r="O13" s="165"/>
      <c r="P13" s="166"/>
      <c r="Q13" s="105">
        <f ca="1">SMALL(OFFSET('Tabelas Dinâmicas'!$B$4,0,0,COUNTA(bd_Autor),1),1)</f>
        <v>1</v>
      </c>
      <c r="R13" s="111"/>
      <c r="S13" s="109" t="s">
        <v>8</v>
      </c>
      <c r="T13" s="183" t="str">
        <f>VLOOKUP($T$4,bd_Main[],9,FALSE)</f>
        <v>Português</v>
      </c>
      <c r="U13" s="184"/>
      <c r="V13" s="184"/>
      <c r="W13" s="184"/>
      <c r="X13" s="184"/>
      <c r="Y13" s="185"/>
      <c r="Z13" s="101"/>
      <c r="AA13" s="15"/>
      <c r="AB13" s="15"/>
      <c r="AC13" s="15"/>
    </row>
    <row r="14" spans="1:29" ht="15.75" x14ac:dyDescent="0.25">
      <c r="A14" s="111"/>
      <c r="B14" s="142" t="s">
        <v>701</v>
      </c>
      <c r="C14" s="143"/>
      <c r="D14" s="147" t="str">
        <f ca="1">IFERROR(INDEX(td_Autor, MATCH(I14,'Tabelas Dinâmicas'!$E$4:$E$5000,0),1),"-")</f>
        <v>Selma El-Kathib e Luiz Cesar Pinto Ribeiro (coord.)</v>
      </c>
      <c r="E14" s="148"/>
      <c r="F14" s="148"/>
      <c r="G14" s="148"/>
      <c r="H14" s="149"/>
      <c r="I14" s="52">
        <f ca="1">LARGE(OFFSET('Tabelas Dinâmicas'!$E$4,0,0,COUNTA(bd_Autor),1),1)</f>
        <v>4</v>
      </c>
      <c r="J14" s="156" t="s">
        <v>702</v>
      </c>
      <c r="K14" s="157"/>
      <c r="L14" s="164" t="str">
        <f ca="1">IFERROR(INDEX(td_Autor, MATCH(Q14,'Tabelas Dinâmicas'!$E$4:$E$5001,1),1),"-")</f>
        <v>Jesus Ruescas (org)</v>
      </c>
      <c r="M14" s="165"/>
      <c r="N14" s="165"/>
      <c r="O14" s="165"/>
      <c r="P14" s="166"/>
      <c r="Q14" s="105">
        <f ca="1">SMALL(OFFSET('Tabelas Dinâmicas'!$E$4,0,0,COUNTA(bd_Autor),1),1)</f>
        <v>1</v>
      </c>
      <c r="R14" s="111"/>
      <c r="S14" s="109" t="s">
        <v>9</v>
      </c>
      <c r="T14" s="180">
        <f>VLOOKUP($T$4,bd_Main[],10,FALSE)</f>
        <v>100</v>
      </c>
      <c r="U14" s="181"/>
      <c r="V14" s="181"/>
      <c r="W14" s="181"/>
      <c r="X14" s="181"/>
      <c r="Y14" s="182"/>
      <c r="Z14" s="101"/>
      <c r="AA14" s="15"/>
      <c r="AB14" s="15"/>
      <c r="AC14" s="15"/>
    </row>
    <row r="15" spans="1:29" ht="15.75" x14ac:dyDescent="0.25">
      <c r="A15" s="111"/>
      <c r="B15" s="142" t="s">
        <v>703</v>
      </c>
      <c r="C15" s="143"/>
      <c r="D15" s="147" t="str">
        <f ca="1">IFERROR(INDEX(td_Idioma, MATCH(I15,'Tabelas Dinâmicas'!$K$4:$K$5000,0),1),"-")</f>
        <v>Português</v>
      </c>
      <c r="E15" s="148"/>
      <c r="F15" s="148"/>
      <c r="G15" s="148"/>
      <c r="H15" s="149"/>
      <c r="I15" s="52">
        <f ca="1">LARGE(OFFSET('Tabelas Dinâmicas'!$K$4,0,0,COUNTA(bd_Autores),1),1)</f>
        <v>132</v>
      </c>
      <c r="J15" s="156" t="s">
        <v>704</v>
      </c>
      <c r="K15" s="157"/>
      <c r="L15" s="164" t="str">
        <f ca="1">IFERROR(INDEX(td_Idioma, MATCH(Q15,'Tabelas Dinâmicas'!$K$4:$K$4000,0),1),"-")</f>
        <v>Alemão ; Português</v>
      </c>
      <c r="M15" s="165"/>
      <c r="N15" s="165"/>
      <c r="O15" s="165"/>
      <c r="P15" s="166"/>
      <c r="Q15" s="105">
        <f ca="1">SMALL(OFFSET('Tabelas Dinâmicas'!$K$4,0,0,COUNTA(bd_Idioma),1),1)</f>
        <v>1</v>
      </c>
      <c r="R15" s="111"/>
      <c r="S15" s="109" t="s">
        <v>10</v>
      </c>
      <c r="T15" s="180">
        <f>VLOOKUP($T$4,bd_Main[],11,FALSE)</f>
        <v>0</v>
      </c>
      <c r="U15" s="181"/>
      <c r="V15" s="181"/>
      <c r="W15" s="181"/>
      <c r="X15" s="181"/>
      <c r="Y15" s="182"/>
      <c r="Z15" s="101"/>
      <c r="AA15" s="15"/>
      <c r="AB15" s="15"/>
      <c r="AC15" s="15"/>
    </row>
    <row r="16" spans="1:29" ht="15.75" x14ac:dyDescent="0.25">
      <c r="A16" s="111"/>
      <c r="B16" s="142" t="s">
        <v>705</v>
      </c>
      <c r="C16" s="143"/>
      <c r="D16" s="147" t="str">
        <f ca="1">IFERROR(INDEX(td_Editora, MATCH(I16,'Tabelas Dinâmicas'!$H$4:$H$5000,0),1),"-")</f>
        <v>L&amp;PM</v>
      </c>
      <c r="E16" s="148"/>
      <c r="F16" s="148"/>
      <c r="G16" s="148"/>
      <c r="H16" s="149"/>
      <c r="I16" s="52">
        <f ca="1">LARGE(OFFSET('Tabelas Dinâmicas'!$H$4,0,0,COUNTA(bd_Editora),1),1)</f>
        <v>12</v>
      </c>
      <c r="J16" s="156" t="s">
        <v>706</v>
      </c>
      <c r="K16" s="157"/>
      <c r="L16" s="161" t="str">
        <f ca="1">IFERROR(INDEX(td_Editora, MATCH(Q16,'Tabelas Dinâmicas'!$H$4:$H$5000,1),1),"-")</f>
        <v>Da Boa Prosa</v>
      </c>
      <c r="M16" s="162"/>
      <c r="N16" s="162"/>
      <c r="O16" s="162"/>
      <c r="P16" s="163"/>
      <c r="Q16" s="105">
        <f ca="1">SMALL(OFFSET('Tabelas Dinâmicas'!$H$4,0,0,COUNTA(bd_Editora),1),1)</f>
        <v>1</v>
      </c>
      <c r="R16" s="111"/>
      <c r="S16" s="109" t="s">
        <v>11</v>
      </c>
      <c r="T16" s="180" t="str">
        <f>VLOOKUP($T$4,bd_Main[],12,FALSE)</f>
        <v>T136i</v>
      </c>
      <c r="U16" s="181"/>
      <c r="V16" s="181"/>
      <c r="W16" s="181"/>
      <c r="X16" s="181"/>
      <c r="Y16" s="182"/>
      <c r="Z16" s="101"/>
      <c r="AA16" s="15"/>
      <c r="AB16" s="15"/>
      <c r="AC16" s="15"/>
    </row>
    <row r="17" spans="1:29" ht="15.75" x14ac:dyDescent="0.25">
      <c r="A17" s="111"/>
      <c r="B17" s="140" t="s">
        <v>707</v>
      </c>
      <c r="C17" s="141"/>
      <c r="D17" s="147">
        <f ca="1">IFERROR(INDEX(td_Ano, MATCH(I17,'Tabelas Dinâmicas'!$Q$4:$Q$5000,0),1),"-")</f>
        <v>2012</v>
      </c>
      <c r="E17" s="148"/>
      <c r="F17" s="148"/>
      <c r="G17" s="148"/>
      <c r="H17" s="149"/>
      <c r="I17" s="52">
        <f ca="1">LARGE(OFFSET('Tabelas Dinâmicas'!$Q$4,0,0,COUNTA(bd_Ano),1),1)</f>
        <v>14</v>
      </c>
      <c r="J17" s="156" t="s">
        <v>708</v>
      </c>
      <c r="K17" s="157"/>
      <c r="L17" s="158">
        <f ca="1">IFERROR(INDEX(td_Ano, MATCH(Q17,'Tabelas Dinâmicas'!$Q$4:$Q$5000,0),1),"-")</f>
        <v>1982</v>
      </c>
      <c r="M17" s="159"/>
      <c r="N17" s="159"/>
      <c r="O17" s="159"/>
      <c r="P17" s="160"/>
      <c r="Q17" s="105">
        <f ca="1">SMALL(OFFSET('Tabelas Dinâmicas'!$Q$4,0,0,COUNTA(bd_Ano),1),1)</f>
        <v>1</v>
      </c>
      <c r="R17" s="111"/>
      <c r="S17" s="110" t="s">
        <v>713</v>
      </c>
      <c r="T17" s="180" t="str">
        <f>VLOOKUP($T$4,bd_Main[],13,FALSE)</f>
        <v>Japão</v>
      </c>
      <c r="U17" s="181"/>
      <c r="V17" s="181"/>
      <c r="W17" s="181"/>
      <c r="X17" s="181"/>
      <c r="Y17" s="182"/>
      <c r="Z17" s="101"/>
      <c r="AA17" s="15"/>
      <c r="AB17" s="15"/>
      <c r="AC17" s="15"/>
    </row>
    <row r="18" spans="1:29" ht="15.75" x14ac:dyDescent="0.25">
      <c r="A18" s="111"/>
      <c r="B18" s="142" t="s">
        <v>709</v>
      </c>
      <c r="C18" s="143"/>
      <c r="D18" s="147" t="str">
        <f ca="1">IFERROR(INDEX(td_País, MATCH(I18,'Tabelas Dinâmicas'!$N$4:$N$5000,0),1),"-")</f>
        <v>Brasil</v>
      </c>
      <c r="E18" s="148"/>
      <c r="F18" s="148"/>
      <c r="G18" s="148"/>
      <c r="H18" s="149"/>
      <c r="I18" s="52">
        <f ca="1">LARGE(OFFSET('Tabelas Dinâmicas'!$N$4,0,0,COUNTA(bd_País),1),1)</f>
        <v>59</v>
      </c>
      <c r="J18" s="175" t="s">
        <v>710</v>
      </c>
      <c r="K18" s="176"/>
      <c r="L18" s="177" t="str">
        <f ca="1">IFERROR(INDEX(td_País, MATCH(Q18,'Tabelas Dinâmicas'!$N$4:$N$5000,1),1),"-")</f>
        <v>Grécia</v>
      </c>
      <c r="M18" s="178"/>
      <c r="N18" s="178"/>
      <c r="O18" s="178"/>
      <c r="P18" s="179"/>
      <c r="Q18" s="105">
        <f ca="1">SMALL(OFFSET('Tabelas Dinâmicas'!$N$4,0,0,COUNTA(bd_País),1),1)</f>
        <v>1</v>
      </c>
      <c r="R18" s="111"/>
      <c r="S18" s="110" t="s">
        <v>747</v>
      </c>
      <c r="T18" s="180" t="str">
        <f>VLOOKUP($T$4,bd_Main[],14,FALSE)</f>
        <v>Curto</v>
      </c>
      <c r="U18" s="181"/>
      <c r="V18" s="181"/>
      <c r="W18" s="181"/>
      <c r="X18" s="181"/>
      <c r="Y18" s="182"/>
      <c r="Z18" s="101"/>
      <c r="AA18" s="15"/>
      <c r="AB18" s="15"/>
      <c r="AC18" s="15"/>
    </row>
    <row r="19" spans="1:29" ht="15.75" x14ac:dyDescent="0.25">
      <c r="A19" s="111"/>
      <c r="B19" s="144" t="s">
        <v>711</v>
      </c>
      <c r="C19" s="145"/>
      <c r="D19" s="150" t="str">
        <f ca="1">IFERROR(IF('Tabelas Dinâmicas'!S4= "n / a", INDEX(td_Coleção, MATCH(I19,'Tabelas Dinâmicas'!$T$4:$T$5000,0),1), 'Tabelas Dinâmicas'!S5),"-")</f>
        <v>L&amp;PM Pocket</v>
      </c>
      <c r="E19" s="151"/>
      <c r="F19" s="151"/>
      <c r="G19" s="151"/>
      <c r="H19" s="152"/>
      <c r="I19" s="53">
        <f ca="1">IFERROR(IF('Tabelas Dinâmicas'!$S$4= "n / a", LARGE(OFFSET('Tabelas Dinâmicas'!$T$4,0,0,COUNTA(bd_Coleção),1),2),LARGE(OFFSET('Tabelas Dinâmicas'!$T$4,0,0,COUNTA(bd_Coleção),1),1)),"-")</f>
        <v>13</v>
      </c>
      <c r="J19" s="167" t="s">
        <v>712</v>
      </c>
      <c r="K19" s="168"/>
      <c r="L19" s="169" t="str">
        <f ca="1">IFERROR(INDEX(td_Coleção, MATCH(Q19,'Tabelas Dinâmicas'!$T$4:$T$5000,1),1),"-")</f>
        <v>Lecture Facile</v>
      </c>
      <c r="M19" s="170"/>
      <c r="N19" s="170"/>
      <c r="O19" s="170"/>
      <c r="P19" s="171"/>
      <c r="Q19" s="106">
        <f ca="1">SMALL(OFFSET('Tabelas Dinâmicas'!$T$4,0,0,COUNTA(bd_Coleção),1),1)</f>
        <v>1</v>
      </c>
      <c r="R19" s="111"/>
      <c r="S19" s="110" t="s">
        <v>13</v>
      </c>
      <c r="T19" s="180">
        <f>VLOOKUP($T$4,bd_Main[],15,FALSE)</f>
        <v>25</v>
      </c>
      <c r="U19" s="181"/>
      <c r="V19" s="181"/>
      <c r="W19" s="181"/>
      <c r="X19" s="181"/>
      <c r="Y19" s="182"/>
      <c r="Z19" s="101"/>
      <c r="AA19" s="15"/>
      <c r="AB19" s="15"/>
      <c r="AC19" s="15"/>
    </row>
    <row r="20" spans="1:29" x14ac:dyDescent="0.25">
      <c r="A20" s="136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18"/>
      <c r="S20" s="18"/>
      <c r="T20" s="18"/>
      <c r="U20" s="18"/>
      <c r="V20" s="18"/>
      <c r="W20" s="18"/>
      <c r="X20" s="18"/>
      <c r="Y20" s="18"/>
      <c r="Z20" s="137"/>
    </row>
    <row r="21" spans="1:29" x14ac:dyDescent="0.25">
      <c r="A21" s="138"/>
      <c r="B21" s="139"/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90"/>
      <c r="S21" s="90"/>
      <c r="T21" s="90"/>
      <c r="U21" s="90"/>
      <c r="V21" s="90"/>
      <c r="W21" s="90"/>
      <c r="X21" s="90"/>
      <c r="Y21" s="90"/>
      <c r="Z21" s="92"/>
    </row>
    <row r="22" spans="1:29" x14ac:dyDescent="0.25">
      <c r="A22" s="94"/>
      <c r="B22" s="94"/>
      <c r="C22" s="94"/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  <c r="O22" s="94"/>
      <c r="P22" s="94"/>
      <c r="Q22" s="94"/>
    </row>
    <row r="23" spans="1:29" x14ac:dyDescent="0.25">
      <c r="A23" s="94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</row>
    <row r="24" spans="1:29" x14ac:dyDescent="0.25">
      <c r="A24" s="94"/>
      <c r="B24" s="94"/>
      <c r="C24" s="94"/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  <c r="O24" s="94"/>
      <c r="P24" s="94"/>
      <c r="Q24" s="94"/>
    </row>
    <row r="25" spans="1:29" x14ac:dyDescent="0.25">
      <c r="A25" s="94"/>
      <c r="B25" s="94"/>
      <c r="C25" s="94"/>
      <c r="D25" s="94"/>
      <c r="E25" s="94"/>
      <c r="F25" s="94"/>
      <c r="G25" s="94"/>
      <c r="H25" s="94"/>
      <c r="I25" s="94"/>
      <c r="J25" s="94"/>
      <c r="K25" s="94"/>
      <c r="L25" s="94"/>
      <c r="M25" s="94"/>
      <c r="N25" s="94"/>
      <c r="O25" s="94"/>
      <c r="P25" s="94"/>
      <c r="Q25" s="94"/>
    </row>
    <row r="26" spans="1:29" x14ac:dyDescent="0.25">
      <c r="A26" s="94"/>
      <c r="B26" s="94"/>
      <c r="C26" s="94"/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  <c r="O26" s="94"/>
      <c r="P26" s="94"/>
      <c r="Q26" s="94"/>
    </row>
    <row r="27" spans="1:29" x14ac:dyDescent="0.25">
      <c r="A27" s="94"/>
      <c r="B27" s="94"/>
      <c r="C27" s="94"/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</row>
    <row r="28" spans="1:29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</row>
    <row r="29" spans="1:29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</row>
    <row r="30" spans="1:29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</row>
    <row r="31" spans="1:29" x14ac:dyDescent="0.25">
      <c r="A31" s="94"/>
      <c r="B31" s="94"/>
      <c r="C31" s="94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</row>
    <row r="32" spans="1:29" x14ac:dyDescent="0.25">
      <c r="A32" s="94"/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</row>
    <row r="33" spans="1:17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</row>
    <row r="34" spans="1:17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</row>
    <row r="35" spans="1:17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</row>
    <row r="36" spans="1:17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</row>
    <row r="37" spans="1:17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</row>
    <row r="38" spans="1:17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</row>
    <row r="39" spans="1:17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</row>
    <row r="40" spans="1:17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</row>
    <row r="41" spans="1:17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</row>
    <row r="42" spans="1:17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</row>
  </sheetData>
  <mergeCells count="53">
    <mergeCell ref="S2:Y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  <mergeCell ref="T19:Y19"/>
    <mergeCell ref="T9:Y9"/>
    <mergeCell ref="T10:Y10"/>
    <mergeCell ref="T11:Y11"/>
    <mergeCell ref="T12:Y12"/>
    <mergeCell ref="T13:Y13"/>
    <mergeCell ref="J19:K19"/>
    <mergeCell ref="L19:P19"/>
    <mergeCell ref="J12:P12"/>
    <mergeCell ref="J18:K18"/>
    <mergeCell ref="L18:P18"/>
    <mergeCell ref="L13:P13"/>
    <mergeCell ref="J15:K15"/>
    <mergeCell ref="L15:P15"/>
    <mergeCell ref="AB3:AC3"/>
    <mergeCell ref="J17:K17"/>
    <mergeCell ref="L17:P17"/>
    <mergeCell ref="J16:K16"/>
    <mergeCell ref="L16:P16"/>
    <mergeCell ref="J14:K14"/>
    <mergeCell ref="L14:P14"/>
    <mergeCell ref="J13:K13"/>
    <mergeCell ref="B2:J2"/>
    <mergeCell ref="B13:C13"/>
    <mergeCell ref="B14:C14"/>
    <mergeCell ref="B15:C15"/>
    <mergeCell ref="B16:C16"/>
    <mergeCell ref="I4:I6"/>
    <mergeCell ref="D13:H13"/>
    <mergeCell ref="D14:H14"/>
    <mergeCell ref="D15:H15"/>
    <mergeCell ref="D16:H16"/>
    <mergeCell ref="B17:C17"/>
    <mergeCell ref="B18:C18"/>
    <mergeCell ref="B19:C19"/>
    <mergeCell ref="C4:C6"/>
    <mergeCell ref="F4:F6"/>
    <mergeCell ref="D17:H17"/>
    <mergeCell ref="D18:H18"/>
    <mergeCell ref="D19:H19"/>
  </mergeCells>
  <dataValidations count="2"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Dados'!$A$3:$A$5022),1)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2" activePane="bottomLeft" state="frozen"/>
      <selection pane="bottomLeft" activeCell="O1" sqref="O1:Q1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31" t="s">
        <v>695</v>
      </c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3"/>
      <c r="N1" s="16"/>
      <c r="O1" s="245" t="s">
        <v>734</v>
      </c>
      <c r="P1" s="245"/>
      <c r="Q1" s="245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71"/>
      <c r="P2" s="71"/>
      <c r="Q2" s="71"/>
      <c r="R2" s="59"/>
      <c r="S2" s="59"/>
      <c r="T2" s="59"/>
      <c r="U2" s="59"/>
      <c r="V2" s="39"/>
      <c r="W2" s="39"/>
      <c r="X2" s="59"/>
      <c r="Y2" s="59"/>
      <c r="Z2" s="59"/>
      <c r="AA2" s="59"/>
      <c r="AB2" s="59"/>
      <c r="AC2" s="59"/>
      <c r="AD2" s="59"/>
      <c r="AE2" s="59"/>
    </row>
    <row r="3" spans="1:31" ht="18.75" x14ac:dyDescent="0.3">
      <c r="A3" s="219" t="s">
        <v>696</v>
      </c>
      <c r="B3" s="220"/>
      <c r="C3" s="220"/>
      <c r="D3" s="220"/>
      <c r="E3" s="220"/>
      <c r="F3" s="220"/>
      <c r="G3" s="221"/>
      <c r="H3" s="6"/>
      <c r="I3" s="6"/>
      <c r="J3" s="18"/>
      <c r="M3" s="3"/>
      <c r="O3" s="72"/>
      <c r="P3" s="72"/>
      <c r="Q3" s="72"/>
      <c r="R3" s="67"/>
      <c r="S3" s="67"/>
      <c r="T3" s="67"/>
      <c r="U3" s="67"/>
      <c r="V3" s="39"/>
      <c r="W3" s="39"/>
      <c r="X3" s="39"/>
      <c r="Y3" s="39"/>
      <c r="Z3" s="39"/>
      <c r="AA3" s="39"/>
      <c r="AB3" s="59"/>
      <c r="AC3" s="59"/>
      <c r="AD3" s="59"/>
      <c r="AE3" s="59"/>
    </row>
    <row r="4" spans="1:31" ht="19.5" x14ac:dyDescent="0.25">
      <c r="A4" s="27" t="s">
        <v>697</v>
      </c>
      <c r="B4" s="192" t="s">
        <v>14</v>
      </c>
      <c r="C4" s="193"/>
      <c r="D4" s="193"/>
      <c r="E4" s="193"/>
      <c r="F4" s="193"/>
      <c r="G4" s="222"/>
      <c r="H4" s="23"/>
      <c r="I4" s="200" t="s">
        <v>736</v>
      </c>
      <c r="J4" s="201"/>
      <c r="K4" s="201"/>
      <c r="L4" s="202"/>
      <c r="M4" s="31"/>
      <c r="N4" s="30"/>
      <c r="O4" s="64"/>
      <c r="P4" s="64"/>
      <c r="Q4" s="65"/>
      <c r="R4" s="65"/>
      <c r="S4" s="65"/>
      <c r="T4" s="65"/>
      <c r="U4" s="65"/>
      <c r="V4" s="40"/>
      <c r="W4" s="41"/>
      <c r="X4" s="60"/>
      <c r="Y4" s="42"/>
      <c r="Z4" s="42"/>
      <c r="AA4" s="42"/>
      <c r="AB4" s="59"/>
      <c r="AC4" s="59"/>
      <c r="AD4" s="59"/>
      <c r="AE4" s="59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64"/>
      <c r="P5" s="64"/>
      <c r="Q5" s="65"/>
      <c r="R5" s="65"/>
      <c r="S5" s="65"/>
      <c r="T5" s="65"/>
      <c r="U5" s="65"/>
      <c r="V5" s="40"/>
      <c r="W5" s="41"/>
      <c r="X5" s="60"/>
      <c r="Y5" s="42"/>
      <c r="Z5" s="42"/>
      <c r="AA5" s="42"/>
      <c r="AB5" s="59"/>
      <c r="AC5" s="59"/>
      <c r="AD5" s="59"/>
      <c r="AE5" s="59"/>
    </row>
    <row r="6" spans="1:31" ht="15.75" x14ac:dyDescent="0.25">
      <c r="A6" s="36" t="s">
        <v>1</v>
      </c>
      <c r="B6" s="195" t="str">
        <f>VLOOKUP($B$4,bd_Main[],2,FALSE)</f>
        <v>Autobiografia</v>
      </c>
      <c r="C6" s="196"/>
      <c r="D6" s="196"/>
      <c r="E6" s="196"/>
      <c r="F6" s="196"/>
      <c r="G6" s="225"/>
      <c r="H6" s="28"/>
      <c r="I6" s="28"/>
      <c r="J6" s="82"/>
      <c r="K6" s="82"/>
      <c r="L6" s="82"/>
      <c r="M6" s="31"/>
      <c r="N6" s="30"/>
      <c r="O6" s="64"/>
      <c r="P6" s="64"/>
      <c r="Q6" s="65"/>
      <c r="R6" s="65"/>
      <c r="S6" s="65"/>
      <c r="T6" s="65"/>
      <c r="U6" s="65"/>
      <c r="V6" s="40"/>
      <c r="W6" s="41"/>
      <c r="X6" s="60"/>
      <c r="Y6" s="42"/>
      <c r="Z6" s="42"/>
      <c r="AA6" s="42"/>
      <c r="AB6" s="59"/>
      <c r="AC6" s="59"/>
      <c r="AD6" s="59"/>
      <c r="AE6" s="59"/>
    </row>
    <row r="7" spans="1:31" ht="15.75" x14ac:dyDescent="0.25">
      <c r="A7" s="36" t="s">
        <v>2</v>
      </c>
      <c r="B7" s="180" t="str">
        <f>VLOOKUP($B$4,bd_Main[],3,FALSE)</f>
        <v>Santo Agostinho</v>
      </c>
      <c r="C7" s="181"/>
      <c r="D7" s="181"/>
      <c r="E7" s="181"/>
      <c r="F7" s="181"/>
      <c r="G7" s="223"/>
      <c r="H7" s="28"/>
      <c r="I7" s="28"/>
      <c r="J7" s="83"/>
      <c r="K7" s="83"/>
      <c r="L7" s="83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60"/>
      <c r="Y7" s="42"/>
      <c r="Z7" s="45"/>
      <c r="AA7" s="42"/>
      <c r="AB7" s="59"/>
      <c r="AC7" s="59"/>
      <c r="AD7" s="59"/>
      <c r="AE7" s="59"/>
    </row>
    <row r="8" spans="1:31" ht="18.75" x14ac:dyDescent="0.3">
      <c r="A8" s="36" t="s">
        <v>3</v>
      </c>
      <c r="B8" s="180" t="str">
        <f>VLOOKUP($B$4,bd_Main[],4,FALSE)</f>
        <v>1a</v>
      </c>
      <c r="C8" s="181"/>
      <c r="D8" s="181"/>
      <c r="E8" s="181"/>
      <c r="F8" s="181"/>
      <c r="G8" s="223"/>
      <c r="H8" s="28"/>
      <c r="I8" s="28"/>
      <c r="J8" s="84"/>
      <c r="K8" s="84"/>
      <c r="L8" s="84"/>
      <c r="M8" s="31"/>
      <c r="N8" s="30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</row>
    <row r="9" spans="1:31" ht="18.75" x14ac:dyDescent="0.3">
      <c r="A9" s="36" t="s">
        <v>4</v>
      </c>
      <c r="B9" s="180" t="str">
        <f>VLOOKUP($B$4,bd_Main[],5,FALSE)</f>
        <v>n / a</v>
      </c>
      <c r="C9" s="181"/>
      <c r="D9" s="181"/>
      <c r="E9" s="181"/>
      <c r="F9" s="181"/>
      <c r="G9" s="223"/>
      <c r="H9" s="28"/>
      <c r="I9" s="28"/>
      <c r="J9" s="84"/>
      <c r="K9" s="84"/>
      <c r="L9" s="84"/>
      <c r="M9" s="31"/>
      <c r="N9" s="30"/>
      <c r="O9" s="67"/>
      <c r="P9" s="67"/>
      <c r="Q9" s="67"/>
      <c r="R9" s="67"/>
      <c r="S9" s="67"/>
      <c r="T9" s="67"/>
      <c r="U9" s="67"/>
      <c r="V9" s="61"/>
      <c r="W9" s="41"/>
      <c r="X9" s="67"/>
      <c r="Y9" s="67"/>
      <c r="Z9" s="67"/>
      <c r="AA9" s="67"/>
      <c r="AB9" s="67"/>
      <c r="AC9" s="67"/>
      <c r="AD9" s="67"/>
      <c r="AE9" s="61"/>
    </row>
    <row r="10" spans="1:31" ht="17.25" customHeight="1" x14ac:dyDescent="0.25">
      <c r="A10" s="36" t="s">
        <v>5</v>
      </c>
      <c r="B10" s="180" t="str">
        <f>VLOOKUP($B$4,bd_Main[],6,FALSE)</f>
        <v>Paulus</v>
      </c>
      <c r="C10" s="181"/>
      <c r="D10" s="181"/>
      <c r="E10" s="181"/>
      <c r="F10" s="181"/>
      <c r="G10" s="223"/>
      <c r="H10" s="28"/>
      <c r="I10" s="28"/>
      <c r="J10" s="84"/>
      <c r="K10" s="84"/>
      <c r="L10" s="84"/>
      <c r="M10" s="31"/>
      <c r="N10" s="30"/>
      <c r="O10" s="47"/>
      <c r="P10" s="47"/>
      <c r="Q10" s="65"/>
      <c r="R10" s="65"/>
      <c r="S10" s="65"/>
      <c r="T10" s="65"/>
      <c r="U10" s="65"/>
      <c r="V10" s="44"/>
      <c r="W10" s="41"/>
      <c r="X10" s="68"/>
      <c r="Y10" s="68"/>
      <c r="Z10" s="70"/>
      <c r="AA10" s="70"/>
      <c r="AB10" s="70"/>
      <c r="AC10" s="70"/>
      <c r="AD10" s="70"/>
      <c r="AE10" s="44"/>
    </row>
    <row r="11" spans="1:31" ht="17.25" customHeight="1" x14ac:dyDescent="0.25">
      <c r="A11" s="36" t="s">
        <v>6</v>
      </c>
      <c r="B11" s="180">
        <f>VLOOKUP($B$4,bd_Main[],7,FALSE)</f>
        <v>1984</v>
      </c>
      <c r="C11" s="181"/>
      <c r="D11" s="181"/>
      <c r="E11" s="181"/>
      <c r="F11" s="181"/>
      <c r="G11" s="223"/>
      <c r="H11" s="28"/>
      <c r="I11" s="28"/>
      <c r="J11" s="84"/>
      <c r="K11" s="84"/>
      <c r="L11" s="84"/>
      <c r="M11" s="31"/>
      <c r="N11" s="30"/>
      <c r="O11" s="47"/>
      <c r="P11" s="47"/>
      <c r="Q11" s="65"/>
      <c r="R11" s="65"/>
      <c r="S11" s="65"/>
      <c r="T11" s="65"/>
      <c r="U11" s="65"/>
      <c r="V11" s="44"/>
      <c r="W11" s="41"/>
      <c r="X11" s="68"/>
      <c r="Y11" s="68"/>
      <c r="Z11" s="70"/>
      <c r="AA11" s="70"/>
      <c r="AB11" s="70"/>
      <c r="AC11" s="70"/>
      <c r="AD11" s="70"/>
      <c r="AE11" s="44"/>
    </row>
    <row r="12" spans="1:31" ht="15.75" x14ac:dyDescent="0.25">
      <c r="A12" s="36" t="s">
        <v>7</v>
      </c>
      <c r="B12" s="180" t="str">
        <f>VLOOKUP($B$4,bd_Main[],8,FALSE)</f>
        <v>Patrística</v>
      </c>
      <c r="C12" s="181"/>
      <c r="D12" s="181"/>
      <c r="E12" s="181"/>
      <c r="F12" s="181"/>
      <c r="G12" s="223"/>
      <c r="H12" s="28"/>
      <c r="I12" s="28"/>
      <c r="J12" s="85"/>
      <c r="K12" s="85"/>
      <c r="L12" s="85"/>
      <c r="M12" s="31"/>
      <c r="N12" s="30"/>
      <c r="O12" s="47"/>
      <c r="P12" s="47"/>
      <c r="Q12" s="65"/>
      <c r="R12" s="65"/>
      <c r="S12" s="65"/>
      <c r="T12" s="65"/>
      <c r="U12" s="65"/>
      <c r="V12" s="44"/>
      <c r="W12" s="41"/>
      <c r="X12" s="68"/>
      <c r="Y12" s="68"/>
      <c r="Z12" s="70"/>
      <c r="AA12" s="70"/>
      <c r="AB12" s="70"/>
      <c r="AC12" s="70"/>
      <c r="AD12" s="70"/>
      <c r="AE12" s="44"/>
    </row>
    <row r="13" spans="1:31" ht="15.75" x14ac:dyDescent="0.25">
      <c r="A13" s="36" t="s">
        <v>8</v>
      </c>
      <c r="B13" s="183" t="str">
        <f>VLOOKUP($B$4,bd_Main[],9,FALSE)</f>
        <v>Português</v>
      </c>
      <c r="C13" s="184"/>
      <c r="D13" s="184"/>
      <c r="E13" s="184"/>
      <c r="F13" s="184"/>
      <c r="G13" s="224"/>
      <c r="H13" s="28"/>
      <c r="I13" s="28"/>
      <c r="J13" s="29"/>
      <c r="K13" s="29"/>
      <c r="L13" s="29"/>
      <c r="M13" s="31"/>
      <c r="N13" s="30"/>
      <c r="O13" s="47"/>
      <c r="P13" s="47"/>
      <c r="Q13" s="65"/>
      <c r="R13" s="65"/>
      <c r="S13" s="65"/>
      <c r="T13" s="65"/>
      <c r="U13" s="65"/>
      <c r="V13" s="44"/>
      <c r="W13" s="41"/>
      <c r="X13" s="68"/>
      <c r="Y13" s="68"/>
      <c r="Z13" s="45"/>
      <c r="AA13" s="45"/>
      <c r="AB13" s="45"/>
      <c r="AC13" s="45"/>
      <c r="AD13" s="45"/>
      <c r="AE13" s="62"/>
    </row>
    <row r="14" spans="1:31" ht="15.75" x14ac:dyDescent="0.25">
      <c r="A14" s="36" t="s">
        <v>9</v>
      </c>
      <c r="B14" s="180">
        <f>VLOOKUP($B$4,bd_Main[],10,FALSE)</f>
        <v>446</v>
      </c>
      <c r="C14" s="181"/>
      <c r="D14" s="181"/>
      <c r="E14" s="181"/>
      <c r="F14" s="181"/>
      <c r="G14" s="223"/>
      <c r="H14" s="28"/>
      <c r="I14" s="28"/>
      <c r="J14" s="29"/>
      <c r="K14" s="29"/>
      <c r="L14" s="29"/>
      <c r="M14" s="31"/>
      <c r="N14" s="30"/>
      <c r="O14" s="64"/>
      <c r="P14" s="64"/>
      <c r="Q14" s="65"/>
      <c r="R14" s="65"/>
      <c r="S14" s="65"/>
      <c r="T14" s="65"/>
      <c r="U14" s="65"/>
      <c r="V14" s="44"/>
      <c r="W14" s="41"/>
      <c r="X14" s="68"/>
      <c r="Y14" s="68"/>
      <c r="Z14" s="69"/>
      <c r="AA14" s="69"/>
      <c r="AB14" s="69"/>
      <c r="AC14" s="69"/>
      <c r="AD14" s="69"/>
      <c r="AE14" s="62"/>
    </row>
    <row r="15" spans="1:31" ht="15.75" x14ac:dyDescent="0.25">
      <c r="A15" s="36" t="s">
        <v>10</v>
      </c>
      <c r="B15" s="180" t="str">
        <f>VLOOKUP($B$4,bd_Main[],11,FALSE)</f>
        <v>922.22</v>
      </c>
      <c r="C15" s="181"/>
      <c r="D15" s="181"/>
      <c r="E15" s="181"/>
      <c r="F15" s="181"/>
      <c r="G15" s="223"/>
      <c r="H15" s="28"/>
      <c r="I15" s="28"/>
      <c r="J15" s="29"/>
      <c r="K15" s="29"/>
      <c r="L15" s="29"/>
      <c r="M15" s="31"/>
      <c r="N15" s="30"/>
      <c r="O15" s="47"/>
      <c r="P15" s="47"/>
      <c r="Q15" s="65"/>
      <c r="R15" s="65"/>
      <c r="S15" s="65"/>
      <c r="T15" s="65"/>
      <c r="U15" s="65"/>
      <c r="V15" s="44"/>
      <c r="W15" s="41"/>
      <c r="X15" s="68"/>
      <c r="Y15" s="68"/>
      <c r="Z15" s="69"/>
      <c r="AA15" s="69"/>
      <c r="AB15" s="69"/>
      <c r="AC15" s="69"/>
      <c r="AD15" s="69"/>
      <c r="AE15" s="62"/>
    </row>
    <row r="16" spans="1:31" ht="15.75" x14ac:dyDescent="0.25">
      <c r="A16" s="36" t="s">
        <v>11</v>
      </c>
      <c r="B16" s="180" t="str">
        <f>VLOOKUP($B$4,bd_Main[],12,FALSE)</f>
        <v>A221c</v>
      </c>
      <c r="C16" s="181"/>
      <c r="D16" s="181"/>
      <c r="E16" s="181"/>
      <c r="F16" s="181"/>
      <c r="G16" s="223"/>
      <c r="H16" s="28"/>
      <c r="I16" s="28"/>
      <c r="J16" s="29"/>
      <c r="K16" s="29"/>
      <c r="L16" s="29"/>
      <c r="M16" s="31"/>
      <c r="N16" s="30"/>
      <c r="O16" s="64"/>
      <c r="P16" s="64"/>
      <c r="Q16" s="65"/>
      <c r="R16" s="65"/>
      <c r="S16" s="65"/>
      <c r="T16" s="65"/>
      <c r="U16" s="65"/>
      <c r="V16" s="46"/>
      <c r="W16" s="41"/>
      <c r="X16" s="68"/>
      <c r="Y16" s="68"/>
      <c r="Z16" s="69"/>
      <c r="AA16" s="69"/>
      <c r="AB16" s="69"/>
      <c r="AC16" s="69"/>
      <c r="AD16" s="69"/>
      <c r="AE16" s="62"/>
    </row>
    <row r="17" spans="1:31" ht="15.75" x14ac:dyDescent="0.25">
      <c r="A17" s="37" t="s">
        <v>713</v>
      </c>
      <c r="B17" s="180" t="str">
        <f>VLOOKUP($B$4,bd_Main[],13,FALSE)</f>
        <v>Grécia</v>
      </c>
      <c r="C17" s="181"/>
      <c r="D17" s="181"/>
      <c r="E17" s="181"/>
      <c r="F17" s="181"/>
      <c r="G17" s="223"/>
      <c r="H17" s="28"/>
      <c r="I17" s="28"/>
      <c r="J17" s="29"/>
      <c r="K17" s="29"/>
      <c r="L17" s="29"/>
      <c r="M17" s="31"/>
      <c r="N17" s="30"/>
      <c r="O17" s="47"/>
      <c r="P17" s="41"/>
      <c r="Q17" s="41"/>
      <c r="R17" s="41"/>
      <c r="S17" s="41"/>
      <c r="T17" s="41"/>
      <c r="U17" s="41"/>
      <c r="V17" s="41"/>
      <c r="W17" s="41"/>
      <c r="X17" s="60"/>
      <c r="Y17" s="60"/>
      <c r="Z17" s="60"/>
      <c r="AA17" s="60"/>
      <c r="AB17" s="59"/>
      <c r="AC17" s="59"/>
      <c r="AD17" s="59"/>
      <c r="AE17" s="59"/>
    </row>
    <row r="18" spans="1:31" ht="15.75" x14ac:dyDescent="0.25">
      <c r="A18" s="37" t="s">
        <v>747</v>
      </c>
      <c r="B18" s="180" t="str">
        <f>VLOOKUP($B$4,bd_Main[],14,FALSE)</f>
        <v>Médio</v>
      </c>
      <c r="C18" s="181"/>
      <c r="D18" s="181"/>
      <c r="E18" s="181"/>
      <c r="F18" s="181"/>
      <c r="G18" s="182"/>
      <c r="H18" s="29"/>
      <c r="I18" s="29"/>
      <c r="J18" s="29"/>
      <c r="K18" s="29"/>
      <c r="L18" s="29"/>
      <c r="M18" s="91"/>
      <c r="N18" s="30"/>
      <c r="O18" s="48"/>
      <c r="P18" s="28"/>
      <c r="Q18" s="28"/>
      <c r="R18" s="28"/>
      <c r="S18" s="28"/>
      <c r="T18" s="28"/>
      <c r="U18" s="28"/>
      <c r="V18" s="28"/>
      <c r="W18" s="28"/>
      <c r="X18" s="63"/>
      <c r="Y18" s="63"/>
      <c r="Z18" s="63"/>
      <c r="AA18" s="63"/>
      <c r="AB18" s="15"/>
      <c r="AC18" s="15"/>
      <c r="AD18" s="15"/>
      <c r="AE18" s="15"/>
    </row>
    <row r="19" spans="1:31" ht="15.75" x14ac:dyDescent="0.25">
      <c r="A19" s="37" t="s">
        <v>13</v>
      </c>
      <c r="B19" s="180">
        <f>VLOOKUP($B$4,bd_Main[],15,FALSE)</f>
        <v>1</v>
      </c>
      <c r="C19" s="181"/>
      <c r="D19" s="181"/>
      <c r="E19" s="181"/>
      <c r="F19" s="181"/>
      <c r="G19" s="223"/>
      <c r="H19" s="89"/>
      <c r="I19" s="90"/>
      <c r="J19" s="90"/>
      <c r="K19" s="90"/>
      <c r="L19" s="90"/>
      <c r="M19" s="92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43" t="s">
        <v>714</v>
      </c>
      <c r="B21" s="244"/>
      <c r="C21" s="244"/>
      <c r="D21" s="244"/>
      <c r="E21" s="244"/>
      <c r="F21" s="244"/>
      <c r="G21" s="244"/>
      <c r="H21" s="244"/>
      <c r="I21" s="244"/>
      <c r="J21" s="244"/>
      <c r="K21" s="244"/>
      <c r="L21" s="244"/>
      <c r="M21" s="244"/>
      <c r="N21" s="244"/>
      <c r="O21" s="244"/>
      <c r="P21" s="244"/>
      <c r="Q21" s="244"/>
      <c r="R21" s="244"/>
      <c r="S21" s="244"/>
      <c r="T21" s="244"/>
      <c r="U21" s="244"/>
      <c r="V21" s="244"/>
      <c r="W21" s="244"/>
      <c r="X21" s="244"/>
      <c r="Y21" s="244"/>
      <c r="Z21" s="244"/>
      <c r="AA21" s="244"/>
      <c r="AB21" s="244"/>
    </row>
    <row r="22" spans="1:31" ht="18.75" x14ac:dyDescent="0.3">
      <c r="A22" s="229" t="s">
        <v>715</v>
      </c>
      <c r="B22" s="230"/>
      <c r="C22" s="230"/>
      <c r="D22" s="230"/>
      <c r="E22" s="230"/>
      <c r="F22" s="230"/>
      <c r="G22" s="230"/>
      <c r="H22" s="230"/>
      <c r="I22" s="242"/>
      <c r="J22" s="242"/>
      <c r="K22" s="242"/>
      <c r="L22" s="242"/>
      <c r="M22" s="230"/>
      <c r="N22" s="230"/>
      <c r="O22" s="230"/>
      <c r="P22" s="230"/>
      <c r="Q22" s="230"/>
      <c r="R22" s="230"/>
      <c r="S22" s="230"/>
      <c r="T22" s="230"/>
      <c r="U22" s="230"/>
      <c r="V22" s="230"/>
      <c r="W22" s="230"/>
      <c r="X22" s="230"/>
      <c r="Y22" s="230"/>
      <c r="Z22" s="230"/>
      <c r="AA22" s="230"/>
      <c r="AB22" s="230"/>
    </row>
    <row r="23" spans="1:31" ht="21" x14ac:dyDescent="0.35">
      <c r="A23" s="24" t="s">
        <v>716</v>
      </c>
      <c r="B23" s="216" t="s">
        <v>631</v>
      </c>
      <c r="C23" s="217"/>
      <c r="D23" s="217"/>
      <c r="E23" s="217"/>
      <c r="F23" s="217"/>
      <c r="G23" s="218"/>
      <c r="H23" s="23"/>
      <c r="I23" s="200" t="s">
        <v>717</v>
      </c>
      <c r="J23" s="201"/>
      <c r="K23" s="201"/>
      <c r="L23" s="202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208" t="s">
        <v>718</v>
      </c>
      <c r="B25" s="209"/>
      <c r="C25" s="209"/>
      <c r="D25" s="209"/>
      <c r="E25" s="209"/>
      <c r="F25" s="209"/>
      <c r="G25" s="209"/>
      <c r="H25" s="209"/>
      <c r="I25" s="209"/>
      <c r="J25" s="209"/>
      <c r="K25" s="209"/>
      <c r="L25" s="209"/>
      <c r="M25" s="209"/>
      <c r="N25" s="209"/>
      <c r="O25" s="209"/>
      <c r="P25" s="209"/>
      <c r="Q25" s="209"/>
      <c r="R25" s="209"/>
      <c r="S25" s="209"/>
      <c r="T25" s="209"/>
      <c r="U25" s="209"/>
      <c r="V25" s="209"/>
      <c r="W25" s="209"/>
      <c r="X25" s="209"/>
      <c r="Y25" s="209"/>
      <c r="Z25" s="209"/>
      <c r="AA25" s="209"/>
      <c r="AB25" s="209"/>
    </row>
    <row r="26" spans="1:31" x14ac:dyDescent="0.25">
      <c r="A26" s="205" t="str" cm="1">
        <f t="array" ref="A26">IFERROR(INDEX('Base de Dados'!$A$3:$B$4990,SMALL(IF('Base de Dados'!$B$3:$B$4990=$B$23,ROW('Base de Dados'!$B$3:$B$4990)-2),ROW(A1)),1),"-")</f>
        <v>Larousse Avançado - Inglês / Português</v>
      </c>
      <c r="B26" s="205"/>
      <c r="C26" s="205"/>
      <c r="D26" s="205"/>
      <c r="E26" s="205"/>
      <c r="F26" s="205"/>
      <c r="G26" s="206"/>
      <c r="H26" s="210" t="str" cm="1">
        <f t="array" ref="H26">IFERROR(INDEX('Base de Dados'!$A$3:$B$4990,SMALL(IF('Base de Dados'!$B$3:$B$4990=$B$23,ROW('Base de Dados'!$B$3:$B$4990)-2),ROW(#REF!)),1),"-")</f>
        <v>-</v>
      </c>
      <c r="I26" s="205"/>
      <c r="J26" s="205"/>
      <c r="K26" s="205"/>
      <c r="L26" s="205"/>
      <c r="M26" s="205"/>
      <c r="N26" s="206"/>
      <c r="O26" s="205" t="str" cm="1">
        <f t="array" ref="O26">IFERROR(INDEX('Base de Dados'!$A$3:$B$4990,SMALL(IF('Base de Dados'!$B$3:$B$4990=$B$23,ROW('Base de Dados'!$B$3:$B$4990)-2),ROW(A41)),1),"-")</f>
        <v>-</v>
      </c>
      <c r="P26" s="205"/>
      <c r="Q26" s="205"/>
      <c r="R26" s="205"/>
      <c r="S26" s="205"/>
      <c r="T26" s="205"/>
      <c r="U26" s="206"/>
      <c r="V26" s="203" t="str" cm="1">
        <f t="array" ref="V26">IFERROR(INDEX('Base de Dados'!$A$3:$B$4990,SMALL(IF('Base de Dados'!$B$3:$B$4990=$B$23,ROW('Base de Dados'!$B$3:$B$4990)-2),ROW(A61)),1),"-")</f>
        <v>-</v>
      </c>
      <c r="W26" s="203"/>
      <c r="X26" s="203"/>
      <c r="Y26" s="203"/>
      <c r="Z26" s="203"/>
      <c r="AA26" s="203"/>
      <c r="AB26" s="204"/>
    </row>
    <row r="27" spans="1:31" x14ac:dyDescent="0.25">
      <c r="A27" s="205">
        <v>1</v>
      </c>
      <c r="B27" s="205"/>
      <c r="C27" s="205"/>
      <c r="D27" s="205"/>
      <c r="E27" s="205"/>
      <c r="F27" s="205"/>
      <c r="G27" s="206"/>
      <c r="H27" s="210" t="str" cm="1">
        <f t="array" ref="H27">IFERROR(INDEX('Base de Dados'!$A$3:$B$4990,SMALL(IF('Base de Dados'!$B$3:$B$4990=$B$23,ROW('Base de Dados'!$B$3:$B$4990)-2),ROW(A22)),1),"-")</f>
        <v>-</v>
      </c>
      <c r="I27" s="205"/>
      <c r="J27" s="205"/>
      <c r="K27" s="205"/>
      <c r="L27" s="205"/>
      <c r="M27" s="205"/>
      <c r="N27" s="206"/>
      <c r="O27" s="205" t="str" cm="1">
        <f t="array" ref="O27">IFERROR(INDEX('Base de Dados'!$A$3:$B$4990,SMALL(IF('Base de Dados'!$B$3:$B$4990=$B$23,ROW('Base de Dados'!$B$3:$B$4990)-2),ROW(A42)),1),"-")</f>
        <v>-</v>
      </c>
      <c r="P27" s="205"/>
      <c r="Q27" s="205"/>
      <c r="R27" s="205"/>
      <c r="S27" s="205"/>
      <c r="T27" s="205"/>
      <c r="U27" s="206"/>
      <c r="V27" s="203" t="str" cm="1">
        <f t="array" ref="V27">IFERROR(INDEX('Base de Dados'!$A$3:$B$4990,SMALL(IF('Base de Dados'!$B$3:$B$4990=$B$23,ROW('Base de Dados'!$B$3:$B$4990)-2),ROW(A62)),1),"-")</f>
        <v>-</v>
      </c>
      <c r="W27" s="203"/>
      <c r="X27" s="203"/>
      <c r="Y27" s="203"/>
      <c r="Z27" s="203"/>
      <c r="AA27" s="203"/>
      <c r="AB27" s="204"/>
    </row>
    <row r="28" spans="1:31" x14ac:dyDescent="0.25">
      <c r="A28" s="205" t="str" cm="1">
        <f t="array" ref="A28">IFERROR(INDEX('Base de Dados'!$A$3:$B$4990,SMALL(IF('Base de Dados'!$B$3:$B$4990=$B$23,ROW('Base de Dados'!$B$3:$B$4990)-2),ROW(A3)),1),"-")</f>
        <v>Minigramática</v>
      </c>
      <c r="B28" s="205"/>
      <c r="C28" s="205"/>
      <c r="D28" s="205"/>
      <c r="E28" s="205"/>
      <c r="F28" s="205"/>
      <c r="G28" s="206"/>
      <c r="H28" s="210" t="str" cm="1">
        <f t="array" ref="H28">IFERROR(INDEX('Base de Dados'!$A$3:$B$4990,SMALL(IF('Base de Dados'!$B$3:$B$4990=$B$23,ROW('Base de Dados'!$B$3:$B$4990)-2),ROW(A23)),1),"-")</f>
        <v>-</v>
      </c>
      <c r="I28" s="205"/>
      <c r="J28" s="205"/>
      <c r="K28" s="205"/>
      <c r="L28" s="205"/>
      <c r="M28" s="205"/>
      <c r="N28" s="206"/>
      <c r="O28" s="205" t="str" cm="1">
        <f t="array" ref="O28">IFERROR(INDEX('Base de Dados'!$A$3:$B$4990,SMALL(IF('Base de Dados'!$B$3:$B$4990=$B$23,ROW('Base de Dados'!$B$3:$B$4990)-2),ROW(A43)),1),"-")</f>
        <v>-</v>
      </c>
      <c r="P28" s="205"/>
      <c r="Q28" s="205"/>
      <c r="R28" s="205"/>
      <c r="S28" s="205"/>
      <c r="T28" s="205"/>
      <c r="U28" s="206"/>
      <c r="V28" s="203" t="str" cm="1">
        <f t="array" ref="V28">IFERROR(INDEX('Base de Dados'!$A$3:$B$4990,SMALL(IF('Base de Dados'!$B$3:$B$4990=$B$23,ROW('Base de Dados'!$B$3:$B$4990)-2),ROW(A63)),1),"-")</f>
        <v>-</v>
      </c>
      <c r="W28" s="203"/>
      <c r="X28" s="203"/>
      <c r="Y28" s="203"/>
      <c r="Z28" s="203"/>
      <c r="AA28" s="203"/>
      <c r="AB28" s="204"/>
    </row>
    <row r="29" spans="1:31" x14ac:dyDescent="0.25">
      <c r="A29" s="205" t="str" cm="1">
        <f t="array" ref="A29">IFERROR(INDEX('Base de Dados'!$A$3:$B$4990,SMALL(IF('Base de Dados'!$B$3:$B$4990=$B$23,ROW('Base de Dados'!$B$3:$B$4990)-2),ROW(A4)),1),"-")</f>
        <v>Mini Aurélio - 8a edição</v>
      </c>
      <c r="B29" s="205"/>
      <c r="C29" s="205"/>
      <c r="D29" s="205"/>
      <c r="E29" s="205"/>
      <c r="F29" s="205"/>
      <c r="G29" s="206"/>
      <c r="H29" s="210" t="str" cm="1">
        <f t="array" ref="H29">IFERROR(INDEX('Base de Dados'!$A$3:$B$4990,SMALL(IF('Base de Dados'!$B$3:$B$4990=$B$23,ROW('Base de Dados'!$B$3:$B$4990)-2),ROW(A24)),1),"-")</f>
        <v>-</v>
      </c>
      <c r="I29" s="205"/>
      <c r="J29" s="205"/>
      <c r="K29" s="205"/>
      <c r="L29" s="205"/>
      <c r="M29" s="205"/>
      <c r="N29" s="206"/>
      <c r="O29" s="205" t="str" cm="1">
        <f t="array" ref="O29">IFERROR(INDEX('Base de Dados'!$A$3:$B$4990,SMALL(IF('Base de Dados'!$B$3:$B$4990=$B$23,ROW('Base de Dados'!$B$3:$B$4990)-2),ROW(A44)),1),"-")</f>
        <v>-</v>
      </c>
      <c r="P29" s="205"/>
      <c r="Q29" s="205"/>
      <c r="R29" s="205"/>
      <c r="S29" s="205"/>
      <c r="T29" s="205"/>
      <c r="U29" s="206"/>
      <c r="V29" s="203" t="str" cm="1">
        <f t="array" ref="V29">IFERROR(INDEX('Base de Dados'!$A$3:$B$4990,SMALL(IF('Base de Dados'!$B$3:$B$4990=$B$23,ROW('Base de Dados'!$B$3:$B$4990)-2),ROW(A64)),1),"-")</f>
        <v>-</v>
      </c>
      <c r="W29" s="203"/>
      <c r="X29" s="203"/>
      <c r="Y29" s="203"/>
      <c r="Z29" s="203"/>
      <c r="AA29" s="203"/>
      <c r="AB29" s="204"/>
    </row>
    <row r="30" spans="1:31" x14ac:dyDescent="0.25">
      <c r="A30" s="205" t="str" cm="1">
        <f t="array" ref="A30">IFERROR(INDEX('Base de Dados'!$A$3:$B$4990,SMALL(IF('Base de Dados'!$B$3:$B$4990=$B$23,ROW('Base de Dados'!$B$3:$B$4990)-2),ROW(A5)),1),"-")</f>
        <v>Mini Aurélio - 7a edição</v>
      </c>
      <c r="B30" s="205"/>
      <c r="C30" s="205"/>
      <c r="D30" s="205"/>
      <c r="E30" s="205"/>
      <c r="F30" s="205"/>
      <c r="G30" s="206"/>
      <c r="H30" s="210" t="str" cm="1">
        <f t="array" ref="H30">IFERROR(INDEX('Base de Dados'!$A$3:$B$4990,SMALL(IF('Base de Dados'!$B$3:$B$4990=$B$23,ROW('Base de Dados'!$B$3:$B$4990)-2),ROW(A25)),1),"-")</f>
        <v>-</v>
      </c>
      <c r="I30" s="205"/>
      <c r="J30" s="205"/>
      <c r="K30" s="205"/>
      <c r="L30" s="205"/>
      <c r="M30" s="205"/>
      <c r="N30" s="206"/>
      <c r="O30" s="205" t="str" cm="1">
        <f t="array" ref="O30">IFERROR(INDEX('Base de Dados'!$A$3:$B$4990,SMALL(IF('Base de Dados'!$B$3:$B$4990=$B$23,ROW('Base de Dados'!$B$3:$B$4990)-2),ROW(A45)),1),"-")</f>
        <v>-</v>
      </c>
      <c r="P30" s="205"/>
      <c r="Q30" s="205"/>
      <c r="R30" s="205"/>
      <c r="S30" s="205"/>
      <c r="T30" s="205"/>
      <c r="U30" s="206"/>
      <c r="V30" s="203" t="str" cm="1">
        <f t="array" ref="V30">IFERROR(INDEX('Base de Dados'!$A$3:$B$4990,SMALL(IF('Base de Dados'!$B$3:$B$4990=$B$23,ROW('Base de Dados'!$B$3:$B$4990)-2),ROW(A65)),1),"-")</f>
        <v>-</v>
      </c>
      <c r="W30" s="203"/>
      <c r="X30" s="203"/>
      <c r="Y30" s="203"/>
      <c r="Z30" s="203"/>
      <c r="AA30" s="203"/>
      <c r="AB30" s="204"/>
    </row>
    <row r="31" spans="1:31" x14ac:dyDescent="0.25">
      <c r="A31" s="205" t="str" cm="1">
        <f t="array" ref="A31">IFERROR(INDEX('Base de Dados'!$A$3:$B$4990,SMALL(IF('Base de Dados'!$B$3:$B$4990=$B$23,ROW('Base de Dados'!$B$3:$B$4990)-2),ROW(A6)),1),"-")</f>
        <v>Langenscheidt Taschenwörterbuch Portugiesisch</v>
      </c>
      <c r="B31" s="205"/>
      <c r="C31" s="205"/>
      <c r="D31" s="205"/>
      <c r="E31" s="205"/>
      <c r="F31" s="205"/>
      <c r="G31" s="206"/>
      <c r="H31" s="210" t="str" cm="1">
        <f t="array" ref="H31">IFERROR(INDEX('Base de Dados'!$A$3:$B$4990,SMALL(IF('Base de Dados'!$B$3:$B$4990=$B$23,ROW('Base de Dados'!$B$3:$B$4990)-2),ROW(A26)),1),"-")</f>
        <v>-</v>
      </c>
      <c r="I31" s="205"/>
      <c r="J31" s="205"/>
      <c r="K31" s="205"/>
      <c r="L31" s="205"/>
      <c r="M31" s="205"/>
      <c r="N31" s="206"/>
      <c r="O31" s="205" t="str" cm="1">
        <f t="array" ref="O31">IFERROR(INDEX('Base de Dados'!$A$3:$B$4990,SMALL(IF('Base de Dados'!$B$3:$B$4990=$B$23,ROW('Base de Dados'!$B$3:$B$4990)-2),ROW(A46)),1),"-")</f>
        <v>-</v>
      </c>
      <c r="P31" s="205"/>
      <c r="Q31" s="205"/>
      <c r="R31" s="205"/>
      <c r="S31" s="205"/>
      <c r="T31" s="205"/>
      <c r="U31" s="206"/>
      <c r="V31" s="203" t="str" cm="1">
        <f t="array" ref="V31">IFERROR(INDEX('Base de Dados'!$A$3:$B$4990,SMALL(IF('Base de Dados'!$B$3:$B$4990=$B$23,ROW('Base de Dados'!$B$3:$B$4990)-2),ROW(A66)),1),"-")</f>
        <v>-</v>
      </c>
      <c r="W31" s="203"/>
      <c r="X31" s="203"/>
      <c r="Y31" s="203"/>
      <c r="Z31" s="203"/>
      <c r="AA31" s="203"/>
      <c r="AB31" s="204"/>
    </row>
    <row r="32" spans="1:31" x14ac:dyDescent="0.25">
      <c r="A32" s="205" t="str" cm="1">
        <f t="array" ref="A32">IFERROR(INDEX('Base de Dados'!$A$3:$B$4990,SMALL(IF('Base de Dados'!$B$3:$B$4990=$B$23,ROW('Base de Dados'!$B$3:$B$4990)-2),ROW(A7)),1),"-")</f>
        <v>Minidicionário Inglês</v>
      </c>
      <c r="B32" s="205"/>
      <c r="C32" s="205"/>
      <c r="D32" s="205"/>
      <c r="E32" s="205"/>
      <c r="F32" s="205"/>
      <c r="G32" s="206"/>
      <c r="H32" s="210" t="str" cm="1">
        <f t="array" ref="H32">IFERROR(INDEX('Base de Dados'!$A$3:$B$4990,SMALL(IF('Base de Dados'!$B$3:$B$4990=$B$23,ROW('Base de Dados'!$B$3:$B$4990)-2),ROW(A27)),1),"-")</f>
        <v>-</v>
      </c>
      <c r="I32" s="205"/>
      <c r="J32" s="205"/>
      <c r="K32" s="205"/>
      <c r="L32" s="205"/>
      <c r="M32" s="205"/>
      <c r="N32" s="206"/>
      <c r="O32" s="205" t="str" cm="1">
        <f t="array" ref="O32">IFERROR(INDEX('Base de Dados'!$A$3:$B$4990,SMALL(IF('Base de Dados'!$B$3:$B$4990=$B$23,ROW('Base de Dados'!$B$3:$B$4990)-2),ROW(A47)),1),"-")</f>
        <v>-</v>
      </c>
      <c r="P32" s="205"/>
      <c r="Q32" s="205"/>
      <c r="R32" s="205"/>
      <c r="S32" s="205"/>
      <c r="T32" s="205"/>
      <c r="U32" s="206"/>
      <c r="V32" s="203" t="str" cm="1">
        <f t="array" ref="V32">IFERROR(INDEX('Base de Dados'!$A$3:$B$4990,SMALL(IF('Base de Dados'!$B$3:$B$4990=$B$23,ROW('Base de Dados'!$B$3:$B$4990)-2),ROW(A67)),1),"-")</f>
        <v>-</v>
      </c>
      <c r="W32" s="203"/>
      <c r="X32" s="203"/>
      <c r="Y32" s="203"/>
      <c r="Z32" s="203"/>
      <c r="AA32" s="203"/>
      <c r="AB32" s="204"/>
    </row>
    <row r="33" spans="1:28" x14ac:dyDescent="0.25">
      <c r="A33" s="205" t="str" cm="1">
        <f t="array" ref="A33">IFERROR(INDEX('Base de Dados'!$A$3:$B$4990,SMALL(IF('Base de Dados'!$B$3:$B$4990=$B$23,ROW('Base de Dados'!$B$3:$B$4990)-2),ROW(A8)),1),"-")</f>
        <v>-</v>
      </c>
      <c r="B33" s="205"/>
      <c r="C33" s="205"/>
      <c r="D33" s="205"/>
      <c r="E33" s="205"/>
      <c r="F33" s="205"/>
      <c r="G33" s="206"/>
      <c r="H33" s="210" t="str" cm="1">
        <f t="array" ref="H33">IFERROR(INDEX('Base de Dados'!$A$3:$B$4990,SMALL(IF('Base de Dados'!$B$3:$B$4990=$B$23,ROW('Base de Dados'!$B$3:$B$4990)-2),ROW(A28)),1),"-")</f>
        <v>-</v>
      </c>
      <c r="I33" s="205"/>
      <c r="J33" s="205"/>
      <c r="K33" s="205"/>
      <c r="L33" s="205"/>
      <c r="M33" s="205"/>
      <c r="N33" s="206"/>
      <c r="O33" s="205" t="str" cm="1">
        <f t="array" ref="O33">IFERROR(INDEX('Base de Dados'!$A$3:$B$4990,SMALL(IF('Base de Dados'!$B$3:$B$4990=$B$23,ROW('Base de Dados'!$B$3:$B$4990)-2),ROW(A48)),1),"-")</f>
        <v>-</v>
      </c>
      <c r="P33" s="205"/>
      <c r="Q33" s="205"/>
      <c r="R33" s="205"/>
      <c r="S33" s="205"/>
      <c r="T33" s="205"/>
      <c r="U33" s="206"/>
      <c r="V33" s="203" t="str" cm="1">
        <f t="array" ref="V33">IFERROR(INDEX('Base de Dados'!$A$3:$B$4990,SMALL(IF('Base de Dados'!$B$3:$B$4990=$B$23,ROW('Base de Dados'!$B$3:$B$4990)-2),ROW(A68)),1),"-")</f>
        <v>-</v>
      </c>
      <c r="W33" s="203"/>
      <c r="X33" s="203"/>
      <c r="Y33" s="203"/>
      <c r="Z33" s="203"/>
      <c r="AA33" s="203"/>
      <c r="AB33" s="204"/>
    </row>
    <row r="34" spans="1:28" x14ac:dyDescent="0.25">
      <c r="A34" s="205" t="str" cm="1">
        <f t="array" ref="A34">IFERROR(INDEX('Base de Dados'!$A$3:$B$4990,SMALL(IF('Base de Dados'!$B$3:$B$4990=$B$23,ROW('Base de Dados'!$B$3:$B$4990)-2),ROW(A9)),1),"-")</f>
        <v>-</v>
      </c>
      <c r="B34" s="205"/>
      <c r="C34" s="205"/>
      <c r="D34" s="205"/>
      <c r="E34" s="205"/>
      <c r="F34" s="205"/>
      <c r="G34" s="206"/>
      <c r="H34" s="210" t="str" cm="1">
        <f t="array" ref="H34">IFERROR(INDEX('Base de Dados'!$A$3:$B$4990,SMALL(IF('Base de Dados'!$B$3:$B$4990=$B$23,ROW('Base de Dados'!$B$3:$B$4990)-2),ROW(A29)),1),"-")</f>
        <v>-</v>
      </c>
      <c r="I34" s="205"/>
      <c r="J34" s="205"/>
      <c r="K34" s="205"/>
      <c r="L34" s="205"/>
      <c r="M34" s="205"/>
      <c r="N34" s="206"/>
      <c r="O34" s="205" t="str" cm="1">
        <f t="array" ref="O34">IFERROR(INDEX('Base de Dados'!$A$3:$B$4990,SMALL(IF('Base de Dados'!$B$3:$B$4990=$B$23,ROW('Base de Dados'!$B$3:$B$4990)-2),ROW(A49)),1),"-")</f>
        <v>-</v>
      </c>
      <c r="P34" s="205"/>
      <c r="Q34" s="205"/>
      <c r="R34" s="205"/>
      <c r="S34" s="205"/>
      <c r="T34" s="205"/>
      <c r="U34" s="206"/>
      <c r="V34" s="203" t="str" cm="1">
        <f t="array" ref="V34">IFERROR(INDEX('Base de Dados'!$A$3:$B$4990,SMALL(IF('Base de Dados'!$B$3:$B$4990=$B$23,ROW('Base de Dados'!$B$3:$B$4990)-2),ROW(A69)),1),"-")</f>
        <v>-</v>
      </c>
      <c r="W34" s="203"/>
      <c r="X34" s="203"/>
      <c r="Y34" s="203"/>
      <c r="Z34" s="203"/>
      <c r="AA34" s="203"/>
      <c r="AB34" s="204"/>
    </row>
    <row r="35" spans="1:28" x14ac:dyDescent="0.25">
      <c r="A35" s="205" t="str" cm="1">
        <f t="array" ref="A35">IFERROR(INDEX('Base de Dados'!$A$3:$B$4990,SMALL(IF('Base de Dados'!$B$3:$B$4990=$B$23,ROW('Base de Dados'!$B$3:$B$4990)-2),ROW(A10)),1),"-")</f>
        <v>-</v>
      </c>
      <c r="B35" s="205"/>
      <c r="C35" s="205"/>
      <c r="D35" s="205"/>
      <c r="E35" s="205"/>
      <c r="F35" s="205"/>
      <c r="G35" s="206"/>
      <c r="H35" s="210" t="str" cm="1">
        <f t="array" ref="H35">IFERROR(INDEX('Base de Dados'!$A$3:$B$4990,SMALL(IF('Base de Dados'!$B$3:$B$4990=$B$23,ROW('Base de Dados'!$B$3:$B$4990)-2),ROW(A30)),1),"-")</f>
        <v>-</v>
      </c>
      <c r="I35" s="205"/>
      <c r="J35" s="205"/>
      <c r="K35" s="205"/>
      <c r="L35" s="205"/>
      <c r="M35" s="205"/>
      <c r="N35" s="206"/>
      <c r="O35" s="205" t="str" cm="1">
        <f t="array" ref="O35">IFERROR(INDEX('Base de Dados'!$A$3:$B$4990,SMALL(IF('Base de Dados'!$B$3:$B$4990=$B$23,ROW('Base de Dados'!$B$3:$B$4990)-2),ROW(A50)),1),"-")</f>
        <v>-</v>
      </c>
      <c r="P35" s="205"/>
      <c r="Q35" s="205"/>
      <c r="R35" s="205"/>
      <c r="S35" s="205"/>
      <c r="T35" s="205"/>
      <c r="U35" s="206"/>
      <c r="V35" s="203" t="str" cm="1">
        <f t="array" ref="V35">IFERROR(INDEX('Base de Dados'!$A$3:$B$4990,SMALL(IF('Base de Dados'!$B$3:$B$4990=$B$23,ROW('Base de Dados'!$B$3:$B$4990)-2),ROW(A70)),1),"-")</f>
        <v>-</v>
      </c>
      <c r="W35" s="203"/>
      <c r="X35" s="203"/>
      <c r="Y35" s="203"/>
      <c r="Z35" s="203"/>
      <c r="AA35" s="203"/>
      <c r="AB35" s="204"/>
    </row>
    <row r="36" spans="1:28" x14ac:dyDescent="0.25">
      <c r="A36" s="205" t="str" cm="1">
        <f t="array" ref="A36">IFERROR(INDEX('Base de Dados'!$A$3:$B$4990,SMALL(IF('Base de Dados'!$B$3:$B$4990=$B$23,ROW('Base de Dados'!$B$3:$B$4990)-2),ROW(A11)),1),"-")</f>
        <v>-</v>
      </c>
      <c r="B36" s="205"/>
      <c r="C36" s="205"/>
      <c r="D36" s="205"/>
      <c r="E36" s="205"/>
      <c r="F36" s="205"/>
      <c r="G36" s="206"/>
      <c r="H36" s="210" t="str" cm="1">
        <f t="array" ref="H36">IFERROR(INDEX('Base de Dados'!$A$3:$B$4990,SMALL(IF('Base de Dados'!$B$3:$B$4990=$B$23,ROW('Base de Dados'!$B$3:$B$4990)-2),ROW(A31)),1),"-")</f>
        <v>-</v>
      </c>
      <c r="I36" s="205"/>
      <c r="J36" s="205"/>
      <c r="K36" s="205"/>
      <c r="L36" s="205"/>
      <c r="M36" s="205"/>
      <c r="N36" s="206"/>
      <c r="O36" s="205" t="str" cm="1">
        <f t="array" ref="O36">IFERROR(INDEX('Base de Dados'!$A$3:$B$4990,SMALL(IF('Base de Dados'!$B$3:$B$4990=$B$23,ROW('Base de Dados'!$B$3:$B$4990)-2),ROW(A51)),1),"-")</f>
        <v>-</v>
      </c>
      <c r="P36" s="205"/>
      <c r="Q36" s="205"/>
      <c r="R36" s="205"/>
      <c r="S36" s="205"/>
      <c r="T36" s="205"/>
      <c r="U36" s="206"/>
      <c r="V36" s="203" t="str" cm="1">
        <f t="array" ref="V36">IFERROR(INDEX('Base de Dados'!$A$3:$B$4990,SMALL(IF('Base de Dados'!$B$3:$B$4990=$B$23,ROW('Base de Dados'!$B$3:$B$4990)-2),ROW(A71)),1),"-")</f>
        <v>-</v>
      </c>
      <c r="W36" s="203"/>
      <c r="X36" s="203"/>
      <c r="Y36" s="203"/>
      <c r="Z36" s="203"/>
      <c r="AA36" s="203"/>
      <c r="AB36" s="204"/>
    </row>
    <row r="37" spans="1:28" x14ac:dyDescent="0.25">
      <c r="A37" s="205" t="str" cm="1">
        <f t="array" ref="A37">IFERROR(INDEX('Base de Dados'!$A$3:$B$4990,SMALL(IF('Base de Dados'!$B$3:$B$4990=$B$23,ROW('Base de Dados'!$B$3:$B$4990)-2),ROW(A12)),1),"-")</f>
        <v>-</v>
      </c>
      <c r="B37" s="205"/>
      <c r="C37" s="205"/>
      <c r="D37" s="205"/>
      <c r="E37" s="205"/>
      <c r="F37" s="205"/>
      <c r="G37" s="206"/>
      <c r="H37" s="210" t="str" cm="1">
        <f t="array" ref="H37">IFERROR(INDEX('Base de Dados'!$A$3:$B$4990,SMALL(IF('Base de Dados'!$B$3:$B$4990=$B$23,ROW('Base de Dados'!$B$3:$B$4990)-2),ROW(A32)),1),"-")</f>
        <v>-</v>
      </c>
      <c r="I37" s="205"/>
      <c r="J37" s="205"/>
      <c r="K37" s="205"/>
      <c r="L37" s="205"/>
      <c r="M37" s="205"/>
      <c r="N37" s="206"/>
      <c r="O37" s="205" t="str" cm="1">
        <f t="array" ref="O37">IFERROR(INDEX('Base de Dados'!$A$3:$B$4990,SMALL(IF('Base de Dados'!$B$3:$B$4990=$B$23,ROW('Base de Dados'!$B$3:$B$4990)-2),ROW(A52)),1),"-")</f>
        <v>-</v>
      </c>
      <c r="P37" s="205"/>
      <c r="Q37" s="205"/>
      <c r="R37" s="205"/>
      <c r="S37" s="205"/>
      <c r="T37" s="205"/>
      <c r="U37" s="206"/>
      <c r="V37" s="203" t="str" cm="1">
        <f t="array" ref="V37">IFERROR(INDEX('Base de Dados'!$A$3:$B$4990,SMALL(IF('Base de Dados'!$B$3:$B$4990=$B$23,ROW('Base de Dados'!$B$3:$B$4990)-2),ROW(A72)),1),"-")</f>
        <v>-</v>
      </c>
      <c r="W37" s="203"/>
      <c r="X37" s="203"/>
      <c r="Y37" s="203"/>
      <c r="Z37" s="203"/>
      <c r="AA37" s="203"/>
      <c r="AB37" s="204"/>
    </row>
    <row r="38" spans="1:28" x14ac:dyDescent="0.25">
      <c r="A38" s="205" t="str" cm="1">
        <f t="array" ref="A38">IFERROR(INDEX('Base de Dados'!$A$3:$B$4990,SMALL(IF('Base de Dados'!$B$3:$B$4990=$B$23,ROW('Base de Dados'!$B$3:$B$4990)-2),ROW(A13)),1),"-")</f>
        <v>-</v>
      </c>
      <c r="B38" s="205"/>
      <c r="C38" s="205"/>
      <c r="D38" s="205"/>
      <c r="E38" s="205"/>
      <c r="F38" s="205"/>
      <c r="G38" s="206"/>
      <c r="H38" s="210" t="str" cm="1">
        <f t="array" ref="H38">IFERROR(INDEX('Base de Dados'!$A$3:$B$4990,SMALL(IF('Base de Dados'!$B$3:$B$4990=$B$23,ROW('Base de Dados'!$B$3:$B$4990)-2),ROW(A33)),1),"-")</f>
        <v>-</v>
      </c>
      <c r="I38" s="205"/>
      <c r="J38" s="205"/>
      <c r="K38" s="205"/>
      <c r="L38" s="205"/>
      <c r="M38" s="205"/>
      <c r="N38" s="206"/>
      <c r="O38" s="205" t="str" cm="1">
        <f t="array" ref="O38">IFERROR(INDEX('Base de Dados'!$A$3:$B$4990,SMALL(IF('Base de Dados'!$B$3:$B$4990=$B$23,ROW('Base de Dados'!$B$3:$B$4990)-2),ROW(A53)),1),"-")</f>
        <v>-</v>
      </c>
      <c r="P38" s="205"/>
      <c r="Q38" s="205"/>
      <c r="R38" s="205"/>
      <c r="S38" s="205"/>
      <c r="T38" s="205"/>
      <c r="U38" s="206"/>
      <c r="V38" s="203" t="str" cm="1">
        <f t="array" ref="V38">IFERROR(INDEX('Base de Dados'!$A$3:$B$4990,SMALL(IF('Base de Dados'!$B$3:$B$4990=$B$23,ROW('Base de Dados'!$B$3:$B$4990)-2),ROW(A73)),1),"-")</f>
        <v>-</v>
      </c>
      <c r="W38" s="203"/>
      <c r="X38" s="203"/>
      <c r="Y38" s="203"/>
      <c r="Z38" s="203"/>
      <c r="AA38" s="203"/>
      <c r="AB38" s="204"/>
    </row>
    <row r="39" spans="1:28" x14ac:dyDescent="0.25">
      <c r="A39" s="205" t="str" cm="1">
        <f t="array" ref="A39">IFERROR(INDEX('Base de Dados'!$A$3:$B$4990,SMALL(IF('Base de Dados'!$B$3:$B$4990=$B$23,ROW('Base de Dados'!$B$3:$B$4990)-2),ROW(A14)),1),"-")</f>
        <v>-</v>
      </c>
      <c r="B39" s="205"/>
      <c r="C39" s="205"/>
      <c r="D39" s="205"/>
      <c r="E39" s="205"/>
      <c r="F39" s="205"/>
      <c r="G39" s="206"/>
      <c r="H39" s="210" t="str" cm="1">
        <f t="array" ref="H39">IFERROR(INDEX('Base de Dados'!$A$3:$B$4990,SMALL(IF('Base de Dados'!$B$3:$B$4990=$B$23,ROW('Base de Dados'!$B$3:$B$4990)-2),ROW(A34)),1),"-")</f>
        <v>-</v>
      </c>
      <c r="I39" s="205"/>
      <c r="J39" s="205"/>
      <c r="K39" s="205"/>
      <c r="L39" s="205"/>
      <c r="M39" s="205"/>
      <c r="N39" s="206"/>
      <c r="O39" s="205" t="str" cm="1">
        <f t="array" ref="O39">IFERROR(INDEX('Base de Dados'!$A$3:$B$4990,SMALL(IF('Base de Dados'!$B$3:$B$4990=$B$23,ROW('Base de Dados'!$B$3:$B$4990)-2),ROW(A54)),1),"-")</f>
        <v>-</v>
      </c>
      <c r="P39" s="205"/>
      <c r="Q39" s="205"/>
      <c r="R39" s="205"/>
      <c r="S39" s="205"/>
      <c r="T39" s="205"/>
      <c r="U39" s="206"/>
      <c r="V39" s="203" t="str" cm="1">
        <f t="array" ref="V39">IFERROR(INDEX('Base de Dados'!$A$3:$B$4990,SMALL(IF('Base de Dados'!$B$3:$B$4990=$B$23,ROW('Base de Dados'!$B$3:$B$4990)-2),ROW(A74)),1),"-")</f>
        <v>-</v>
      </c>
      <c r="W39" s="203"/>
      <c r="X39" s="203"/>
      <c r="Y39" s="203"/>
      <c r="Z39" s="203"/>
      <c r="AA39" s="203"/>
      <c r="AB39" s="204"/>
    </row>
    <row r="40" spans="1:28" x14ac:dyDescent="0.25">
      <c r="A40" s="205" t="str" cm="1">
        <f t="array" ref="A40">IFERROR(INDEX('Base de Dados'!$A$3:$B$4990,SMALL(IF('Base de Dados'!$B$3:$B$4990=$B$23,ROW('Base de Dados'!$B$3:$B$4990)-2),ROW(A15)),1),"-")</f>
        <v>-</v>
      </c>
      <c r="B40" s="205"/>
      <c r="C40" s="205"/>
      <c r="D40" s="205"/>
      <c r="E40" s="205"/>
      <c r="F40" s="205"/>
      <c r="G40" s="206"/>
      <c r="H40" s="210" t="str" cm="1">
        <f t="array" ref="H40">IFERROR(INDEX('Base de Dados'!$A$3:$B$4990,SMALL(IF('Base de Dados'!$B$3:$B$4990=$B$23,ROW('Base de Dados'!$B$3:$B$4990)-2),ROW(A35)),1),"-")</f>
        <v>-</v>
      </c>
      <c r="I40" s="205"/>
      <c r="J40" s="205"/>
      <c r="K40" s="205"/>
      <c r="L40" s="205"/>
      <c r="M40" s="205"/>
      <c r="N40" s="206"/>
      <c r="O40" s="205" t="str" cm="1">
        <f t="array" ref="O40">IFERROR(INDEX('Base de Dados'!$A$3:$B$4990,SMALL(IF('Base de Dados'!$B$3:$B$4990=$B$23,ROW('Base de Dados'!$B$3:$B$4990)-2),ROW(A55)),1),"-")</f>
        <v>-</v>
      </c>
      <c r="P40" s="205"/>
      <c r="Q40" s="205"/>
      <c r="R40" s="205"/>
      <c r="S40" s="205"/>
      <c r="T40" s="205"/>
      <c r="U40" s="206"/>
      <c r="V40" s="203" t="str" cm="1">
        <f t="array" ref="V40">IFERROR(INDEX('Base de Dados'!$A$3:$B$4990,SMALL(IF('Base de Dados'!$B$3:$B$4990=$B$23,ROW('Base de Dados'!$B$3:$B$4990)-2),ROW(A75)),1),"-")</f>
        <v>-</v>
      </c>
      <c r="W40" s="203"/>
      <c r="X40" s="203"/>
      <c r="Y40" s="203"/>
      <c r="Z40" s="203"/>
      <c r="AA40" s="203"/>
      <c r="AB40" s="204"/>
    </row>
    <row r="41" spans="1:28" x14ac:dyDescent="0.25">
      <c r="A41" s="205" t="str" cm="1">
        <f t="array" ref="A41">IFERROR(INDEX('Base de Dados'!$A$3:$B$4990,SMALL(IF('Base de Dados'!$B$3:$B$4990=$B$23,ROW('Base de Dados'!$B$3:$B$4990)-2),ROW(A16)),1),"-")</f>
        <v>-</v>
      </c>
      <c r="B41" s="205"/>
      <c r="C41" s="205"/>
      <c r="D41" s="205"/>
      <c r="E41" s="205"/>
      <c r="F41" s="205"/>
      <c r="G41" s="206"/>
      <c r="H41" s="210" t="str" cm="1">
        <f t="array" ref="H41">IFERROR(INDEX('Base de Dados'!$A$3:$B$4990,SMALL(IF('Base de Dados'!$B$3:$B$4990=$B$23,ROW('Base de Dados'!$B$3:$B$4990)-2),ROW(A36)),1),"-")</f>
        <v>-</v>
      </c>
      <c r="I41" s="205"/>
      <c r="J41" s="205"/>
      <c r="K41" s="205"/>
      <c r="L41" s="205"/>
      <c r="M41" s="205"/>
      <c r="N41" s="206"/>
      <c r="O41" s="205" t="str" cm="1">
        <f t="array" ref="O41">IFERROR(INDEX('Base de Dados'!$A$3:$B$4990,SMALL(IF('Base de Dados'!$B$3:$B$4990=$B$23,ROW('Base de Dados'!$B$3:$B$4990)-2),ROW(A56)),1),"-")</f>
        <v>-</v>
      </c>
      <c r="P41" s="205"/>
      <c r="Q41" s="205"/>
      <c r="R41" s="205"/>
      <c r="S41" s="205"/>
      <c r="T41" s="205"/>
      <c r="U41" s="206"/>
      <c r="V41" s="203" t="str" cm="1">
        <f t="array" ref="V41">IFERROR(INDEX('Base de Dados'!$A$3:$B$4990,SMALL(IF('Base de Dados'!$B$3:$B$4990=$B$23,ROW('Base de Dados'!$B$3:$B$4990)-2),ROW(A76)),1),"-")</f>
        <v>-</v>
      </c>
      <c r="W41" s="203"/>
      <c r="X41" s="203"/>
      <c r="Y41" s="203"/>
      <c r="Z41" s="203"/>
      <c r="AA41" s="203"/>
      <c r="AB41" s="204"/>
    </row>
    <row r="42" spans="1:28" x14ac:dyDescent="0.25">
      <c r="A42" s="205" t="str" cm="1">
        <f t="array" ref="A42">IFERROR(INDEX('Base de Dados'!$A$3:$B$4990,SMALL(IF('Base de Dados'!$B$3:$B$4990=$B$23,ROW('Base de Dados'!$B$3:$B$4990)-2),ROW(A17)),1),"-")</f>
        <v>-</v>
      </c>
      <c r="B42" s="205"/>
      <c r="C42" s="205"/>
      <c r="D42" s="205"/>
      <c r="E42" s="205"/>
      <c r="F42" s="205"/>
      <c r="G42" s="206"/>
      <c r="H42" s="210" t="str" cm="1">
        <f t="array" ref="H42">IFERROR(INDEX('Base de Dados'!$A$3:$B$4990,SMALL(IF('Base de Dados'!$B$3:$B$4990=$B$23,ROW('Base de Dados'!$B$3:$B$4990)-2),ROW(A37)),1),"-")</f>
        <v>-</v>
      </c>
      <c r="I42" s="205"/>
      <c r="J42" s="205"/>
      <c r="K42" s="205"/>
      <c r="L42" s="205"/>
      <c r="M42" s="205"/>
      <c r="N42" s="206"/>
      <c r="O42" s="205" t="str" cm="1">
        <f t="array" ref="O42">IFERROR(INDEX('Base de Dados'!$A$3:$B$4990,SMALL(IF('Base de Dados'!$B$3:$B$4990=$B$23,ROW('Base de Dados'!$B$3:$B$4990)-2),ROW(A57)),1),"-")</f>
        <v>-</v>
      </c>
      <c r="P42" s="205"/>
      <c r="Q42" s="205"/>
      <c r="R42" s="205"/>
      <c r="S42" s="205"/>
      <c r="T42" s="205"/>
      <c r="U42" s="206"/>
      <c r="V42" s="203" t="str" cm="1">
        <f t="array" ref="V42">IFERROR(INDEX('Base de Dados'!$A$3:$B$4990,SMALL(IF('Base de Dados'!$B$3:$B$4990=$B$23,ROW('Base de Dados'!$B$3:$B$4990)-2),ROW(A77)),1),"-")</f>
        <v>-</v>
      </c>
      <c r="W42" s="203"/>
      <c r="X42" s="203"/>
      <c r="Y42" s="203"/>
      <c r="Z42" s="203"/>
      <c r="AA42" s="203"/>
      <c r="AB42" s="204"/>
    </row>
    <row r="43" spans="1:28" x14ac:dyDescent="0.25">
      <c r="A43" s="205" t="str" cm="1">
        <f t="array" ref="A43">IFERROR(INDEX('Base de Dados'!$A$3:$B$4990,SMALL(IF('Base de Dados'!$B$3:$B$4990=$B$23,ROW('Base de Dados'!$B$3:$B$4990)-2),ROW(A18)),1),"-")</f>
        <v>-</v>
      </c>
      <c r="B43" s="205"/>
      <c r="C43" s="205"/>
      <c r="D43" s="205"/>
      <c r="E43" s="205"/>
      <c r="F43" s="205"/>
      <c r="G43" s="206"/>
      <c r="H43" s="210" t="str" cm="1">
        <f t="array" ref="H43">IFERROR(INDEX('Base de Dados'!$A$3:$B$4990,SMALL(IF('Base de Dados'!$B$3:$B$4990=$B$23,ROW('Base de Dados'!$B$3:$B$4990)-2),ROW(A38)),1),"-")</f>
        <v>-</v>
      </c>
      <c r="I43" s="205"/>
      <c r="J43" s="205"/>
      <c r="K43" s="205"/>
      <c r="L43" s="205"/>
      <c r="M43" s="205"/>
      <c r="N43" s="206"/>
      <c r="O43" s="205" t="str" cm="1">
        <f t="array" ref="O43">IFERROR(INDEX('Base de Dados'!$A$3:$B$4990,SMALL(IF('Base de Dados'!$B$3:$B$4990=$B$23,ROW('Base de Dados'!$B$3:$B$4990)-2),ROW(A58)),1),"-")</f>
        <v>-</v>
      </c>
      <c r="P43" s="205"/>
      <c r="Q43" s="205"/>
      <c r="R43" s="205"/>
      <c r="S43" s="205"/>
      <c r="T43" s="205"/>
      <c r="U43" s="206"/>
      <c r="V43" s="203" t="str" cm="1">
        <f t="array" ref="V43">IFERROR(INDEX('Base de Dados'!$A$3:$B$4990,SMALL(IF('Base de Dados'!$B$3:$B$4990=$B$23,ROW('Base de Dados'!$B$3:$B$4990)-2),ROW(A78)),1),"-")</f>
        <v>-</v>
      </c>
      <c r="W43" s="203"/>
      <c r="X43" s="203"/>
      <c r="Y43" s="203"/>
      <c r="Z43" s="203"/>
      <c r="AA43" s="203"/>
      <c r="AB43" s="204"/>
    </row>
    <row r="44" spans="1:28" x14ac:dyDescent="0.25">
      <c r="A44" s="205" t="str" cm="1">
        <f t="array" ref="A44">IFERROR(INDEX('Base de Dados'!$A$3:$B$4990,SMALL(IF('Base de Dados'!$B$3:$B$4990=$B$23,ROW('Base de Dados'!$B$3:$B$4990)-2),ROW(A19)),1),"-")</f>
        <v>-</v>
      </c>
      <c r="B44" s="205"/>
      <c r="C44" s="205"/>
      <c r="D44" s="205"/>
      <c r="E44" s="205"/>
      <c r="F44" s="205"/>
      <c r="G44" s="206"/>
      <c r="H44" s="210" t="str" cm="1">
        <f t="array" ref="H44">IFERROR(INDEX('Base de Dados'!$A$3:$B$4990,SMALL(IF('Base de Dados'!$B$3:$B$4990=$B$23,ROW('Base de Dados'!$B$3:$B$4990)-2),ROW(A39)),1),"-")</f>
        <v>-</v>
      </c>
      <c r="I44" s="205"/>
      <c r="J44" s="205"/>
      <c r="K44" s="205"/>
      <c r="L44" s="205"/>
      <c r="M44" s="205"/>
      <c r="N44" s="206"/>
      <c r="O44" s="205" t="str" cm="1">
        <f t="array" ref="O44">IFERROR(INDEX('Base de Dados'!$A$3:$B$4990,SMALL(IF('Base de Dados'!$B$3:$B$4990=$B$23,ROW('Base de Dados'!$B$3:$B$4990)-2),ROW(A59)),1),"-")</f>
        <v>-</v>
      </c>
      <c r="P44" s="205"/>
      <c r="Q44" s="205"/>
      <c r="R44" s="205"/>
      <c r="S44" s="205"/>
      <c r="T44" s="205"/>
      <c r="U44" s="206"/>
      <c r="V44" s="203" t="str" cm="1">
        <f t="array" ref="V44">IFERROR(INDEX('Base de Dados'!$A$3:$B$4990,SMALL(IF('Base de Dados'!$B$3:$B$4990=$B$23,ROW('Base de Dados'!$B$3:$B$4990)-2),ROW(A79)),1),"-")</f>
        <v>-</v>
      </c>
      <c r="W44" s="203"/>
      <c r="X44" s="203"/>
      <c r="Y44" s="203"/>
      <c r="Z44" s="203"/>
      <c r="AA44" s="203"/>
      <c r="AB44" s="204"/>
    </row>
    <row r="45" spans="1:28" x14ac:dyDescent="0.25">
      <c r="A45" s="205" t="str" cm="1">
        <f t="array" ref="A45">IFERROR(INDEX('Base de Dados'!$A$3:$B$4990,SMALL(IF('Base de Dados'!$B$3:$B$4990=$B$23,ROW('Base de Dados'!$B$3:$B$4990)-2),ROW(A20)),1),"-")</f>
        <v>-</v>
      </c>
      <c r="B45" s="205"/>
      <c r="C45" s="205"/>
      <c r="D45" s="205"/>
      <c r="E45" s="205"/>
      <c r="F45" s="205"/>
      <c r="G45" s="206"/>
      <c r="H45" s="210" t="str" cm="1">
        <f t="array" ref="H45">IFERROR(INDEX('Base de Dados'!$A$3:$B$4990,SMALL(IF('Base de Dados'!$B$3:$B$4990=$B$23,ROW('Base de Dados'!$B$3:$B$4990)-2),ROW(A40)),1),"-")</f>
        <v>-</v>
      </c>
      <c r="I45" s="205"/>
      <c r="J45" s="205"/>
      <c r="K45" s="205"/>
      <c r="L45" s="205"/>
      <c r="M45" s="205"/>
      <c r="N45" s="206"/>
      <c r="O45" s="205" t="str" cm="1">
        <f t="array" ref="O45">IFERROR(INDEX('Base de Dados'!$A$3:$B$4990,SMALL(IF('Base de Dados'!$B$3:$B$4990=$B$23,ROW('Base de Dados'!$B$3:$B$4990)-2),ROW(A60)),1),"-")</f>
        <v>-</v>
      </c>
      <c r="P45" s="205"/>
      <c r="Q45" s="205"/>
      <c r="R45" s="205"/>
      <c r="S45" s="205"/>
      <c r="T45" s="205"/>
      <c r="U45" s="206"/>
      <c r="V45" s="203" t="str" cm="1">
        <f t="array" ref="V45">IFERROR(INDEX('Base de Dados'!$A$3:$B$4990,SMALL(IF('Base de Dados'!$B$3:$B$4990=$B$23,ROW('Base de Dados'!$B$3:$B$4990)-2),ROW(A80)),1),"-")</f>
        <v>-</v>
      </c>
      <c r="W45" s="203"/>
      <c r="X45" s="203"/>
      <c r="Y45" s="203"/>
      <c r="Z45" s="203"/>
      <c r="AA45" s="203"/>
      <c r="AB45" s="204"/>
    </row>
    <row r="47" spans="1:28" ht="18.75" x14ac:dyDescent="0.3">
      <c r="A47" s="229" t="s">
        <v>719</v>
      </c>
      <c r="B47" s="230"/>
      <c r="C47" s="230"/>
      <c r="D47" s="230"/>
      <c r="E47" s="230"/>
      <c r="F47" s="230"/>
      <c r="G47" s="230"/>
      <c r="H47" s="230"/>
      <c r="I47" s="230"/>
      <c r="J47" s="230"/>
      <c r="K47" s="230"/>
      <c r="L47" s="230"/>
      <c r="M47" s="230"/>
      <c r="N47" s="230"/>
      <c r="O47" s="230"/>
      <c r="P47" s="230"/>
      <c r="Q47" s="230"/>
      <c r="R47" s="230"/>
      <c r="S47" s="230"/>
      <c r="T47" s="230"/>
      <c r="U47" s="230"/>
      <c r="V47" s="230"/>
      <c r="W47" s="230"/>
      <c r="X47" s="230"/>
      <c r="Y47" s="230"/>
      <c r="Z47" s="230"/>
      <c r="AA47" s="230"/>
      <c r="AB47" s="230"/>
    </row>
    <row r="48" spans="1:28" ht="21" x14ac:dyDescent="0.35">
      <c r="A48" s="24" t="s">
        <v>720</v>
      </c>
      <c r="B48" s="216" t="s">
        <v>632</v>
      </c>
      <c r="C48" s="217"/>
      <c r="D48" s="217"/>
      <c r="E48" s="217"/>
      <c r="F48" s="217"/>
      <c r="G48" s="218"/>
      <c r="H48" s="23"/>
      <c r="I48" s="200" t="s">
        <v>721</v>
      </c>
      <c r="J48" s="201"/>
      <c r="K48" s="201"/>
      <c r="L48" s="202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208" t="s">
        <v>718</v>
      </c>
      <c r="B50" s="209"/>
      <c r="C50" s="209"/>
      <c r="D50" s="209"/>
      <c r="E50" s="209"/>
      <c r="F50" s="209"/>
      <c r="G50" s="209"/>
      <c r="H50" s="209"/>
      <c r="I50" s="209"/>
      <c r="J50" s="209"/>
      <c r="K50" s="209"/>
      <c r="L50" s="209"/>
      <c r="M50" s="209"/>
      <c r="N50" s="209"/>
      <c r="O50" s="209"/>
      <c r="P50" s="209"/>
      <c r="Q50" s="209"/>
      <c r="R50" s="209"/>
      <c r="S50" s="209"/>
      <c r="T50" s="209"/>
      <c r="U50" s="209"/>
      <c r="V50" s="234"/>
      <c r="W50" s="234"/>
      <c r="X50" s="234"/>
      <c r="Y50" s="234"/>
      <c r="Z50" s="234"/>
      <c r="AA50" s="234"/>
      <c r="AB50" s="234"/>
    </row>
    <row r="51" spans="1:28" x14ac:dyDescent="0.25">
      <c r="A51" s="205" t="str" cm="1">
        <f t="array" ref="A51">IFERROR(INDEX('Base de Dados'!$A$3:$C$4990,SMALL(IF('Base de Dados'!$C$3:$C$4990=$B$48,ROW('Base de Dados'!$C$3:$C$4990)-2),ROW(A1)),1)," -")</f>
        <v>Larousse Avançado - Inglês / Português</v>
      </c>
      <c r="B51" s="205"/>
      <c r="C51" s="205"/>
      <c r="D51" s="205"/>
      <c r="E51" s="205"/>
      <c r="F51" s="205"/>
      <c r="G51" s="206"/>
      <c r="H51" s="207" t="str">
        <f t="array" ref="H51">IFERROR(INDEX('Base de Dados'!$A$3:$C$4990,SMALL(IF('Base de Dados'!$C$3:$C$4990=$B$48,ROW('Base de Dados'!$C$3:$C$4990)-2),ROW(A21)),1)," -")</f>
        <v xml:space="preserve"> -</v>
      </c>
      <c r="I51" s="203"/>
      <c r="J51" s="203"/>
      <c r="K51" s="203"/>
      <c r="L51" s="203"/>
      <c r="M51" s="203"/>
      <c r="N51" s="204"/>
      <c r="O51" s="203" t="str" cm="1">
        <f t="array" ref="O51">IFERROR(INDEX('Base de Dados'!$A$3:$C$4990,SMALL(IF('Base de Dados'!$C$3:$C$4990=$B$48,ROW('Base de Dados'!$C$3:$C$4990)-2),ROW(A41)),1)," -")</f>
        <v xml:space="preserve"> -</v>
      </c>
      <c r="P51" s="203"/>
      <c r="Q51" s="203"/>
      <c r="R51" s="203"/>
      <c r="S51" s="203"/>
      <c r="T51" s="203"/>
      <c r="U51" s="204"/>
      <c r="V51" s="203" t="str" cm="1">
        <f t="array" ref="V51">IFERROR(INDEX('Base de Dados'!$A$3:$C$4990,SMALL(IF('Base de Dados'!$C$3:$C$4990=$B$48,ROW('Base de Dados'!$C$3:$C$4990)-2),ROW(A61)),1)," -")</f>
        <v xml:space="preserve"> -</v>
      </c>
      <c r="W51" s="203"/>
      <c r="X51" s="203"/>
      <c r="Y51" s="203"/>
      <c r="Z51" s="203"/>
      <c r="AA51" s="203"/>
      <c r="AB51" s="204"/>
    </row>
    <row r="52" spans="1:28" x14ac:dyDescent="0.25">
      <c r="A52" s="205" t="str" cm="1">
        <f t="array" ref="A52">IFERROR(INDEX('Base de Dados'!$A$3:$C$4990,SMALL(IF('Base de Dados'!$C$3:$C$4990=$B$48,ROW('Base de Dados'!$C$3:$C$4990)-2),ROW(A2)),1)," -")</f>
        <v>Larousse Mini - Francês / Português</v>
      </c>
      <c r="B52" s="205"/>
      <c r="C52" s="205"/>
      <c r="D52" s="205"/>
      <c r="E52" s="205"/>
      <c r="F52" s="205"/>
      <c r="G52" s="206"/>
      <c r="H52" s="207" t="str" cm="1">
        <f t="array" ref="H52">IFERROR(INDEX('Base de Dados'!$A$3:$C$4990,SMALL(IF('Base de Dados'!$C$3:$C$4990=$B$48,ROW('Base de Dados'!$C$3:$C$4990)-2),ROW(A22)),1)," -")</f>
        <v xml:space="preserve"> -</v>
      </c>
      <c r="I52" s="203"/>
      <c r="J52" s="203"/>
      <c r="K52" s="203"/>
      <c r="L52" s="203"/>
      <c r="M52" s="203"/>
      <c r="N52" s="204"/>
      <c r="O52" s="203" t="str" cm="1">
        <f t="array" ref="O52">IFERROR(INDEX('Base de Dados'!$A$3:$C$4990,SMALL(IF('Base de Dados'!$C$3:$C$4990=$B$48,ROW('Base de Dados'!$C$3:$C$4990)-2),ROW(A42)),1)," -")</f>
        <v xml:space="preserve"> -</v>
      </c>
      <c r="P52" s="203"/>
      <c r="Q52" s="203"/>
      <c r="R52" s="203"/>
      <c r="S52" s="203"/>
      <c r="T52" s="203"/>
      <c r="U52" s="204"/>
      <c r="V52" s="203" t="str" cm="1">
        <f t="array" ref="V52">IFERROR(INDEX('Base de Dados'!$A$3:$C$4990,SMALL(IF('Base de Dados'!$C$3:$C$4990=$B$48,ROW('Base de Dados'!$C$3:$C$4990)-2),ROW(A62)),1)," -")</f>
        <v xml:space="preserve"> -</v>
      </c>
      <c r="W52" s="203"/>
      <c r="X52" s="203"/>
      <c r="Y52" s="203"/>
      <c r="Z52" s="203"/>
      <c r="AA52" s="203"/>
      <c r="AB52" s="204"/>
    </row>
    <row r="53" spans="1:28" x14ac:dyDescent="0.25">
      <c r="A53" s="205" t="str" cm="1">
        <f t="array" ref="A53">IFERROR(INDEX('Base de Dados'!$A$3:$C$4990,SMALL(IF('Base de Dados'!$C$3:$C$4990=$B$48,ROW('Base de Dados'!$C$3:$C$4990)-2),ROW(A3)),1)," -")</f>
        <v xml:space="preserve"> -</v>
      </c>
      <c r="B53" s="205"/>
      <c r="C53" s="205"/>
      <c r="D53" s="205"/>
      <c r="E53" s="205"/>
      <c r="F53" s="205"/>
      <c r="G53" s="206"/>
      <c r="H53" s="207" t="str" cm="1">
        <f t="array" ref="H53">IFERROR(INDEX('Base de Dados'!$A$3:$C$4990,SMALL(IF('Base de Dados'!$C$3:$C$4990=$B$48,ROW('Base de Dados'!$C$3:$C$4990)-2),ROW(A23)),1)," -")</f>
        <v xml:space="preserve"> -</v>
      </c>
      <c r="I53" s="203"/>
      <c r="J53" s="203"/>
      <c r="K53" s="203"/>
      <c r="L53" s="203"/>
      <c r="M53" s="203"/>
      <c r="N53" s="204"/>
      <c r="O53" s="203" t="str" cm="1">
        <f t="array" ref="O53">IFERROR(INDEX('Base de Dados'!$A$3:$C$4990,SMALL(IF('Base de Dados'!$C$3:$C$4990=$B$48,ROW('Base de Dados'!$C$3:$C$4990)-2),ROW(A43)),1)," -")</f>
        <v xml:space="preserve"> -</v>
      </c>
      <c r="P53" s="203"/>
      <c r="Q53" s="203"/>
      <c r="R53" s="203"/>
      <c r="S53" s="203"/>
      <c r="T53" s="203"/>
      <c r="U53" s="204"/>
      <c r="V53" s="203" t="str" cm="1">
        <f t="array" ref="V53">IFERROR(INDEX('Base de Dados'!$A$3:$C$4990,SMALL(IF('Base de Dados'!$C$3:$C$4990=$B$48,ROW('Base de Dados'!$C$3:$C$4990)-2),ROW(A63)),1)," -")</f>
        <v xml:space="preserve"> -</v>
      </c>
      <c r="W53" s="203"/>
      <c r="X53" s="203"/>
      <c r="Y53" s="203"/>
      <c r="Z53" s="203"/>
      <c r="AA53" s="203"/>
      <c r="AB53" s="204"/>
    </row>
    <row r="54" spans="1:28" x14ac:dyDescent="0.25">
      <c r="A54" s="205" t="str" cm="1">
        <f t="array" ref="A54">IFERROR(INDEX('Base de Dados'!$A$3:$C$4990,SMALL(IF('Base de Dados'!$C$3:$C$4990=$B$48,ROW('Base de Dados'!$C$3:$C$4990)-2),ROW(A4)),1)," -")</f>
        <v xml:space="preserve"> -</v>
      </c>
      <c r="B54" s="205"/>
      <c r="C54" s="205"/>
      <c r="D54" s="205"/>
      <c r="E54" s="205"/>
      <c r="F54" s="205"/>
      <c r="G54" s="206"/>
      <c r="H54" s="207" t="str" cm="1">
        <f t="array" ref="H54">IFERROR(INDEX('Base de Dados'!$A$3:$C$4990,SMALL(IF('Base de Dados'!$C$3:$C$4990=$B$48,ROW('Base de Dados'!$C$3:$C$4990)-2),ROW(A24)),1)," -")</f>
        <v xml:space="preserve"> -</v>
      </c>
      <c r="I54" s="203"/>
      <c r="J54" s="203"/>
      <c r="K54" s="203"/>
      <c r="L54" s="203"/>
      <c r="M54" s="203"/>
      <c r="N54" s="204"/>
      <c r="O54" s="203" t="str" cm="1">
        <f t="array" ref="O54">IFERROR(INDEX('Base de Dados'!$A$3:$C$4990,SMALL(IF('Base de Dados'!$C$3:$C$4990=$B$48,ROW('Base de Dados'!$C$3:$C$4990)-2),ROW(A44)),1)," -")</f>
        <v xml:space="preserve"> -</v>
      </c>
      <c r="P54" s="203"/>
      <c r="Q54" s="203"/>
      <c r="R54" s="203"/>
      <c r="S54" s="203"/>
      <c r="T54" s="203"/>
      <c r="U54" s="204"/>
      <c r="V54" s="203" t="str" cm="1">
        <f t="array" ref="V54">IFERROR(INDEX('Base de Dados'!$A$3:$C$4990,SMALL(IF('Base de Dados'!$C$3:$C$4990=$B$48,ROW('Base de Dados'!$C$3:$C$4990)-2),ROW(A64)),1)," -")</f>
        <v xml:space="preserve"> -</v>
      </c>
      <c r="W54" s="203"/>
      <c r="X54" s="203"/>
      <c r="Y54" s="203"/>
      <c r="Z54" s="203"/>
      <c r="AA54" s="203"/>
      <c r="AB54" s="204"/>
    </row>
    <row r="55" spans="1:28" x14ac:dyDescent="0.25">
      <c r="A55" s="205" t="str" cm="1">
        <f t="array" ref="A55">IFERROR(INDEX('Base de Dados'!$A$3:$C$4990,SMALL(IF('Base de Dados'!$C$3:$C$4990=$B$48,ROW('Base de Dados'!$C$3:$C$4990)-2),ROW(A5)),1)," -")</f>
        <v xml:space="preserve"> -</v>
      </c>
      <c r="B55" s="205"/>
      <c r="C55" s="205"/>
      <c r="D55" s="205"/>
      <c r="E55" s="205"/>
      <c r="F55" s="205"/>
      <c r="G55" s="206"/>
      <c r="H55" s="207" t="str" cm="1">
        <f t="array" ref="H55">IFERROR(INDEX('Base de Dados'!$A$3:$C$4990,SMALL(IF('Base de Dados'!$C$3:$C$4990=$B$48,ROW('Base de Dados'!$C$3:$C$4990)-2),ROW(A25)),1)," -")</f>
        <v xml:space="preserve"> -</v>
      </c>
      <c r="I55" s="203"/>
      <c r="J55" s="203"/>
      <c r="K55" s="203"/>
      <c r="L55" s="203"/>
      <c r="M55" s="203"/>
      <c r="N55" s="204"/>
      <c r="O55" s="203" t="str" cm="1">
        <f t="array" ref="O55">IFERROR(INDEX('Base de Dados'!$A$3:$C$4990,SMALL(IF('Base de Dados'!$C$3:$C$4990=$B$48,ROW('Base de Dados'!$C$3:$C$4990)-2),ROW(A45)),1)," -")</f>
        <v xml:space="preserve"> -</v>
      </c>
      <c r="P55" s="203"/>
      <c r="Q55" s="203"/>
      <c r="R55" s="203"/>
      <c r="S55" s="203"/>
      <c r="T55" s="203"/>
      <c r="U55" s="204"/>
      <c r="V55" s="203" t="str" cm="1">
        <f t="array" ref="V55">IFERROR(INDEX('Base de Dados'!$A$3:$C$4990,SMALL(IF('Base de Dados'!$C$3:$C$4990=$B$48,ROW('Base de Dados'!$C$3:$C$4990)-2),ROW(A65)),1)," -")</f>
        <v xml:space="preserve"> -</v>
      </c>
      <c r="W55" s="203"/>
      <c r="X55" s="203"/>
      <c r="Y55" s="203"/>
      <c r="Z55" s="203"/>
      <c r="AA55" s="203"/>
      <c r="AB55" s="204"/>
    </row>
    <row r="56" spans="1:28" x14ac:dyDescent="0.25">
      <c r="A56" s="205" t="str" cm="1">
        <f t="array" ref="A56">IFERROR(INDEX('Base de Dados'!$A$3:$C$4990,SMALL(IF('Base de Dados'!$C$3:$C$4990=$B$48,ROW('Base de Dados'!$C$3:$C$4990)-2),ROW(A6)),1)," -")</f>
        <v xml:space="preserve"> -</v>
      </c>
      <c r="B56" s="205"/>
      <c r="C56" s="205"/>
      <c r="D56" s="205"/>
      <c r="E56" s="205"/>
      <c r="F56" s="205"/>
      <c r="G56" s="206"/>
      <c r="H56" s="207" t="str" cm="1">
        <f t="array" ref="H56">IFERROR(INDEX('Base de Dados'!$A$3:$C$4990,SMALL(IF('Base de Dados'!$C$3:$C$4990=$B$48,ROW('Base de Dados'!$C$3:$C$4990)-2),ROW(A26)),1)," -")</f>
        <v xml:space="preserve"> -</v>
      </c>
      <c r="I56" s="203"/>
      <c r="J56" s="203"/>
      <c r="K56" s="203"/>
      <c r="L56" s="203"/>
      <c r="M56" s="203"/>
      <c r="N56" s="204"/>
      <c r="O56" s="203" t="str" cm="1">
        <f t="array" ref="O56">IFERROR(INDEX('Base de Dados'!$A$3:$C$4990,SMALL(IF('Base de Dados'!$C$3:$C$4990=$B$48,ROW('Base de Dados'!$C$3:$C$4990)-2),ROW(A46)),1)," -")</f>
        <v xml:space="preserve"> -</v>
      </c>
      <c r="P56" s="203"/>
      <c r="Q56" s="203"/>
      <c r="R56" s="203"/>
      <c r="S56" s="203"/>
      <c r="T56" s="203"/>
      <c r="U56" s="204"/>
      <c r="V56" s="203" t="str" cm="1">
        <f t="array" ref="V56">IFERROR(INDEX('Base de Dados'!$A$3:$C$4990,SMALL(IF('Base de Dados'!$C$3:$C$4990=$B$48,ROW('Base de Dados'!$C$3:$C$4990)-2),ROW(A66)),1)," -")</f>
        <v xml:space="preserve"> -</v>
      </c>
      <c r="W56" s="203"/>
      <c r="X56" s="203"/>
      <c r="Y56" s="203"/>
      <c r="Z56" s="203"/>
      <c r="AA56" s="203"/>
      <c r="AB56" s="204"/>
    </row>
    <row r="57" spans="1:28" x14ac:dyDescent="0.25">
      <c r="A57" s="205" t="str" cm="1">
        <f t="array" ref="A57">IFERROR(INDEX('Base de Dados'!$A$3:$C$4990,SMALL(IF('Base de Dados'!$C$3:$C$4990=$B$48,ROW('Base de Dados'!$C$3:$C$4990)-2),ROW(A7)),1)," -")</f>
        <v xml:space="preserve"> -</v>
      </c>
      <c r="B57" s="205"/>
      <c r="C57" s="205"/>
      <c r="D57" s="205"/>
      <c r="E57" s="205"/>
      <c r="F57" s="205"/>
      <c r="G57" s="206"/>
      <c r="H57" s="207" t="str" cm="1">
        <f t="array" ref="H57">IFERROR(INDEX('Base de Dados'!$A$3:$C$4990,SMALL(IF('Base de Dados'!$C$3:$C$4990=$B$48,ROW('Base de Dados'!$C$3:$C$4990)-2),ROW(A27)),1)," -")</f>
        <v xml:space="preserve"> -</v>
      </c>
      <c r="I57" s="203"/>
      <c r="J57" s="203"/>
      <c r="K57" s="203"/>
      <c r="L57" s="203"/>
      <c r="M57" s="203"/>
      <c r="N57" s="204"/>
      <c r="O57" s="203" t="str" cm="1">
        <f t="array" ref="O57">IFERROR(INDEX('Base de Dados'!$A$3:$C$4990,SMALL(IF('Base de Dados'!$C$3:$C$4990=$B$48,ROW('Base de Dados'!$C$3:$C$4990)-2),ROW(A47)),1)," -")</f>
        <v xml:space="preserve"> -</v>
      </c>
      <c r="P57" s="203"/>
      <c r="Q57" s="203"/>
      <c r="R57" s="203"/>
      <c r="S57" s="203"/>
      <c r="T57" s="203"/>
      <c r="U57" s="204"/>
      <c r="V57" s="203" t="str" cm="1">
        <f t="array" ref="V57">IFERROR(INDEX('Base de Dados'!$A$3:$C$4990,SMALL(IF('Base de Dados'!$C$3:$C$4990=$B$48,ROW('Base de Dados'!$C$3:$C$4990)-2),ROW(A67)),1)," -")</f>
        <v xml:space="preserve"> -</v>
      </c>
      <c r="W57" s="203"/>
      <c r="X57" s="203"/>
      <c r="Y57" s="203"/>
      <c r="Z57" s="203"/>
      <c r="AA57" s="203"/>
      <c r="AB57" s="204"/>
    </row>
    <row r="58" spans="1:28" x14ac:dyDescent="0.25">
      <c r="A58" s="205" t="str" cm="1">
        <f t="array" ref="A58">IFERROR(INDEX('Base de Dados'!$A$3:$C$4990,SMALL(IF('Base de Dados'!$C$3:$C$4990=$B$48,ROW('Base de Dados'!$C$3:$C$4990)-2),ROW(A8)),1)," -")</f>
        <v xml:space="preserve"> -</v>
      </c>
      <c r="B58" s="205"/>
      <c r="C58" s="205"/>
      <c r="D58" s="205"/>
      <c r="E58" s="205"/>
      <c r="F58" s="205"/>
      <c r="G58" s="206"/>
      <c r="H58" s="207" t="str" cm="1">
        <f t="array" ref="H58">IFERROR(INDEX('Base de Dados'!$A$3:$C$4990,SMALL(IF('Base de Dados'!$C$3:$C$4990=$B$48,ROW('Base de Dados'!$C$3:$C$4990)-2),ROW(A28)),1)," -")</f>
        <v xml:space="preserve"> -</v>
      </c>
      <c r="I58" s="203"/>
      <c r="J58" s="203"/>
      <c r="K58" s="203"/>
      <c r="L58" s="203"/>
      <c r="M58" s="203"/>
      <c r="N58" s="204"/>
      <c r="O58" s="203" t="str" cm="1">
        <f t="array" ref="O58">IFERROR(INDEX('Base de Dados'!$A$3:$C$4990,SMALL(IF('Base de Dados'!$C$3:$C$4990=$B$48,ROW('Base de Dados'!$C$3:$C$4990)-2),ROW(A48)),1)," -")</f>
        <v xml:space="preserve"> -</v>
      </c>
      <c r="P58" s="203"/>
      <c r="Q58" s="203"/>
      <c r="R58" s="203"/>
      <c r="S58" s="203"/>
      <c r="T58" s="203"/>
      <c r="U58" s="204"/>
      <c r="V58" s="203" t="str" cm="1">
        <f t="array" ref="V58">IFERROR(INDEX('Base de Dados'!$A$3:$C$4990,SMALL(IF('Base de Dados'!$C$3:$C$4990=$B$48,ROW('Base de Dados'!$C$3:$C$4990)-2),ROW(A68)),1)," -")</f>
        <v xml:space="preserve"> -</v>
      </c>
      <c r="W58" s="203"/>
      <c r="X58" s="203"/>
      <c r="Y58" s="203"/>
      <c r="Z58" s="203"/>
      <c r="AA58" s="203"/>
      <c r="AB58" s="204"/>
    </row>
    <row r="59" spans="1:28" x14ac:dyDescent="0.25">
      <c r="A59" s="205" t="str" cm="1">
        <f t="array" ref="A59">IFERROR(INDEX('Base de Dados'!$A$3:$C$4990,SMALL(IF('Base de Dados'!$C$3:$C$4990=$B$48,ROW('Base de Dados'!$C$3:$C$4990)-2),ROW(A9)),1)," -")</f>
        <v xml:space="preserve"> -</v>
      </c>
      <c r="B59" s="205"/>
      <c r="C59" s="205"/>
      <c r="D59" s="205"/>
      <c r="E59" s="205"/>
      <c r="F59" s="205"/>
      <c r="G59" s="206"/>
      <c r="H59" s="207" t="str" cm="1">
        <f t="array" ref="H59">IFERROR(INDEX('Base de Dados'!$A$3:$C$4990,SMALL(IF('Base de Dados'!$C$3:$C$4990=$B$48,ROW('Base de Dados'!$C$3:$C$4990)-2),ROW(A29)),1)," -")</f>
        <v xml:space="preserve"> -</v>
      </c>
      <c r="I59" s="203"/>
      <c r="J59" s="203"/>
      <c r="K59" s="203"/>
      <c r="L59" s="203"/>
      <c r="M59" s="203"/>
      <c r="N59" s="204"/>
      <c r="O59" s="203" t="str" cm="1">
        <f t="array" ref="O59">IFERROR(INDEX('Base de Dados'!$A$3:$C$4990,SMALL(IF('Base de Dados'!$C$3:$C$4990=$B$48,ROW('Base de Dados'!$C$3:$C$4990)-2),ROW(A49)),1)," -")</f>
        <v xml:space="preserve"> -</v>
      </c>
      <c r="P59" s="203"/>
      <c r="Q59" s="203"/>
      <c r="R59" s="203"/>
      <c r="S59" s="203"/>
      <c r="T59" s="203"/>
      <c r="U59" s="204"/>
      <c r="V59" s="203" t="str" cm="1">
        <f t="array" ref="V59">IFERROR(INDEX('Base de Dados'!$A$3:$C$4990,SMALL(IF('Base de Dados'!$C$3:$C$4990=$B$48,ROW('Base de Dados'!$C$3:$C$4990)-2),ROW(A69)),1)," -")</f>
        <v xml:space="preserve"> -</v>
      </c>
      <c r="W59" s="203"/>
      <c r="X59" s="203"/>
      <c r="Y59" s="203"/>
      <c r="Z59" s="203"/>
      <c r="AA59" s="203"/>
      <c r="AB59" s="204"/>
    </row>
    <row r="60" spans="1:28" x14ac:dyDescent="0.25">
      <c r="A60" s="205" t="str" cm="1">
        <f t="array" ref="A60">IFERROR(INDEX('Base de Dados'!$A$3:$C$4990,SMALL(IF('Base de Dados'!$C$3:$C$4990=$B$48,ROW('Base de Dados'!$C$3:$C$4990)-2),ROW(A10)),1)," -")</f>
        <v xml:space="preserve"> -</v>
      </c>
      <c r="B60" s="205"/>
      <c r="C60" s="205"/>
      <c r="D60" s="205"/>
      <c r="E60" s="205"/>
      <c r="F60" s="205"/>
      <c r="G60" s="206"/>
      <c r="H60" s="207" t="str" cm="1">
        <f t="array" ref="H60">IFERROR(INDEX('Base de Dados'!$A$3:$C$4990,SMALL(IF('Base de Dados'!$C$3:$C$4990=$B$48,ROW('Base de Dados'!$C$3:$C$4990)-2),ROW(A30)),1)," -")</f>
        <v xml:space="preserve"> -</v>
      </c>
      <c r="I60" s="203"/>
      <c r="J60" s="203"/>
      <c r="K60" s="203"/>
      <c r="L60" s="203"/>
      <c r="M60" s="203"/>
      <c r="N60" s="204"/>
      <c r="O60" s="203" t="str" cm="1">
        <f t="array" ref="O60">IFERROR(INDEX('Base de Dados'!$A$3:$C$4990,SMALL(IF('Base de Dados'!$C$3:$C$4990=$B$48,ROW('Base de Dados'!$C$3:$C$4990)-2),ROW(A50)),1)," -")</f>
        <v xml:space="preserve"> -</v>
      </c>
      <c r="P60" s="203"/>
      <c r="Q60" s="203"/>
      <c r="R60" s="203"/>
      <c r="S60" s="203"/>
      <c r="T60" s="203"/>
      <c r="U60" s="204"/>
      <c r="V60" s="203" t="str" cm="1">
        <f t="array" ref="V60">IFERROR(INDEX('Base de Dados'!$A$3:$C$4990,SMALL(IF('Base de Dados'!$C$3:$C$4990=$B$48,ROW('Base de Dados'!$C$3:$C$4990)-2),ROW(A70)),1)," -")</f>
        <v xml:space="preserve"> -</v>
      </c>
      <c r="W60" s="203"/>
      <c r="X60" s="203"/>
      <c r="Y60" s="203"/>
      <c r="Z60" s="203"/>
      <c r="AA60" s="203"/>
      <c r="AB60" s="204"/>
    </row>
    <row r="61" spans="1:28" x14ac:dyDescent="0.25">
      <c r="A61" s="205" t="str" cm="1">
        <f t="array" ref="A61">IFERROR(INDEX('Base de Dados'!$A$3:$C$4990,SMALL(IF('Base de Dados'!$C$3:$C$4990=$B$48,ROW('Base de Dados'!$C$3:$C$4990)-2),ROW(A11)),1)," -")</f>
        <v xml:space="preserve"> -</v>
      </c>
      <c r="B61" s="205"/>
      <c r="C61" s="205"/>
      <c r="D61" s="205"/>
      <c r="E61" s="205"/>
      <c r="F61" s="205"/>
      <c r="G61" s="206"/>
      <c r="H61" s="207" t="str" cm="1">
        <f t="array" ref="H61">IFERROR(INDEX('Base de Dados'!$A$3:$C$4990,SMALL(IF('Base de Dados'!$C$3:$C$4990=$B$48,ROW('Base de Dados'!$C$3:$C$4990)-2),ROW(A31)),1)," -")</f>
        <v xml:space="preserve"> -</v>
      </c>
      <c r="I61" s="203"/>
      <c r="J61" s="203"/>
      <c r="K61" s="203"/>
      <c r="L61" s="203"/>
      <c r="M61" s="203"/>
      <c r="N61" s="204"/>
      <c r="O61" s="203" t="str" cm="1">
        <f t="array" ref="O61">IFERROR(INDEX('Base de Dados'!$A$3:$C$4990,SMALL(IF('Base de Dados'!$C$3:$C$4990=$B$48,ROW('Base de Dados'!$C$3:$C$4990)-2),ROW(A51)),1)," -")</f>
        <v xml:space="preserve"> -</v>
      </c>
      <c r="P61" s="203"/>
      <c r="Q61" s="203"/>
      <c r="R61" s="203"/>
      <c r="S61" s="203"/>
      <c r="T61" s="203"/>
      <c r="U61" s="204"/>
      <c r="V61" s="203" t="str" cm="1">
        <f t="array" ref="V61">IFERROR(INDEX('Base de Dados'!$A$3:$C$4990,SMALL(IF('Base de Dados'!$C$3:$C$4990=$B$48,ROW('Base de Dados'!$C$3:$C$4990)-2),ROW(A71)),1)," -")</f>
        <v xml:space="preserve"> -</v>
      </c>
      <c r="W61" s="203"/>
      <c r="X61" s="203"/>
      <c r="Y61" s="203"/>
      <c r="Z61" s="203"/>
      <c r="AA61" s="203"/>
      <c r="AB61" s="204"/>
    </row>
    <row r="62" spans="1:28" x14ac:dyDescent="0.25">
      <c r="A62" s="205" t="str" cm="1">
        <f t="array" ref="A62">IFERROR(INDEX('Base de Dados'!$A$3:$C$4990,SMALL(IF('Base de Dados'!$C$3:$C$4990=$B$48,ROW('Base de Dados'!$C$3:$C$4990)-2),ROW(A12)),1)," -")</f>
        <v xml:space="preserve"> -</v>
      </c>
      <c r="B62" s="205"/>
      <c r="C62" s="205"/>
      <c r="D62" s="205"/>
      <c r="E62" s="205"/>
      <c r="F62" s="205"/>
      <c r="G62" s="206"/>
      <c r="H62" s="207" t="str" cm="1">
        <f t="array" ref="H62">IFERROR(INDEX('Base de Dados'!$A$3:$C$4990,SMALL(IF('Base de Dados'!$C$3:$C$4990=$B$48,ROW('Base de Dados'!$C$3:$C$4990)-2),ROW(A32)),1)," -")</f>
        <v xml:space="preserve"> -</v>
      </c>
      <c r="I62" s="203"/>
      <c r="J62" s="203"/>
      <c r="K62" s="203"/>
      <c r="L62" s="203"/>
      <c r="M62" s="203"/>
      <c r="N62" s="204"/>
      <c r="O62" s="203" t="str" cm="1">
        <f t="array" ref="O62">IFERROR(INDEX('Base de Dados'!$A$3:$C$4990,SMALL(IF('Base de Dados'!$C$3:$C$4990=$B$48,ROW('Base de Dados'!$C$3:$C$4990)-2),ROW(A52)),1)," -")</f>
        <v xml:space="preserve"> -</v>
      </c>
      <c r="P62" s="203"/>
      <c r="Q62" s="203"/>
      <c r="R62" s="203"/>
      <c r="S62" s="203"/>
      <c r="T62" s="203"/>
      <c r="U62" s="204"/>
      <c r="V62" s="203" t="str" cm="1">
        <f t="array" ref="V62">IFERROR(INDEX('Base de Dados'!$A$3:$C$4990,SMALL(IF('Base de Dados'!$C$3:$C$4990=$B$48,ROW('Base de Dados'!$C$3:$C$4990)-2),ROW(A72)),1)," -")</f>
        <v xml:space="preserve"> -</v>
      </c>
      <c r="W62" s="203"/>
      <c r="X62" s="203"/>
      <c r="Y62" s="203"/>
      <c r="Z62" s="203"/>
      <c r="AA62" s="203"/>
      <c r="AB62" s="204"/>
    </row>
    <row r="63" spans="1:28" x14ac:dyDescent="0.25">
      <c r="A63" s="205" t="str" cm="1">
        <f t="array" ref="A63">IFERROR(INDEX('Base de Dados'!$A$3:$C$4990,SMALL(IF('Base de Dados'!$C$3:$C$4990=$B$48,ROW('Base de Dados'!$C$3:$C$4990)-2),ROW(A13)),1)," -")</f>
        <v xml:space="preserve"> -</v>
      </c>
      <c r="B63" s="205"/>
      <c r="C63" s="205"/>
      <c r="D63" s="205"/>
      <c r="E63" s="205"/>
      <c r="F63" s="205"/>
      <c r="G63" s="206"/>
      <c r="H63" s="207" t="str" cm="1">
        <f t="array" ref="H63">IFERROR(INDEX('Base de Dados'!$A$3:$C$4990,SMALL(IF('Base de Dados'!$C$3:$C$4990=$B$48,ROW('Base de Dados'!$C$3:$C$4990)-2),ROW(A33)),1)," -")</f>
        <v xml:space="preserve"> -</v>
      </c>
      <c r="I63" s="203"/>
      <c r="J63" s="203"/>
      <c r="K63" s="203"/>
      <c r="L63" s="203"/>
      <c r="M63" s="203"/>
      <c r="N63" s="204"/>
      <c r="O63" s="203" t="str" cm="1">
        <f t="array" ref="O63">IFERROR(INDEX('Base de Dados'!$A$3:$C$4990,SMALL(IF('Base de Dados'!$C$3:$C$4990=$B$48,ROW('Base de Dados'!$C$3:$C$4990)-2),ROW(A53)),1)," -")</f>
        <v xml:space="preserve"> -</v>
      </c>
      <c r="P63" s="203"/>
      <c r="Q63" s="203"/>
      <c r="R63" s="203"/>
      <c r="S63" s="203"/>
      <c r="T63" s="203"/>
      <c r="U63" s="204"/>
      <c r="V63" s="203" t="str" cm="1">
        <f t="array" ref="V63">IFERROR(INDEX('Base de Dados'!$A$3:$C$4990,SMALL(IF('Base de Dados'!$C$3:$C$4990=$B$48,ROW('Base de Dados'!$C$3:$C$4990)-2),ROW(A73)),1)," -")</f>
        <v xml:space="preserve"> -</v>
      </c>
      <c r="W63" s="203"/>
      <c r="X63" s="203"/>
      <c r="Y63" s="203"/>
      <c r="Z63" s="203"/>
      <c r="AA63" s="203"/>
      <c r="AB63" s="204"/>
    </row>
    <row r="64" spans="1:28" x14ac:dyDescent="0.25">
      <c r="A64" s="205" t="str" cm="1">
        <f t="array" ref="A64">IFERROR(INDEX('Base de Dados'!$A$3:$C$4990,SMALL(IF('Base de Dados'!$C$3:$C$4990=$B$48,ROW('Base de Dados'!$C$3:$C$4990)-2),ROW(A14)),1)," -")</f>
        <v xml:space="preserve"> -</v>
      </c>
      <c r="B64" s="205"/>
      <c r="C64" s="205"/>
      <c r="D64" s="205"/>
      <c r="E64" s="205"/>
      <c r="F64" s="205"/>
      <c r="G64" s="206"/>
      <c r="H64" s="207" t="str" cm="1">
        <f t="array" ref="H64">IFERROR(INDEX('Base de Dados'!$A$3:$C$4990,SMALL(IF('Base de Dados'!$C$3:$C$4990=$B$48,ROW('Base de Dados'!$C$3:$C$4990)-2),ROW(A34)),1)," -")</f>
        <v xml:space="preserve"> -</v>
      </c>
      <c r="I64" s="203"/>
      <c r="J64" s="203"/>
      <c r="K64" s="203"/>
      <c r="L64" s="203"/>
      <c r="M64" s="203"/>
      <c r="N64" s="204"/>
      <c r="O64" s="203" t="str" cm="1">
        <f t="array" ref="O64">IFERROR(INDEX('Base de Dados'!$A$3:$C$4990,SMALL(IF('Base de Dados'!$C$3:$C$4990=$B$48,ROW('Base de Dados'!$C$3:$C$4990)-2),ROW(A54)),1)," -")</f>
        <v xml:space="preserve"> -</v>
      </c>
      <c r="P64" s="203"/>
      <c r="Q64" s="203"/>
      <c r="R64" s="203"/>
      <c r="S64" s="203"/>
      <c r="T64" s="203"/>
      <c r="U64" s="204"/>
      <c r="V64" s="203" t="str" cm="1">
        <f t="array" ref="V64">IFERROR(INDEX('Base de Dados'!$A$3:$C$4990,SMALL(IF('Base de Dados'!$C$3:$C$4990=$B$48,ROW('Base de Dados'!$C$3:$C$4990)-2),ROW(A74)),1)," -")</f>
        <v xml:space="preserve"> -</v>
      </c>
      <c r="W64" s="203"/>
      <c r="X64" s="203"/>
      <c r="Y64" s="203"/>
      <c r="Z64" s="203"/>
      <c r="AA64" s="203"/>
      <c r="AB64" s="204"/>
    </row>
    <row r="65" spans="1:28" x14ac:dyDescent="0.25">
      <c r="A65" s="205" t="str" cm="1">
        <f t="array" ref="A65">IFERROR(INDEX('Base de Dados'!$A$3:$C$4990,SMALL(IF('Base de Dados'!$C$3:$C$4990=$B$48,ROW('Base de Dados'!$C$3:$C$4990)-2),ROW(A15)),1)," -")</f>
        <v xml:space="preserve"> -</v>
      </c>
      <c r="B65" s="205"/>
      <c r="C65" s="205"/>
      <c r="D65" s="205"/>
      <c r="E65" s="205"/>
      <c r="F65" s="205"/>
      <c r="G65" s="206"/>
      <c r="H65" s="207" t="str" cm="1">
        <f t="array" ref="H65">IFERROR(INDEX('Base de Dados'!$A$3:$C$4990,SMALL(IF('Base de Dados'!$C$3:$C$4990=$B$48,ROW('Base de Dados'!$C$3:$C$4990)-2),ROW(A35)),1)," -")</f>
        <v xml:space="preserve"> -</v>
      </c>
      <c r="I65" s="203"/>
      <c r="J65" s="203"/>
      <c r="K65" s="203"/>
      <c r="L65" s="203"/>
      <c r="M65" s="203"/>
      <c r="N65" s="204"/>
      <c r="O65" s="203" t="str" cm="1">
        <f t="array" ref="O65">IFERROR(INDEX('Base de Dados'!$A$3:$C$4990,SMALL(IF('Base de Dados'!$C$3:$C$4990=$B$48,ROW('Base de Dados'!$C$3:$C$4990)-2),ROW(A55)),1)," -")</f>
        <v xml:space="preserve"> -</v>
      </c>
      <c r="P65" s="203"/>
      <c r="Q65" s="203"/>
      <c r="R65" s="203"/>
      <c r="S65" s="203"/>
      <c r="T65" s="203"/>
      <c r="U65" s="204"/>
      <c r="V65" s="203" t="str" cm="1">
        <f t="array" ref="V65">IFERROR(INDEX('Base de Dados'!$A$3:$C$4990,SMALL(IF('Base de Dados'!$C$3:$C$4990=$B$48,ROW('Base de Dados'!$C$3:$C$4990)-2),ROW(A75)),1)," -")</f>
        <v xml:space="preserve"> -</v>
      </c>
      <c r="W65" s="203"/>
      <c r="X65" s="203"/>
      <c r="Y65" s="203"/>
      <c r="Z65" s="203"/>
      <c r="AA65" s="203"/>
      <c r="AB65" s="204"/>
    </row>
    <row r="66" spans="1:28" x14ac:dyDescent="0.25">
      <c r="A66" s="205" t="str" cm="1">
        <f t="array" ref="A66">IFERROR(INDEX('Base de Dados'!$A$3:$C$4990,SMALL(IF('Base de Dados'!$C$3:$C$4990=$B$48,ROW('Base de Dados'!$C$3:$C$4990)-2),ROW(A16)),1)," -")</f>
        <v xml:space="preserve"> -</v>
      </c>
      <c r="B66" s="205"/>
      <c r="C66" s="205"/>
      <c r="D66" s="205"/>
      <c r="E66" s="205"/>
      <c r="F66" s="205"/>
      <c r="G66" s="206"/>
      <c r="H66" s="207" t="str" cm="1">
        <f t="array" ref="H66">IFERROR(INDEX('Base de Dados'!$A$3:$C$4990,SMALL(IF('Base de Dados'!$C$3:$C$4990=$B$48,ROW('Base de Dados'!$C$3:$C$4990)-2),ROW(A36)),1)," -")</f>
        <v xml:space="preserve"> -</v>
      </c>
      <c r="I66" s="203"/>
      <c r="J66" s="203"/>
      <c r="K66" s="203"/>
      <c r="L66" s="203"/>
      <c r="M66" s="203"/>
      <c r="N66" s="204"/>
      <c r="O66" s="203" t="str" cm="1">
        <f t="array" ref="O66">IFERROR(INDEX('Base de Dados'!$A$3:$C$4990,SMALL(IF('Base de Dados'!$C$3:$C$4990=$B$48,ROW('Base de Dados'!$C$3:$C$4990)-2),ROW(A56)),1)," -")</f>
        <v xml:space="preserve"> -</v>
      </c>
      <c r="P66" s="203"/>
      <c r="Q66" s="203"/>
      <c r="R66" s="203"/>
      <c r="S66" s="203"/>
      <c r="T66" s="203"/>
      <c r="U66" s="204"/>
      <c r="V66" s="203" t="str" cm="1">
        <f t="array" ref="V66">IFERROR(INDEX('Base de Dados'!$A$3:$C$4990,SMALL(IF('Base de Dados'!$C$3:$C$4990=$B$48,ROW('Base de Dados'!$C$3:$C$4990)-2),ROW(A76)),1)," -")</f>
        <v xml:space="preserve"> -</v>
      </c>
      <c r="W66" s="203"/>
      <c r="X66" s="203"/>
      <c r="Y66" s="203"/>
      <c r="Z66" s="203"/>
      <c r="AA66" s="203"/>
      <c r="AB66" s="204"/>
    </row>
    <row r="67" spans="1:28" x14ac:dyDescent="0.25">
      <c r="A67" s="205" t="str" cm="1">
        <f t="array" ref="A67">IFERROR(INDEX('Base de Dados'!$A$3:$C$4990,SMALL(IF('Base de Dados'!$C$3:$C$4990=$B$48,ROW('Base de Dados'!$C$3:$C$4990)-2),ROW(A17)),1)," -")</f>
        <v xml:space="preserve"> -</v>
      </c>
      <c r="B67" s="205"/>
      <c r="C67" s="205"/>
      <c r="D67" s="205"/>
      <c r="E67" s="205"/>
      <c r="F67" s="205"/>
      <c r="G67" s="206"/>
      <c r="H67" s="207" t="str" cm="1">
        <f t="array" ref="H67">IFERROR(INDEX('Base de Dados'!$A$3:$C$4990,SMALL(IF('Base de Dados'!$C$3:$C$4990=$B$48,ROW('Base de Dados'!$C$3:$C$4990)-2),ROW(A37)),1)," -")</f>
        <v xml:space="preserve"> -</v>
      </c>
      <c r="I67" s="203"/>
      <c r="J67" s="203"/>
      <c r="K67" s="203"/>
      <c r="L67" s="203"/>
      <c r="M67" s="203"/>
      <c r="N67" s="204"/>
      <c r="O67" s="203" t="str" cm="1">
        <f t="array" ref="O67">IFERROR(INDEX('Base de Dados'!$A$3:$C$4990,SMALL(IF('Base de Dados'!$C$3:$C$4990=$B$48,ROW('Base de Dados'!$C$3:$C$4990)-2),ROW(A57)),1)," -")</f>
        <v xml:space="preserve"> -</v>
      </c>
      <c r="P67" s="203"/>
      <c r="Q67" s="203"/>
      <c r="R67" s="203"/>
      <c r="S67" s="203"/>
      <c r="T67" s="203"/>
      <c r="U67" s="204"/>
      <c r="V67" s="203" t="str" cm="1">
        <f t="array" ref="V67">IFERROR(INDEX('Base de Dados'!$A$3:$C$4990,SMALL(IF('Base de Dados'!$C$3:$C$4990=$B$48,ROW('Base de Dados'!$C$3:$C$4990)-2),ROW(A77)),1)," -")</f>
        <v xml:space="preserve"> -</v>
      </c>
      <c r="W67" s="203"/>
      <c r="X67" s="203"/>
      <c r="Y67" s="203"/>
      <c r="Z67" s="203"/>
      <c r="AA67" s="203"/>
      <c r="AB67" s="204"/>
    </row>
    <row r="68" spans="1:28" x14ac:dyDescent="0.25">
      <c r="A68" s="205" t="str" cm="1">
        <f t="array" ref="A68">IFERROR(INDEX('Base de Dados'!$A$3:$C$4990,SMALL(IF('Base de Dados'!$C$3:$C$4990=$B$48,ROW('Base de Dados'!$C$3:$C$4990)-2),ROW(A18)),1)," -")</f>
        <v xml:space="preserve"> -</v>
      </c>
      <c r="B68" s="205"/>
      <c r="C68" s="205"/>
      <c r="D68" s="205"/>
      <c r="E68" s="205"/>
      <c r="F68" s="205"/>
      <c r="G68" s="206"/>
      <c r="H68" s="207" t="str" cm="1">
        <f t="array" ref="H68">IFERROR(INDEX('Base de Dados'!$A$3:$C$4990,SMALL(IF('Base de Dados'!$C$3:$C$4990=$B$48,ROW('Base de Dados'!$C$3:$C$4990)-2),ROW(A38)),1)," -")</f>
        <v xml:space="preserve"> -</v>
      </c>
      <c r="I68" s="203"/>
      <c r="J68" s="203"/>
      <c r="K68" s="203"/>
      <c r="L68" s="203"/>
      <c r="M68" s="203"/>
      <c r="N68" s="204"/>
      <c r="O68" s="203" t="str" cm="1">
        <f t="array" ref="O68">IFERROR(INDEX('Base de Dados'!$A$3:$C$4990,SMALL(IF('Base de Dados'!$C$3:$C$4990=$B$48,ROW('Base de Dados'!$C$3:$C$4990)-2),ROW(A58)),1)," -")</f>
        <v xml:space="preserve"> -</v>
      </c>
      <c r="P68" s="203"/>
      <c r="Q68" s="203"/>
      <c r="R68" s="203"/>
      <c r="S68" s="203"/>
      <c r="T68" s="203"/>
      <c r="U68" s="204"/>
      <c r="V68" s="203" t="str" cm="1">
        <f t="array" ref="V68">IFERROR(INDEX('Base de Dados'!$A$3:$C$4990,SMALL(IF('Base de Dados'!$C$3:$C$4990=$B$48,ROW('Base de Dados'!$C$3:$C$4990)-2),ROW(A78)),1)," -")</f>
        <v xml:space="preserve"> -</v>
      </c>
      <c r="W68" s="203"/>
      <c r="X68" s="203"/>
      <c r="Y68" s="203"/>
      <c r="Z68" s="203"/>
      <c r="AA68" s="203"/>
      <c r="AB68" s="204"/>
    </row>
    <row r="69" spans="1:28" x14ac:dyDescent="0.25">
      <c r="A69" s="205" t="str" cm="1">
        <f t="array" ref="A69">IFERROR(INDEX('Base de Dados'!$A$3:$C$4990,SMALL(IF('Base de Dados'!$C$3:$C$4990=$B$48,ROW('Base de Dados'!$C$3:$C$4990)-2),ROW(A19)),1)," -")</f>
        <v xml:space="preserve"> -</v>
      </c>
      <c r="B69" s="205"/>
      <c r="C69" s="205"/>
      <c r="D69" s="205"/>
      <c r="E69" s="205"/>
      <c r="F69" s="205"/>
      <c r="G69" s="206"/>
      <c r="H69" s="207" t="str" cm="1">
        <f t="array" ref="H69">IFERROR(INDEX('Base de Dados'!$A$3:$C$4990,SMALL(IF('Base de Dados'!$C$3:$C$4990=$B$48,ROW('Base de Dados'!$C$3:$C$4990)-2),ROW(A39)),1)," -")</f>
        <v xml:space="preserve"> -</v>
      </c>
      <c r="I69" s="203"/>
      <c r="J69" s="203"/>
      <c r="K69" s="203"/>
      <c r="L69" s="203"/>
      <c r="M69" s="203"/>
      <c r="N69" s="204"/>
      <c r="O69" s="203" t="str" cm="1">
        <f t="array" ref="O69">IFERROR(INDEX('Base de Dados'!$A$3:$C$4990,SMALL(IF('Base de Dados'!$C$3:$C$4990=$B$48,ROW('Base de Dados'!$C$3:$C$4990)-2),ROW(A59)),1)," -")</f>
        <v xml:space="preserve"> -</v>
      </c>
      <c r="P69" s="203"/>
      <c r="Q69" s="203"/>
      <c r="R69" s="203"/>
      <c r="S69" s="203"/>
      <c r="T69" s="203"/>
      <c r="U69" s="204"/>
      <c r="V69" s="203" t="str" cm="1">
        <f t="array" ref="V69">IFERROR(INDEX('Base de Dados'!$A$3:$C$4990,SMALL(IF('Base de Dados'!$C$3:$C$4990=$B$48,ROW('Base de Dados'!$C$3:$C$4990)-2),ROW(A79)),1)," -")</f>
        <v xml:space="preserve"> -</v>
      </c>
      <c r="W69" s="203"/>
      <c r="X69" s="203"/>
      <c r="Y69" s="203"/>
      <c r="Z69" s="203"/>
      <c r="AA69" s="203"/>
      <c r="AB69" s="204"/>
    </row>
    <row r="70" spans="1:28" x14ac:dyDescent="0.25">
      <c r="A70" s="205" t="str" cm="1">
        <f t="array" ref="A70">IFERROR(INDEX('Base de Dados'!$A$3:$C$4990,SMALL(IF('Base de Dados'!$C$3:$C$4990=$B$48,ROW('Base de Dados'!$C$3:$C$4990)-2),ROW(A20)),1)," -")</f>
        <v xml:space="preserve"> -</v>
      </c>
      <c r="B70" s="205"/>
      <c r="C70" s="205"/>
      <c r="D70" s="205"/>
      <c r="E70" s="205"/>
      <c r="F70" s="205"/>
      <c r="G70" s="206"/>
      <c r="H70" s="207" t="str" cm="1">
        <f t="array" ref="H70">IFERROR(INDEX('Base de Dados'!$A$3:$C$4990,SMALL(IF('Base de Dados'!$C$3:$C$4990=$B$48,ROW('Base de Dados'!$C$3:$C$4990)-2),ROW(A40)),1)," -")</f>
        <v xml:space="preserve"> -</v>
      </c>
      <c r="I70" s="203"/>
      <c r="J70" s="203"/>
      <c r="K70" s="203"/>
      <c r="L70" s="203"/>
      <c r="M70" s="203"/>
      <c r="N70" s="204"/>
      <c r="O70" s="203" t="str" cm="1">
        <f t="array" ref="O70">IFERROR(INDEX('Base de Dados'!$A$3:$C$4990,SMALL(IF('Base de Dados'!$C$3:$C$4990=$B$48,ROW('Base de Dados'!$C$3:$C$4990)-2),ROW(A60)),1)," -")</f>
        <v xml:space="preserve"> -</v>
      </c>
      <c r="P70" s="203"/>
      <c r="Q70" s="203"/>
      <c r="R70" s="203"/>
      <c r="S70" s="203"/>
      <c r="T70" s="203"/>
      <c r="U70" s="204"/>
      <c r="V70" s="203" t="str" cm="1">
        <f t="array" ref="V70">IFERROR(INDEX('Base de Dados'!$A$3:$C$4990,SMALL(IF('Base de Dados'!$C$3:$C$4990=$B$48,ROW('Base de Dados'!$C$3:$C$4990)-2),ROW(A80)),1)," -")</f>
        <v xml:space="preserve"> -</v>
      </c>
      <c r="W70" s="203"/>
      <c r="X70" s="203"/>
      <c r="Y70" s="203"/>
      <c r="Z70" s="203"/>
      <c r="AA70" s="203"/>
      <c r="AB70" s="204"/>
    </row>
    <row r="72" spans="1:28" ht="18.75" x14ac:dyDescent="0.3">
      <c r="A72" s="229" t="s">
        <v>722</v>
      </c>
      <c r="B72" s="230"/>
      <c r="C72" s="230"/>
      <c r="D72" s="230"/>
      <c r="E72" s="230"/>
      <c r="F72" s="230"/>
      <c r="G72" s="230"/>
      <c r="H72" s="230"/>
      <c r="I72" s="230"/>
      <c r="J72" s="230"/>
      <c r="K72" s="230"/>
      <c r="L72" s="230"/>
      <c r="M72" s="230"/>
      <c r="N72" s="230"/>
      <c r="O72" s="230"/>
      <c r="P72" s="230"/>
      <c r="Q72" s="230"/>
      <c r="R72" s="230"/>
      <c r="S72" s="230"/>
      <c r="T72" s="230"/>
      <c r="U72" s="230"/>
      <c r="V72" s="230"/>
      <c r="W72" s="230"/>
      <c r="X72" s="230"/>
      <c r="Y72" s="230"/>
      <c r="Z72" s="230"/>
      <c r="AA72" s="230"/>
      <c r="AB72" s="230"/>
    </row>
    <row r="73" spans="1:28" ht="21" x14ac:dyDescent="0.35">
      <c r="A73" s="24" t="s">
        <v>723</v>
      </c>
      <c r="B73" s="216" t="s">
        <v>30</v>
      </c>
      <c r="C73" s="217"/>
      <c r="D73" s="217"/>
      <c r="E73" s="217"/>
      <c r="F73" s="217"/>
      <c r="G73" s="218"/>
      <c r="H73" s="23"/>
      <c r="I73" s="200" t="s">
        <v>724</v>
      </c>
      <c r="J73" s="201"/>
      <c r="K73" s="201"/>
      <c r="L73" s="202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208" t="s">
        <v>718</v>
      </c>
      <c r="B75" s="209"/>
      <c r="C75" s="209"/>
      <c r="D75" s="209"/>
      <c r="E75" s="209"/>
      <c r="F75" s="209"/>
      <c r="G75" s="209"/>
      <c r="H75" s="209"/>
      <c r="I75" s="209"/>
      <c r="J75" s="209"/>
      <c r="K75" s="209"/>
      <c r="L75" s="209"/>
      <c r="M75" s="209"/>
      <c r="N75" s="209"/>
      <c r="O75" s="209"/>
      <c r="P75" s="209"/>
      <c r="Q75" s="209"/>
      <c r="R75" s="209"/>
      <c r="S75" s="209"/>
      <c r="T75" s="209"/>
      <c r="U75" s="209"/>
      <c r="V75" s="209"/>
      <c r="W75" s="209"/>
      <c r="X75" s="209"/>
      <c r="Y75" s="209"/>
      <c r="Z75" s="209"/>
      <c r="AA75" s="209"/>
      <c r="AB75" s="209"/>
    </row>
    <row r="76" spans="1:28" x14ac:dyDescent="0.25">
      <c r="A76" s="211" t="str" cm="1">
        <f t="array" ref="A76">IFERROR(INDEX('Base de Dados'!$A$3:$M$4990,SMALL(IF('Base de Dados'!$M$3:$M$4990=$B$73,ROW('Base de Dados'!$M$3:$M$4990)-2),ROW(A1)),1),"-")</f>
        <v>Excel Avançado</v>
      </c>
      <c r="B76" s="211"/>
      <c r="C76" s="211"/>
      <c r="D76" s="211"/>
      <c r="E76" s="211"/>
      <c r="F76" s="211"/>
      <c r="G76" s="212"/>
      <c r="H76" s="213" t="str">
        <f t="array" ref="H76">IFERROR(INDEX('Base de Dados'!$A$3:$M$4990,SMALL(IF('Base de Dados'!$M$3:$M$4990=$B$73,ROW('Base de Dados'!$M$3:$M$4990)-2),ROW(A21)),1),"-")</f>
        <v>Não Espere Pelo Epitáfio!</v>
      </c>
      <c r="I76" s="214"/>
      <c r="J76" s="214"/>
      <c r="K76" s="214"/>
      <c r="L76" s="214"/>
      <c r="M76" s="214"/>
      <c r="N76" s="215"/>
      <c r="O76" s="235" t="str" cm="1">
        <f t="array" ref="O76">IFERROR(INDEX('Base de Dados'!$A$3:$M$4990,SMALL(IF('Base de Dados'!$M$3:$M$4990=$B$73,ROW('Base de Dados'!$M$3:$M$4990)-2),ROW(A41)),1),"-")</f>
        <v>Português Prático</v>
      </c>
      <c r="P76" s="236"/>
      <c r="Q76" s="236"/>
      <c r="R76" s="236"/>
      <c r="S76" s="236"/>
      <c r="T76" s="236"/>
      <c r="U76" s="237"/>
      <c r="V76" s="203" t="str" cm="1">
        <f t="array" ref="V76">IFERROR(INDEX('Base de Dados'!$A$3:$C$4990,SMALL(IF('Base de Dados'!$C$3:$C$4990=$B$48,ROW('Base de Dados'!$C$3:$C$4990)-2),ROW(A61)),1)," -")</f>
        <v xml:space="preserve"> -</v>
      </c>
      <c r="W76" s="203"/>
      <c r="X76" s="203"/>
      <c r="Y76" s="203"/>
      <c r="Z76" s="203"/>
      <c r="AA76" s="203"/>
      <c r="AB76" s="204"/>
    </row>
    <row r="77" spans="1:28" x14ac:dyDescent="0.25">
      <c r="A77" s="211" t="str" cm="1">
        <f t="array" ref="A77">IFERROR(INDEX('Base de Dados'!$A$3:$M$4990,SMALL(IF('Base de Dados'!$M$3:$M$4990=$B$73,ROW('Base de Dados'!$M$3:$M$4990)-2),ROW(A2)),1),"-")</f>
        <v>Constituição</v>
      </c>
      <c r="B77" s="211"/>
      <c r="C77" s="211"/>
      <c r="D77" s="211"/>
      <c r="E77" s="211"/>
      <c r="F77" s="211"/>
      <c r="G77" s="212"/>
      <c r="H77" s="213" t="str">
        <f t="array" ref="H77">IFERROR(INDEX('Base de Dados'!$A$3:$M$4990,SMALL(IF('Base de Dados'!$M$3:$M$4990=$B$73,ROW('Base de Dados'!$M$3:$M$4990)-2),ROW(A22)),1),"-")</f>
        <v>Não Nascemos Prontos!</v>
      </c>
      <c r="I77" s="214"/>
      <c r="J77" s="214"/>
      <c r="K77" s="214"/>
      <c r="L77" s="214"/>
      <c r="M77" s="214"/>
      <c r="N77" s="215"/>
      <c r="O77" s="235" t="str" cm="1">
        <f t="array" ref="O77">IFERROR(INDEX('Base de Dados'!$A$3:$M$4990,SMALL(IF('Base de Dados'!$M$3:$M$4990=$B$73,ROW('Base de Dados'!$M$3:$M$4990)-2),ROW(A42)),1),"-")</f>
        <v>Química (Ensino Médio)</v>
      </c>
      <c r="P77" s="236"/>
      <c r="Q77" s="236"/>
      <c r="R77" s="236"/>
      <c r="S77" s="236"/>
      <c r="T77" s="236"/>
      <c r="U77" s="237"/>
      <c r="V77" s="203" t="str" cm="1">
        <f t="array" ref="V77">IFERROR(INDEX('Base de Dados'!$A$3:$C$4990,SMALL(IF('Base de Dados'!$C$3:$C$4990=$B$48,ROW('Base de Dados'!$C$3:$C$4990)-2),ROW(A62)),1)," -")</f>
        <v xml:space="preserve"> -</v>
      </c>
      <c r="W77" s="203"/>
      <c r="X77" s="203"/>
      <c r="Y77" s="203"/>
      <c r="Z77" s="203"/>
      <c r="AA77" s="203"/>
      <c r="AB77" s="204"/>
    </row>
    <row r="78" spans="1:28" x14ac:dyDescent="0.25">
      <c r="A78" s="211" t="str" cm="1">
        <f t="array" ref="A78">IFERROR(INDEX('Base de Dados'!$A$3:$M$4990,SMALL(IF('Base de Dados'!$M$3:$M$4990=$B$73,ROW('Base de Dados'!$M$3:$M$4990)-2),ROW(A3)),1),"-")</f>
        <v>Noções Essenciais de Direito</v>
      </c>
      <c r="B78" s="211"/>
      <c r="C78" s="211"/>
      <c r="D78" s="211"/>
      <c r="E78" s="211"/>
      <c r="F78" s="211"/>
      <c r="G78" s="212"/>
      <c r="H78" s="213" t="str">
        <f t="array" ref="H78">IFERROR(INDEX('Base de Dados'!$A$3:$M$4990,SMALL(IF('Base de Dados'!$M$3:$M$4990=$B$73,ROW('Base de Dados'!$M$3:$M$4990)-2),ROW(A23)),1),"-")</f>
        <v>Filhos Brilhantes, Alunos Fascinantes</v>
      </c>
      <c r="I78" s="214"/>
      <c r="J78" s="214"/>
      <c r="K78" s="214"/>
      <c r="L78" s="214"/>
      <c r="M78" s="214"/>
      <c r="N78" s="215"/>
      <c r="O78" s="235" t="str" cm="1">
        <f t="array" ref="O78">IFERROR(INDEX('Base de Dados'!$A$3:$M$4990,SMALL(IF('Base de Dados'!$M$3:$M$4990=$B$73,ROW('Base de Dados'!$M$3:$M$4990)-2),ROW(A43)),1),"-")</f>
        <v>Teoria da Usinagem de Materiais</v>
      </c>
      <c r="P78" s="236"/>
      <c r="Q78" s="236"/>
      <c r="R78" s="236"/>
      <c r="S78" s="236"/>
      <c r="T78" s="236"/>
      <c r="U78" s="237"/>
      <c r="V78" s="203" t="str" cm="1">
        <f t="array" ref="V78">IFERROR(INDEX('Base de Dados'!$A$3:$C$4990,SMALL(IF('Base de Dados'!$C$3:$C$4990=$B$48,ROW('Base de Dados'!$C$3:$C$4990)-2),ROW(A63)),1)," -")</f>
        <v xml:space="preserve"> -</v>
      </c>
      <c r="W78" s="203"/>
      <c r="X78" s="203"/>
      <c r="Y78" s="203"/>
      <c r="Z78" s="203"/>
      <c r="AA78" s="203"/>
      <c r="AB78" s="204"/>
    </row>
    <row r="79" spans="1:28" x14ac:dyDescent="0.25">
      <c r="A79" s="211" t="str" cm="1">
        <f t="array" ref="A79">IFERROR(INDEX('Base de Dados'!$A$3:$M$4990,SMALL(IF('Base de Dados'!$M$3:$M$4990=$B$73,ROW('Base de Dados'!$M$3:$M$4990)-2),ROW(A4)),1),"-")</f>
        <v>Introdução à Economia Solidária</v>
      </c>
      <c r="B79" s="211"/>
      <c r="C79" s="211"/>
      <c r="D79" s="211"/>
      <c r="E79" s="211"/>
      <c r="F79" s="211"/>
      <c r="G79" s="212"/>
      <c r="H79" s="213" t="str">
        <f t="array" ref="H79">IFERROR(INDEX('Base de Dados'!$A$3:$M$4990,SMALL(IF('Base de Dados'!$M$3:$M$4990=$B$73,ROW('Base de Dados'!$M$3:$M$4990)-2),ROW(A24)),1),"-")</f>
        <v>Feliz</v>
      </c>
      <c r="I79" s="214"/>
      <c r="J79" s="214"/>
      <c r="K79" s="214"/>
      <c r="L79" s="214"/>
      <c r="M79" s="214"/>
      <c r="N79" s="215"/>
      <c r="O79" s="235" t="str" cm="1">
        <f t="array" ref="O79">IFERROR(INDEX('Base de Dados'!$A$3:$M$4990,SMALL(IF('Base de Dados'!$M$3:$M$4990=$B$73,ROW('Base de Dados'!$M$3:$M$4990)-2),ROW(A44)),1),"-")</f>
        <v>Elementos de Eletrônica Digital</v>
      </c>
      <c r="P79" s="236"/>
      <c r="Q79" s="236"/>
      <c r="R79" s="236"/>
      <c r="S79" s="236"/>
      <c r="T79" s="236"/>
      <c r="U79" s="237"/>
      <c r="V79" s="203" t="str" cm="1">
        <f t="array" ref="V79">IFERROR(INDEX('Base de Dados'!$A$3:$C$4990,SMALL(IF('Base de Dados'!$C$3:$C$4990=$B$48,ROW('Base de Dados'!$C$3:$C$4990)-2),ROW(A64)),1)," -")</f>
        <v xml:space="preserve"> -</v>
      </c>
      <c r="W79" s="203"/>
      <c r="X79" s="203"/>
      <c r="Y79" s="203"/>
      <c r="Z79" s="203"/>
      <c r="AA79" s="203"/>
      <c r="AB79" s="204"/>
    </row>
    <row r="80" spans="1:28" x14ac:dyDescent="0.25">
      <c r="A80" s="211" t="str" cm="1">
        <f t="array" ref="A80">IFERROR(INDEX('Base de Dados'!$A$3:$M$4990,SMALL(IF('Base de Dados'!$M$3:$M$4990=$B$73,ROW('Base de Dados'!$M$3:$M$4990)-2),ROW(A5)),1),"-")</f>
        <v>Antologia Poética</v>
      </c>
      <c r="B80" s="211"/>
      <c r="C80" s="211"/>
      <c r="D80" s="211"/>
      <c r="E80" s="211"/>
      <c r="F80" s="211"/>
      <c r="G80" s="212"/>
      <c r="H80" s="213" t="str">
        <f t="array" ref="H80">IFERROR(INDEX('Base de Dados'!$A$3:$M$4990,SMALL(IF('Base de Dados'!$M$3:$M$4990=$B$73,ROW('Base de Dados'!$M$3:$M$4990)-2),ROW(A25)),1),"-")</f>
        <v>História do Brasil</v>
      </c>
      <c r="I80" s="214"/>
      <c r="J80" s="214"/>
      <c r="K80" s="214"/>
      <c r="L80" s="214"/>
      <c r="M80" s="214"/>
      <c r="N80" s="215"/>
      <c r="O80" s="235" t="str" cm="1">
        <f t="array" ref="O80">IFERROR(INDEX('Base de Dados'!$A$3:$M$4990,SMALL(IF('Base de Dados'!$M$3:$M$4990=$B$73,ROW('Base de Dados'!$M$3:$M$4990)-2),ROW(A45)),1),"-")</f>
        <v>11º Congresso de Iniciação Científica</v>
      </c>
      <c r="P80" s="236"/>
      <c r="Q80" s="236"/>
      <c r="R80" s="236"/>
      <c r="S80" s="236"/>
      <c r="T80" s="236"/>
      <c r="U80" s="237"/>
      <c r="V80" s="203" t="str" cm="1">
        <f t="array" ref="V80">IFERROR(INDEX('Base de Dados'!$A$3:$C$4990,SMALL(IF('Base de Dados'!$C$3:$C$4990=$B$48,ROW('Base de Dados'!$C$3:$C$4990)-2),ROW(A65)),1)," -")</f>
        <v xml:space="preserve"> -</v>
      </c>
      <c r="W80" s="203"/>
      <c r="X80" s="203"/>
      <c r="Y80" s="203"/>
      <c r="Z80" s="203"/>
      <c r="AA80" s="203"/>
      <c r="AB80" s="204"/>
    </row>
    <row r="81" spans="1:28" x14ac:dyDescent="0.25">
      <c r="A81" s="211" t="str" cm="1">
        <f t="array" ref="A81">IFERROR(INDEX('Base de Dados'!$A$3:$M$4990,SMALL(IF('Base de Dados'!$M$3:$M$4990=$B$73,ROW('Base de Dados'!$M$3:$M$4990)-2),ROW(A6)),1),"-")</f>
        <v>Castelos de Marzipã</v>
      </c>
      <c r="B81" s="211"/>
      <c r="C81" s="211"/>
      <c r="D81" s="211"/>
      <c r="E81" s="211"/>
      <c r="F81" s="211"/>
      <c r="G81" s="212"/>
      <c r="H81" s="213" t="str">
        <f t="array" ref="H81">IFERROR(INDEX('Base de Dados'!$A$3:$M$4990,SMALL(IF('Base de Dados'!$M$3:$M$4990=$B$73,ROW('Base de Dados'!$M$3:$M$4990)-2),ROW(A26)),1),"-")</f>
        <v>A Bíblia do Caos</v>
      </c>
      <c r="I81" s="214"/>
      <c r="J81" s="214"/>
      <c r="K81" s="214"/>
      <c r="L81" s="214"/>
      <c r="M81" s="214"/>
      <c r="N81" s="215"/>
      <c r="O81" s="235" t="str" cm="1">
        <f t="array" ref="O81">IFERROR(INDEX('Base de Dados'!$A$3:$M$4990,SMALL(IF('Base de Dados'!$M$3:$M$4990=$B$73,ROW('Base de Dados'!$M$3:$M$4990)-2),ROW(A46)),1),"-")</f>
        <v>Viva Natural</v>
      </c>
      <c r="P81" s="236"/>
      <c r="Q81" s="236"/>
      <c r="R81" s="236"/>
      <c r="S81" s="236"/>
      <c r="T81" s="236"/>
      <c r="U81" s="237"/>
      <c r="V81" s="203" t="str" cm="1">
        <f t="array" ref="V81">IFERROR(INDEX('Base de Dados'!$A$3:$C$4990,SMALL(IF('Base de Dados'!$C$3:$C$4990=$B$48,ROW('Base de Dados'!$C$3:$C$4990)-2),ROW(A66)),1)," -")</f>
        <v xml:space="preserve"> -</v>
      </c>
      <c r="W81" s="203"/>
      <c r="X81" s="203"/>
      <c r="Y81" s="203"/>
      <c r="Z81" s="203"/>
      <c r="AA81" s="203"/>
      <c r="AB81" s="204"/>
    </row>
    <row r="82" spans="1:28" x14ac:dyDescent="0.25">
      <c r="A82" s="211" t="str" cm="1">
        <f t="array" ref="A82">IFERROR(INDEX('Base de Dados'!$A$3:$M$4990,SMALL(IF('Base de Dados'!$M$3:$M$4990=$B$73,ROW('Base de Dados'!$M$3:$M$4990)-2),ROW(A7)),1),"-")</f>
        <v>Um Certo Jaques Netan</v>
      </c>
      <c r="B82" s="211"/>
      <c r="C82" s="211"/>
      <c r="D82" s="211"/>
      <c r="E82" s="211"/>
      <c r="F82" s="211"/>
      <c r="G82" s="212"/>
      <c r="H82" s="213" t="str">
        <f t="array" ref="H82">IFERROR(INDEX('Base de Dados'!$A$3:$M$4990,SMALL(IF('Base de Dados'!$M$3:$M$4990=$B$73,ROW('Base de Dados'!$M$3:$M$4990)-2),ROW(A27)),1),"-")</f>
        <v>Manual de Administração Pessoal</v>
      </c>
      <c r="I82" s="214"/>
      <c r="J82" s="214"/>
      <c r="K82" s="214"/>
      <c r="L82" s="214"/>
      <c r="M82" s="214"/>
      <c r="N82" s="215"/>
      <c r="O82" s="235" t="str" cm="1">
        <f t="array" ref="O82">IFERROR(INDEX('Base de Dados'!$A$3:$M$4990,SMALL(IF('Base de Dados'!$M$3:$M$4990=$B$73,ROW('Base de Dados'!$M$3:$M$4990)-2),ROW(A47)),1),"-")</f>
        <v>Larousse Avançado - Inglês / Português</v>
      </c>
      <c r="P82" s="236"/>
      <c r="Q82" s="236"/>
      <c r="R82" s="236"/>
      <c r="S82" s="236"/>
      <c r="T82" s="236"/>
      <c r="U82" s="237"/>
      <c r="V82" s="203" t="str" cm="1">
        <f t="array" ref="V82">IFERROR(INDEX('Base de Dados'!$A$3:$C$4990,SMALL(IF('Base de Dados'!$C$3:$C$4990=$B$48,ROW('Base de Dados'!$C$3:$C$4990)-2),ROW(A67)),1)," -")</f>
        <v xml:space="preserve"> -</v>
      </c>
      <c r="W82" s="203"/>
      <c r="X82" s="203"/>
      <c r="Y82" s="203"/>
      <c r="Z82" s="203"/>
      <c r="AA82" s="203"/>
      <c r="AB82" s="204"/>
    </row>
    <row r="83" spans="1:28" x14ac:dyDescent="0.25">
      <c r="A83" s="211" t="str" cm="1">
        <f t="array" ref="A83">IFERROR(INDEX('Base de Dados'!$A$3:$M$4990,SMALL(IF('Base de Dados'!$M$3:$M$4990=$B$73,ROW('Base de Dados'!$M$3:$M$4990)-2),ROW(A8)),1),"-")</f>
        <v>O Cético</v>
      </c>
      <c r="B83" s="211"/>
      <c r="C83" s="211"/>
      <c r="D83" s="211"/>
      <c r="E83" s="211"/>
      <c r="F83" s="211"/>
      <c r="G83" s="212"/>
      <c r="H83" s="213" t="str">
        <f t="array" ref="H83">IFERROR(INDEX('Base de Dados'!$A$3:$M$4990,SMALL(IF('Base de Dados'!$M$3:$M$4990=$B$73,ROW('Base de Dados'!$M$3:$M$4990)-2),ROW(A28)),1),"-")</f>
        <v>Plano de Marketing para Micro e Pequena Empresa</v>
      </c>
      <c r="I83" s="214"/>
      <c r="J83" s="214"/>
      <c r="K83" s="214"/>
      <c r="L83" s="214"/>
      <c r="M83" s="214"/>
      <c r="N83" s="215"/>
      <c r="O83" s="235" t="str" cm="1">
        <f t="array" ref="O83">IFERROR(INDEX('Base de Dados'!$A$3:$M$4990,SMALL(IF('Base de Dados'!$M$3:$M$4990=$B$73,ROW('Base de Dados'!$M$3:$M$4990)-2),ROW(A48)),1),"-")</f>
        <v>Larousse Mini - Francês / Português</v>
      </c>
      <c r="P83" s="236"/>
      <c r="Q83" s="236"/>
      <c r="R83" s="236"/>
      <c r="S83" s="236"/>
      <c r="T83" s="236"/>
      <c r="U83" s="237"/>
      <c r="V83" s="203" t="str" cm="1">
        <f t="array" ref="V83">IFERROR(INDEX('Base de Dados'!$A$3:$C$4990,SMALL(IF('Base de Dados'!$C$3:$C$4990=$B$48,ROW('Base de Dados'!$C$3:$C$4990)-2),ROW(A68)),1)," -")</f>
        <v xml:space="preserve"> -</v>
      </c>
      <c r="W83" s="203"/>
      <c r="X83" s="203"/>
      <c r="Y83" s="203"/>
      <c r="Z83" s="203"/>
      <c r="AA83" s="203"/>
      <c r="AB83" s="204"/>
    </row>
    <row r="84" spans="1:28" x14ac:dyDescent="0.25">
      <c r="A84" s="211" t="str" cm="1">
        <f t="array" ref="A84">IFERROR(INDEX('Base de Dados'!$A$3:$M$4990,SMALL(IF('Base de Dados'!$M$3:$M$4990=$B$73,ROW('Base de Dados'!$M$3:$M$4990)-2),ROW(A9)),1),"-")</f>
        <v>Esaú e Jacó</v>
      </c>
      <c r="B84" s="211"/>
      <c r="C84" s="211"/>
      <c r="D84" s="211"/>
      <c r="E84" s="211"/>
      <c r="F84" s="211"/>
      <c r="G84" s="212"/>
      <c r="H84" s="213" t="str">
        <f t="array" ref="H84">IFERROR(INDEX('Base de Dados'!$A$3:$M$4990,SMALL(IF('Base de Dados'!$M$3:$M$4990=$B$73,ROW('Base de Dados'!$M$3:$M$4990)-2),ROW(A29)),1),"-")</f>
        <v>Prática Administrativas em Escritório</v>
      </c>
      <c r="I84" s="214"/>
      <c r="J84" s="214"/>
      <c r="K84" s="214"/>
      <c r="L84" s="214"/>
      <c r="M84" s="214"/>
      <c r="N84" s="215"/>
      <c r="O84" s="235" t="str" cm="1">
        <f t="array" ref="O84">IFERROR(INDEX('Base de Dados'!$A$3:$M$4990,SMALL(IF('Base de Dados'!$M$3:$M$4990=$B$73,ROW('Base de Dados'!$M$3:$M$4990)-2),ROW(A49)),1),"-")</f>
        <v>Minigramática</v>
      </c>
      <c r="P84" s="236"/>
      <c r="Q84" s="236"/>
      <c r="R84" s="236"/>
      <c r="S84" s="236"/>
      <c r="T84" s="236"/>
      <c r="U84" s="237"/>
      <c r="V84" s="203" t="str" cm="1">
        <f t="array" ref="V84">IFERROR(INDEX('Base de Dados'!$A$3:$C$4990,SMALL(IF('Base de Dados'!$C$3:$C$4990=$B$48,ROW('Base de Dados'!$C$3:$C$4990)-2),ROW(A69)),1)," -")</f>
        <v xml:space="preserve"> -</v>
      </c>
      <c r="W84" s="203"/>
      <c r="X84" s="203"/>
      <c r="Y84" s="203"/>
      <c r="Z84" s="203"/>
      <c r="AA84" s="203"/>
      <c r="AB84" s="204"/>
    </row>
    <row r="85" spans="1:28" x14ac:dyDescent="0.25">
      <c r="A85" s="211" t="str" cm="1">
        <f t="array" ref="A85">IFERROR(INDEX('Base de Dados'!$A$3:$M$4990,SMALL(IF('Base de Dados'!$M$3:$M$4990=$B$73,ROW('Base de Dados'!$M$3:$M$4990)-2),ROW(A10)),1),"-")</f>
        <v>Foi Assim</v>
      </c>
      <c r="B85" s="211"/>
      <c r="C85" s="211"/>
      <c r="D85" s="211"/>
      <c r="E85" s="211"/>
      <c r="F85" s="211"/>
      <c r="G85" s="212"/>
      <c r="H85" s="213" t="str">
        <f t="array" ref="H85">IFERROR(INDEX('Base de Dados'!$A$3:$M$4990,SMALL(IF('Base de Dados'!$M$3:$M$4990=$B$73,ROW('Base de Dados'!$M$3:$M$4990)-2),ROW(A30)),1),"-")</f>
        <v>Boas Notícias</v>
      </c>
      <c r="I85" s="214"/>
      <c r="J85" s="214"/>
      <c r="K85" s="214"/>
      <c r="L85" s="214"/>
      <c r="M85" s="214"/>
      <c r="N85" s="215"/>
      <c r="O85" s="235" t="str" cm="1">
        <f t="array" ref="O85">IFERROR(INDEX('Base de Dados'!$A$3:$M$4990,SMALL(IF('Base de Dados'!$M$3:$M$4990=$B$73,ROW('Base de Dados'!$M$3:$M$4990)-2),ROW(A50)),1),"-")</f>
        <v>Mini Aurélio - 8a edição</v>
      </c>
      <c r="P85" s="236"/>
      <c r="Q85" s="236"/>
      <c r="R85" s="236"/>
      <c r="S85" s="236"/>
      <c r="T85" s="236"/>
      <c r="U85" s="237"/>
      <c r="V85" s="203" t="str" cm="1">
        <f t="array" ref="V85">IFERROR(INDEX('Base de Dados'!$A$3:$C$4990,SMALL(IF('Base de Dados'!$C$3:$C$4990=$B$48,ROW('Base de Dados'!$C$3:$C$4990)-2),ROW(A70)),1)," -")</f>
        <v xml:space="preserve"> -</v>
      </c>
      <c r="W85" s="203"/>
      <c r="X85" s="203"/>
      <c r="Y85" s="203"/>
      <c r="Z85" s="203"/>
      <c r="AA85" s="203"/>
      <c r="AB85" s="204"/>
    </row>
    <row r="86" spans="1:28" x14ac:dyDescent="0.25">
      <c r="A86" s="211" t="str" cm="1">
        <f t="array" ref="A86">IFERROR(INDEX('Base de Dados'!$A$3:$M$4990,SMALL(IF('Base de Dados'!$M$3:$M$4990=$B$73,ROW('Base de Dados'!$M$3:$M$4990)-2),ROW(A11)),1),"-")</f>
        <v>Memórias Inventadas</v>
      </c>
      <c r="B86" s="211"/>
      <c r="C86" s="211"/>
      <c r="D86" s="211"/>
      <c r="E86" s="211"/>
      <c r="F86" s="211"/>
      <c r="G86" s="212"/>
      <c r="H86" s="213" t="str">
        <f t="array" ref="H86">IFERROR(INDEX('Base de Dados'!$A$3:$M$4990,SMALL(IF('Base de Dados'!$M$3:$M$4990=$B$73,ROW('Base de Dados'!$M$3:$M$4990)-2),ROW(A31)),1),"-")</f>
        <v>Boas Notícias 2 - Frases para compartilhar</v>
      </c>
      <c r="I86" s="214"/>
      <c r="J86" s="214"/>
      <c r="K86" s="214"/>
      <c r="L86" s="214"/>
      <c r="M86" s="214"/>
      <c r="N86" s="215"/>
      <c r="O86" s="235" t="str" cm="1">
        <f t="array" ref="O86">IFERROR(INDEX('Base de Dados'!$A$3:$M$4990,SMALL(IF('Base de Dados'!$M$3:$M$4990=$B$73,ROW('Base de Dados'!$M$3:$M$4990)-2),ROW(A51)),1),"-")</f>
        <v>Mini Aurélio - 7a edição</v>
      </c>
      <c r="P86" s="236"/>
      <c r="Q86" s="236"/>
      <c r="R86" s="236"/>
      <c r="S86" s="236"/>
      <c r="T86" s="236"/>
      <c r="U86" s="237"/>
      <c r="V86" s="203" t="str" cm="1">
        <f t="array" ref="V86">IFERROR(INDEX('Base de Dados'!$A$3:$C$4990,SMALL(IF('Base de Dados'!$C$3:$C$4990=$B$48,ROW('Base de Dados'!$C$3:$C$4990)-2),ROW(A71)),1)," -")</f>
        <v xml:space="preserve"> -</v>
      </c>
      <c r="W86" s="203"/>
      <c r="X86" s="203"/>
      <c r="Y86" s="203"/>
      <c r="Z86" s="203"/>
      <c r="AA86" s="203"/>
      <c r="AB86" s="204"/>
    </row>
    <row r="87" spans="1:28" x14ac:dyDescent="0.25">
      <c r="A87" s="211" t="str" cm="1">
        <f t="array" ref="A87">IFERROR(INDEX('Base de Dados'!$A$3:$M$4990,SMALL(IF('Base de Dados'!$M$3:$M$4990=$B$73,ROW('Base de Dados'!$M$3:$M$4990)-2),ROW(A12)),1),"-")</f>
        <v>Memórias Póstumas de Brás Cubas</v>
      </c>
      <c r="B87" s="211"/>
      <c r="C87" s="211"/>
      <c r="D87" s="211"/>
      <c r="E87" s="211"/>
      <c r="F87" s="211"/>
      <c r="G87" s="212"/>
      <c r="H87" s="213" t="str">
        <f t="array" ref="H87">IFERROR(INDEX('Base de Dados'!$A$3:$M$4990,SMALL(IF('Base de Dados'!$M$3:$M$4990=$B$73,ROW('Base de Dados'!$M$3:$M$4990)-2),ROW(A32)),1),"-")</f>
        <v>Reformas no Brasil: Balanço e Agenda</v>
      </c>
      <c r="I87" s="214"/>
      <c r="J87" s="214"/>
      <c r="K87" s="214"/>
      <c r="L87" s="214"/>
      <c r="M87" s="214"/>
      <c r="N87" s="215"/>
      <c r="O87" s="235" t="str" cm="1">
        <f t="array" ref="O87">IFERROR(INDEX('Base de Dados'!$A$3:$M$4990,SMALL(IF('Base de Dados'!$M$3:$M$4990=$B$73,ROW('Base de Dados'!$M$3:$M$4990)-2),ROW(A52)),1),"-")</f>
        <v>Minidicionário Inglês</v>
      </c>
      <c r="P87" s="236"/>
      <c r="Q87" s="236"/>
      <c r="R87" s="236"/>
      <c r="S87" s="236"/>
      <c r="T87" s="236"/>
      <c r="U87" s="237"/>
      <c r="V87" s="203" t="str" cm="1">
        <f t="array" ref="V87">IFERROR(INDEX('Base de Dados'!$A$3:$C$4990,SMALL(IF('Base de Dados'!$C$3:$C$4990=$B$48,ROW('Base de Dados'!$C$3:$C$4990)-2),ROW(A72)),1)," -")</f>
        <v xml:space="preserve"> -</v>
      </c>
      <c r="W87" s="203"/>
      <c r="X87" s="203"/>
      <c r="Y87" s="203"/>
      <c r="Z87" s="203"/>
      <c r="AA87" s="203"/>
      <c r="AB87" s="204"/>
    </row>
    <row r="88" spans="1:28" x14ac:dyDescent="0.25">
      <c r="A88" s="211" t="str" cm="1">
        <f t="array" ref="A88">IFERROR(INDEX('Base de Dados'!$A$3:$M$4990,SMALL(IF('Base de Dados'!$M$3:$M$4990=$B$73,ROW('Base de Dados'!$M$3:$M$4990)-2),ROW(A13)),1),"-")</f>
        <v>Quincas Borba</v>
      </c>
      <c r="B88" s="211"/>
      <c r="C88" s="211"/>
      <c r="D88" s="211"/>
      <c r="E88" s="211"/>
      <c r="F88" s="211"/>
      <c r="G88" s="212"/>
      <c r="H88" s="213" t="str">
        <f t="array" ref="H88">IFERROR(INDEX('Base de Dados'!$A$3:$M$4990,SMALL(IF('Base de Dados'!$M$3:$M$4990=$B$73,ROW('Base de Dados'!$M$3:$M$4990)-2),ROW(A33)),1),"-")</f>
        <v>Modernização, Ditadura e Democracia</v>
      </c>
      <c r="I88" s="214"/>
      <c r="J88" s="214"/>
      <c r="K88" s="214"/>
      <c r="L88" s="214"/>
      <c r="M88" s="214"/>
      <c r="N88" s="215"/>
      <c r="O88" s="235" t="str" cm="1">
        <f t="array" ref="O88">IFERROR(INDEX('Base de Dados'!$A$3:$M$4990,SMALL(IF('Base de Dados'!$M$3:$M$4990=$B$73,ROW('Base de Dados'!$M$3:$M$4990)-2),ROW(A53)),1),"-")</f>
        <v>Formação para Leituras Comentaristas</v>
      </c>
      <c r="P88" s="236"/>
      <c r="Q88" s="236"/>
      <c r="R88" s="236"/>
      <c r="S88" s="236"/>
      <c r="T88" s="236"/>
      <c r="U88" s="237"/>
      <c r="V88" s="203" t="str" cm="1">
        <f t="array" ref="V88">IFERROR(INDEX('Base de Dados'!$A$3:$C$4990,SMALL(IF('Base de Dados'!$C$3:$C$4990=$B$48,ROW('Base de Dados'!$C$3:$C$4990)-2),ROW(A73)),1)," -")</f>
        <v xml:space="preserve"> -</v>
      </c>
      <c r="W88" s="203"/>
      <c r="X88" s="203"/>
      <c r="Y88" s="203"/>
      <c r="Z88" s="203"/>
      <c r="AA88" s="203"/>
      <c r="AB88" s="204"/>
    </row>
    <row r="89" spans="1:28" x14ac:dyDescent="0.25">
      <c r="A89" s="211" t="str" cm="1">
        <f t="array" ref="A89">IFERROR(INDEX('Base de Dados'!$A$3:$M$4990,SMALL(IF('Base de Dados'!$M$3:$M$4990=$B$73,ROW('Base de Dados'!$M$3:$M$4990)-2),ROW(A14)),1),"-")</f>
        <v>A Senhora do Solar</v>
      </c>
      <c r="B89" s="211"/>
      <c r="C89" s="211"/>
      <c r="D89" s="211"/>
      <c r="E89" s="211"/>
      <c r="F89" s="211"/>
      <c r="G89" s="212"/>
      <c r="H89" s="213" t="str">
        <f t="array" ref="H89">IFERROR(INDEX('Base de Dados'!$A$3:$M$4990,SMALL(IF('Base de Dados'!$M$3:$M$4990=$B$73,ROW('Base de Dados'!$M$3:$M$4990)-2),ROW(A34)),1),"-")</f>
        <v>República Alvorada</v>
      </c>
      <c r="I89" s="214"/>
      <c r="J89" s="214"/>
      <c r="K89" s="214"/>
      <c r="L89" s="214"/>
      <c r="M89" s="214"/>
      <c r="N89" s="215"/>
      <c r="O89" s="235" t="str" cm="1">
        <f t="array" ref="O89">IFERROR(INDEX('Base de Dados'!$A$3:$M$4990,SMALL(IF('Base de Dados'!$M$3:$M$4990=$B$73,ROW('Base de Dados'!$M$3:$M$4990)-2),ROW(A54)),1),"-")</f>
        <v>Das Causas Primárias</v>
      </c>
      <c r="P89" s="236"/>
      <c r="Q89" s="236"/>
      <c r="R89" s="236"/>
      <c r="S89" s="236"/>
      <c r="T89" s="236"/>
      <c r="U89" s="237"/>
      <c r="V89" s="203" t="str" cm="1">
        <f t="array" ref="V89">IFERROR(INDEX('Base de Dados'!$A$3:$C$4990,SMALL(IF('Base de Dados'!$C$3:$C$4990=$B$48,ROW('Base de Dados'!$C$3:$C$4990)-2),ROW(A74)),1)," -")</f>
        <v xml:space="preserve"> -</v>
      </c>
      <c r="W89" s="203"/>
      <c r="X89" s="203"/>
      <c r="Y89" s="203"/>
      <c r="Z89" s="203"/>
      <c r="AA89" s="203"/>
      <c r="AB89" s="204"/>
    </row>
    <row r="90" spans="1:28" x14ac:dyDescent="0.25">
      <c r="A90" s="211" t="str" cm="1">
        <f t="array" ref="A90">IFERROR(INDEX('Base de Dados'!$A$3:$M$4990,SMALL(IF('Base de Dados'!$M$3:$M$4990=$B$73,ROW('Base de Dados'!$M$3:$M$4990)-2),ROW(A15)),1),"-")</f>
        <v>Gabriela, Cravo e Canela</v>
      </c>
      <c r="B90" s="211"/>
      <c r="C90" s="211"/>
      <c r="D90" s="211"/>
      <c r="E90" s="211"/>
      <c r="F90" s="211"/>
      <c r="G90" s="212"/>
      <c r="H90" s="213" t="str">
        <f t="array" ref="H90">IFERROR(INDEX('Base de Dados'!$A$3:$M$4990,SMALL(IF('Base de Dados'!$M$3:$M$4990=$B$73,ROW('Base de Dados'!$M$3:$M$4990)-2),ROW(A35)),1),"-")</f>
        <v>Programa Escolar de Pesquisa I</v>
      </c>
      <c r="I90" s="214"/>
      <c r="J90" s="214"/>
      <c r="K90" s="214"/>
      <c r="L90" s="214"/>
      <c r="M90" s="214"/>
      <c r="N90" s="215"/>
      <c r="O90" s="235" t="str" cm="1">
        <f t="array" ref="O90">IFERROR(INDEX('Base de Dados'!$A$3:$M$4990,SMALL(IF('Base de Dados'!$M$3:$M$4990=$B$73,ROW('Base de Dados'!$M$3:$M$4990)-2),ROW(A55)),1),"-")</f>
        <v>O Poder da Esperança</v>
      </c>
      <c r="P90" s="236"/>
      <c r="Q90" s="236"/>
      <c r="R90" s="236"/>
      <c r="S90" s="236"/>
      <c r="T90" s="236"/>
      <c r="U90" s="237"/>
      <c r="V90" s="203" t="str" cm="1">
        <f t="array" ref="V90">IFERROR(INDEX('Base de Dados'!$A$3:$C$4990,SMALL(IF('Base de Dados'!$C$3:$C$4990=$B$48,ROW('Base de Dados'!$C$3:$C$4990)-2),ROW(A75)),1)," -")</f>
        <v xml:space="preserve"> -</v>
      </c>
      <c r="W90" s="203"/>
      <c r="X90" s="203"/>
      <c r="Y90" s="203"/>
      <c r="Z90" s="203"/>
      <c r="AA90" s="203"/>
      <c r="AB90" s="204"/>
    </row>
    <row r="91" spans="1:28" x14ac:dyDescent="0.25">
      <c r="A91" s="211" t="str" cm="1">
        <f t="array" ref="A91">IFERROR(INDEX('Base de Dados'!$A$3:$M$4990,SMALL(IF('Base de Dados'!$M$3:$M$4990=$B$73,ROW('Base de Dados'!$M$3:$M$4990)-2),ROW(A16)),1),"-")</f>
        <v>Todos os Contos</v>
      </c>
      <c r="B91" s="211"/>
      <c r="C91" s="211"/>
      <c r="D91" s="211"/>
      <c r="E91" s="211"/>
      <c r="F91" s="211"/>
      <c r="G91" s="212"/>
      <c r="H91" s="213" t="str">
        <f t="array" ref="H91">IFERROR(INDEX('Base de Dados'!$A$3:$M$4990,SMALL(IF('Base de Dados'!$M$3:$M$4990=$B$73,ROW('Base de Dados'!$M$3:$M$4990)-2),ROW(A36)),1),"-")</f>
        <v>Programa Escolar de Pesquisa II</v>
      </c>
      <c r="I91" s="214"/>
      <c r="J91" s="214"/>
      <c r="K91" s="214"/>
      <c r="L91" s="214"/>
      <c r="M91" s="214"/>
      <c r="N91" s="215"/>
      <c r="O91" s="235" t="str" cm="1">
        <f t="array" ref="O91">IFERROR(INDEX('Base de Dados'!$A$3:$M$4990,SMALL(IF('Base de Dados'!$M$3:$M$4990=$B$73,ROW('Base de Dados'!$M$3:$M$4990)-2),ROW(A56)),1),"-")</f>
        <v>O Tear do Destino</v>
      </c>
      <c r="P91" s="236"/>
      <c r="Q91" s="236"/>
      <c r="R91" s="236"/>
      <c r="S91" s="236"/>
      <c r="T91" s="236"/>
      <c r="U91" s="237"/>
      <c r="V91" s="203" t="str" cm="1">
        <f t="array" ref="V91">IFERROR(INDEX('Base de Dados'!$A$3:$C$4990,SMALL(IF('Base de Dados'!$C$3:$C$4990=$B$48,ROW('Base de Dados'!$C$3:$C$4990)-2),ROW(A76)),1)," -")</f>
        <v xml:space="preserve"> -</v>
      </c>
      <c r="W91" s="203"/>
      <c r="X91" s="203"/>
      <c r="Y91" s="203"/>
      <c r="Z91" s="203"/>
      <c r="AA91" s="203"/>
      <c r="AB91" s="204"/>
    </row>
    <row r="92" spans="1:28" x14ac:dyDescent="0.25">
      <c r="A92" s="211" t="str" cm="1">
        <f t="array" ref="A92">IFERROR(INDEX('Base de Dados'!$A$3:$M$4990,SMALL(IF('Base de Dados'!$M$3:$M$4990=$B$73,ROW('Base de Dados'!$M$3:$M$4990)-2),ROW(A17)),1),"-")</f>
        <v>Como Gerenciar seu Chefe</v>
      </c>
      <c r="B92" s="211"/>
      <c r="C92" s="211"/>
      <c r="D92" s="211"/>
      <c r="E92" s="211"/>
      <c r="F92" s="211"/>
      <c r="G92" s="212"/>
      <c r="H92" s="213" t="str">
        <f t="array" ref="H92">IFERROR(INDEX('Base de Dados'!$A$3:$M$4990,SMALL(IF('Base de Dados'!$M$3:$M$4990=$B$73,ROW('Base de Dados'!$M$3:$M$4990)-2),ROW(A37)),1),"-")</f>
        <v>Programa Escolar de Pesquisa III</v>
      </c>
      <c r="I92" s="214"/>
      <c r="J92" s="214"/>
      <c r="K92" s="214"/>
      <c r="L92" s="214"/>
      <c r="M92" s="214"/>
      <c r="N92" s="215"/>
      <c r="O92" s="235" t="str" cm="1">
        <f t="array" ref="O92">IFERROR(INDEX('Base de Dados'!$A$3:$M$4990,SMALL(IF('Base de Dados'!$M$3:$M$4990=$B$73,ROW('Base de Dados'!$M$3:$M$4990)-2),ROW(A57)),1),"-")</f>
        <v>Imaginário, história oral &amp; transcendentalismo</v>
      </c>
      <c r="P92" s="236"/>
      <c r="Q92" s="236"/>
      <c r="R92" s="236"/>
      <c r="S92" s="236"/>
      <c r="T92" s="236"/>
      <c r="U92" s="237"/>
      <c r="V92" s="203" t="str" cm="1">
        <f t="array" ref="V92">IFERROR(INDEX('Base de Dados'!$A$3:$C$4990,SMALL(IF('Base de Dados'!$C$3:$C$4990=$B$48,ROW('Base de Dados'!$C$3:$C$4990)-2),ROW(A77)),1)," -")</f>
        <v xml:space="preserve"> -</v>
      </c>
      <c r="W92" s="203"/>
      <c r="X92" s="203"/>
      <c r="Y92" s="203"/>
      <c r="Z92" s="203"/>
      <c r="AA92" s="203"/>
      <c r="AB92" s="204"/>
    </row>
    <row r="93" spans="1:28" x14ac:dyDescent="0.25">
      <c r="A93" s="211" t="str" cm="1">
        <f t="array" ref="A93">IFERROR(INDEX('Base de Dados'!$A$3:$M$4990,SMALL(IF('Base de Dados'!$M$3:$M$4990=$B$73,ROW('Base de Dados'!$M$3:$M$4990)-2),ROW(A18)),1),"-")</f>
        <v>Seja Feliz : Diga não à Depressão</v>
      </c>
      <c r="B93" s="211"/>
      <c r="C93" s="211"/>
      <c r="D93" s="211"/>
      <c r="E93" s="211"/>
      <c r="F93" s="211"/>
      <c r="G93" s="212"/>
      <c r="H93" s="213" t="str">
        <f t="array" ref="H93">IFERROR(INDEX('Base de Dados'!$A$3:$M$4990,SMALL(IF('Base de Dados'!$M$3:$M$4990=$B$73,ROW('Base de Dados'!$M$3:$M$4990)-2),ROW(A38)),1),"-")</f>
        <v>Programa Escolar de Pesquisa IV</v>
      </c>
      <c r="I93" s="214"/>
      <c r="J93" s="214"/>
      <c r="K93" s="214"/>
      <c r="L93" s="214"/>
      <c r="M93" s="214"/>
      <c r="N93" s="215"/>
      <c r="O93" s="235" t="str" cm="1">
        <f t="array" ref="O93">IFERROR(INDEX('Base de Dados'!$A$3:$M$4990,SMALL(IF('Base de Dados'!$M$3:$M$4990=$B$73,ROW('Base de Dados'!$M$3:$M$4990)-2),ROW(A58)),1),"-")</f>
        <v>O Ministérios de Leitores e Salmistas</v>
      </c>
      <c r="P93" s="236"/>
      <c r="Q93" s="236"/>
      <c r="R93" s="236"/>
      <c r="S93" s="236"/>
      <c r="T93" s="236"/>
      <c r="U93" s="237"/>
      <c r="V93" s="203" t="str" cm="1">
        <f t="array" ref="V93">IFERROR(INDEX('Base de Dados'!$A$3:$C$4990,SMALL(IF('Base de Dados'!$C$3:$C$4990=$B$48,ROW('Base de Dados'!$C$3:$C$4990)-2),ROW(A78)),1)," -")</f>
        <v xml:space="preserve"> -</v>
      </c>
      <c r="W93" s="203"/>
      <c r="X93" s="203"/>
      <c r="Y93" s="203"/>
      <c r="Z93" s="203"/>
      <c r="AA93" s="203"/>
      <c r="AB93" s="204"/>
    </row>
    <row r="94" spans="1:28" x14ac:dyDescent="0.25">
      <c r="A94" s="211" t="str" cm="1">
        <f t="array" ref="A94">IFERROR(INDEX('Base de Dados'!$A$3:$M$4990,SMALL(IF('Base de Dados'!$M$3:$M$4990=$B$73,ROW('Base de Dados'!$M$3:$M$4990)-2),ROW(A19)),1),"-")</f>
        <v>Arquivística: temas contemporâneos</v>
      </c>
      <c r="B94" s="211"/>
      <c r="C94" s="211"/>
      <c r="D94" s="211"/>
      <c r="E94" s="211"/>
      <c r="F94" s="211"/>
      <c r="G94" s="212"/>
      <c r="H94" s="213" t="str">
        <f t="array" ref="H94">IFERROR(INDEX('Base de Dados'!$A$3:$M$4990,SMALL(IF('Base de Dados'!$M$3:$M$4990=$B$73,ROW('Base de Dados'!$M$3:$M$4990)-2),ROW(A39)),1),"-")</f>
        <v>Atlas Geográfico Escolar</v>
      </c>
      <c r="I94" s="214"/>
      <c r="J94" s="214"/>
      <c r="K94" s="214"/>
      <c r="L94" s="214"/>
      <c r="M94" s="214"/>
      <c r="N94" s="215"/>
      <c r="O94" s="235" t="str" cm="1">
        <f t="array" ref="O94">IFERROR(INDEX('Base de Dados'!$A$3:$M$4990,SMALL(IF('Base de Dados'!$M$3:$M$4990=$B$73,ROW('Base de Dados'!$M$3:$M$4990)-2),ROW(A59)),1),"-")</f>
        <v>Leituras e escritas do outro e de si na construção de identidades</v>
      </c>
      <c r="P94" s="236"/>
      <c r="Q94" s="236"/>
      <c r="R94" s="236"/>
      <c r="S94" s="236"/>
      <c r="T94" s="236"/>
      <c r="U94" s="237"/>
      <c r="V94" s="203" t="str" cm="1">
        <f t="array" ref="V94">IFERROR(INDEX('Base de Dados'!$A$3:$C$4990,SMALL(IF('Base de Dados'!$C$3:$C$4990=$B$48,ROW('Base de Dados'!$C$3:$C$4990)-2),ROW(A79)),1)," -")</f>
        <v xml:space="preserve"> -</v>
      </c>
      <c r="W94" s="203"/>
      <c r="X94" s="203"/>
      <c r="Y94" s="203"/>
      <c r="Z94" s="203"/>
      <c r="AA94" s="203"/>
      <c r="AB94" s="204"/>
    </row>
    <row r="95" spans="1:28" x14ac:dyDescent="0.25">
      <c r="A95" s="211" t="str" cm="1">
        <f t="array" ref="A95">IFERROR(INDEX('Base de Dados'!$A$3:$M$4990,SMALL(IF('Base de Dados'!$M$3:$M$4990=$B$73,ROW('Base de Dados'!$M$3:$M$4990)-2),ROW(A20)),1),"-")</f>
        <v>Não se Desespere!</v>
      </c>
      <c r="B95" s="211"/>
      <c r="C95" s="211"/>
      <c r="D95" s="211"/>
      <c r="E95" s="211"/>
      <c r="F95" s="211"/>
      <c r="G95" s="212"/>
      <c r="H95" s="213" t="str">
        <f t="array" ref="H95">IFERROR(INDEX('Base de Dados'!$A$3:$M$4990,SMALL(IF('Base de Dados'!$M$3:$M$4990=$B$73,ROW('Base de Dados'!$M$3:$M$4990)-2),ROW(A40)),1),"-")</f>
        <v>Biologia (Ensino Médio)</v>
      </c>
      <c r="I95" s="214"/>
      <c r="J95" s="214"/>
      <c r="K95" s="214"/>
      <c r="L95" s="214"/>
      <c r="M95" s="214"/>
      <c r="N95" s="215"/>
      <c r="O95" s="238" t="str" cm="1">
        <f t="array" ref="O95">IFERROR(INDEX('Base de Dados'!$A$3:$M$4990,SMALL(IF('Base de Dados'!$M$3:$M$4990=$B$73,ROW('Base de Dados'!$M$3:$M$4990)-2),ROW(A60)),1),"-")</f>
        <v>-</v>
      </c>
      <c r="P95" s="239"/>
      <c r="Q95" s="239"/>
      <c r="R95" s="239"/>
      <c r="S95" s="239"/>
      <c r="T95" s="239"/>
      <c r="U95" s="240"/>
      <c r="V95" s="203" t="str" cm="1">
        <f t="array" ref="V95">IFERROR(INDEX('Base de Dados'!$A$3:$C$4990,SMALL(IF('Base de Dados'!$C$3:$C$4990=$B$48,ROW('Base de Dados'!$C$3:$C$4990)-2),ROW(A80)),1)," -")</f>
        <v xml:space="preserve"> -</v>
      </c>
      <c r="W95" s="203"/>
      <c r="X95" s="203"/>
      <c r="Y95" s="203"/>
      <c r="Z95" s="203"/>
      <c r="AA95" s="203"/>
      <c r="AB95" s="204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29" t="s">
        <v>725</v>
      </c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30"/>
      <c r="S97" s="230"/>
      <c r="T97" s="230"/>
      <c r="U97" s="230"/>
      <c r="V97" s="230"/>
      <c r="W97" s="230"/>
      <c r="X97" s="230"/>
      <c r="Y97" s="230"/>
      <c r="Z97" s="230"/>
      <c r="AA97" s="230"/>
      <c r="AB97" s="230"/>
    </row>
    <row r="98" spans="1:28" ht="21" x14ac:dyDescent="0.35">
      <c r="A98" s="24" t="s">
        <v>726</v>
      </c>
      <c r="B98" s="226" t="s">
        <v>34</v>
      </c>
      <c r="C98" s="227"/>
      <c r="D98" s="227"/>
      <c r="E98" s="227"/>
      <c r="F98" s="227"/>
      <c r="G98" s="228"/>
      <c r="H98" s="23"/>
      <c r="I98" s="200" t="s">
        <v>727</v>
      </c>
      <c r="J98" s="201"/>
      <c r="K98" s="201"/>
      <c r="L98" s="202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208" t="s">
        <v>718</v>
      </c>
      <c r="B100" s="209"/>
      <c r="C100" s="209"/>
      <c r="D100" s="209"/>
      <c r="E100" s="209"/>
      <c r="F100" s="209"/>
      <c r="G100" s="209"/>
      <c r="H100" s="209"/>
      <c r="I100" s="209"/>
      <c r="J100" s="209"/>
      <c r="K100" s="209"/>
      <c r="L100" s="209"/>
      <c r="M100" s="209"/>
      <c r="N100" s="209"/>
      <c r="O100" s="209"/>
      <c r="P100" s="209"/>
      <c r="Q100" s="209"/>
      <c r="R100" s="209"/>
      <c r="S100" s="209"/>
      <c r="T100" s="209"/>
      <c r="U100" s="209"/>
      <c r="V100" s="209"/>
      <c r="W100" s="209"/>
      <c r="X100" s="209"/>
      <c r="Y100" s="209"/>
      <c r="Z100" s="209"/>
      <c r="AA100" s="209"/>
      <c r="AB100" s="209"/>
    </row>
    <row r="101" spans="1:28" x14ac:dyDescent="0.25">
      <c r="A101" s="211" t="str" cm="1">
        <f t="array" ref="A101">IFERROR(INDEX('Base de Dados'!$A$3:$M$4990,SMALL(IF('Base de Dados'!$F$3:$F$4990=$B$98,ROW('Base de Dados'!$F$3:$F$4990)-2),ROW(A1)),1),"-")</f>
        <v>Agonia do Eros</v>
      </c>
      <c r="B101" s="211"/>
      <c r="C101" s="211"/>
      <c r="D101" s="211"/>
      <c r="E101" s="211"/>
      <c r="F101" s="211"/>
      <c r="G101" s="212"/>
      <c r="H101" s="213" t="str">
        <f t="array" ref="H101">IFERROR(INDEX('Base de Dados'!$A$3:$M$4990,SMALL(IF('Base de Dados'!$F$3:$F$4990=$B$98,ROW('Base de Dados'!$F$3:$F$4990)-2),ROW(A21)),1),"-")</f>
        <v>-</v>
      </c>
      <c r="I101" s="214"/>
      <c r="J101" s="214"/>
      <c r="K101" s="214"/>
      <c r="L101" s="214"/>
      <c r="M101" s="214"/>
      <c r="N101" s="215"/>
      <c r="O101" s="211" t="str" cm="1">
        <f t="array" ref="O101">IFERROR(INDEX('Base de Dados'!$A$3:$M$4990,SMALL(IF('Base de Dados'!$F$3:$F$4990=$B$98,ROW('Base de Dados'!$F$3:$F$4990)-2),ROW(A41)),1),"-")</f>
        <v>-</v>
      </c>
      <c r="P101" s="211"/>
      <c r="Q101" s="211"/>
      <c r="R101" s="211"/>
      <c r="S101" s="211"/>
      <c r="T101" s="211"/>
      <c r="U101" s="212"/>
      <c r="V101" s="214" t="str" cm="1">
        <f t="array" ref="V101">IFERROR(INDEX('Base de Dados'!$A$3:$M$4990,SMALL(IF('Base de Dados'!$F$3:$F$4990=$B$98,ROW('Base de Dados'!$F$3:$F$4990)-2),ROW(A61)),1),"-")</f>
        <v>-</v>
      </c>
      <c r="W101" s="214"/>
      <c r="X101" s="214"/>
      <c r="Y101" s="214"/>
      <c r="Z101" s="214"/>
      <c r="AA101" s="214"/>
      <c r="AB101" s="215"/>
    </row>
    <row r="102" spans="1:28" x14ac:dyDescent="0.25">
      <c r="A102" s="211" t="str" cm="1">
        <f t="array" ref="A102">IFERROR(INDEX('Base de Dados'!$A$3:$M$4990,SMALL(IF('Base de Dados'!$F$3:$F$4990=$B$98,ROW('Base de Dados'!$F$3:$F$4990)-2),ROW(A2)),1),"-")</f>
        <v>Sociedade do Cansaço</v>
      </c>
      <c r="B102" s="211"/>
      <c r="C102" s="211"/>
      <c r="D102" s="211"/>
      <c r="E102" s="211"/>
      <c r="F102" s="211"/>
      <c r="G102" s="212"/>
      <c r="H102" s="241" t="str" cm="1">
        <f t="array" ref="H102">IFERROR(INDEX('Base de Dados'!$A$3:$M$4990,SMALL(IF('Base de Dados'!$F$3:$F$4990=$B$98,ROW('Base de Dados'!$F$3:$F$4990)-2),ROW(A22)),1),"-")</f>
        <v>-</v>
      </c>
      <c r="I102" s="211"/>
      <c r="J102" s="211"/>
      <c r="K102" s="211"/>
      <c r="L102" s="211"/>
      <c r="M102" s="211"/>
      <c r="N102" s="212"/>
      <c r="O102" s="211" t="str" cm="1">
        <f t="array" ref="O102">IFERROR(INDEX('Base de Dados'!$A$3:$M$4990,SMALL(IF('Base de Dados'!$F$3:$F$4990=$B$98,ROW('Base de Dados'!$F$3:$F$4990)-2),ROW(A42)),1),"-")</f>
        <v>-</v>
      </c>
      <c r="P102" s="211"/>
      <c r="Q102" s="211"/>
      <c r="R102" s="211"/>
      <c r="S102" s="211"/>
      <c r="T102" s="211"/>
      <c r="U102" s="212"/>
      <c r="V102" s="214" t="str" cm="1">
        <f t="array" ref="V102">IFERROR(INDEX('Base de Dados'!$A$3:$M$4990,SMALL(IF('Base de Dados'!$F$3:$F$4990=$B$98,ROW('Base de Dados'!$F$3:$F$4990)-2),ROW(A62)),1),"-")</f>
        <v>-</v>
      </c>
      <c r="W102" s="214"/>
      <c r="X102" s="214"/>
      <c r="Y102" s="214"/>
      <c r="Z102" s="214"/>
      <c r="AA102" s="214"/>
      <c r="AB102" s="215"/>
    </row>
    <row r="103" spans="1:28" x14ac:dyDescent="0.25">
      <c r="A103" s="211" t="str" cm="1">
        <f t="array" ref="A103">IFERROR(INDEX('Base de Dados'!$A$3:$M$4990,SMALL(IF('Base de Dados'!$F$3:$F$4990=$B$98,ROW('Base de Dados'!$F$3:$F$4990)-2),ROW(A3)),1),"-")</f>
        <v>Não se Desespere!</v>
      </c>
      <c r="B103" s="211"/>
      <c r="C103" s="211"/>
      <c r="D103" s="211"/>
      <c r="E103" s="211"/>
      <c r="F103" s="211"/>
      <c r="G103" s="212"/>
      <c r="H103" s="241" t="str" cm="1">
        <f t="array" ref="H103">IFERROR(INDEX('Base de Dados'!$A$3:$M$4990,SMALL(IF('Base de Dados'!$F$3:$F$4990=$B$98,ROW('Base de Dados'!$F$3:$F$4990)-2),ROW(A23)),1),"-")</f>
        <v>-</v>
      </c>
      <c r="I103" s="211"/>
      <c r="J103" s="211"/>
      <c r="K103" s="211"/>
      <c r="L103" s="211"/>
      <c r="M103" s="211"/>
      <c r="N103" s="212"/>
      <c r="O103" s="211" t="str" cm="1">
        <f t="array" ref="O103">IFERROR(INDEX('Base de Dados'!$A$3:$M$4990,SMALL(IF('Base de Dados'!$F$3:$F$4990=$B$98,ROW('Base de Dados'!$F$3:$F$4990)-2),ROW(A43)),1),"-")</f>
        <v>-</v>
      </c>
      <c r="P103" s="211"/>
      <c r="Q103" s="211"/>
      <c r="R103" s="211"/>
      <c r="S103" s="211"/>
      <c r="T103" s="211"/>
      <c r="U103" s="212"/>
      <c r="V103" s="214" t="str" cm="1">
        <f t="array" ref="V103">IFERROR(INDEX('Base de Dados'!$A$3:$M$4990,SMALL(IF('Base de Dados'!$F$3:$F$4990=$B$98,ROW('Base de Dados'!$F$3:$F$4990)-2),ROW(A63)),1),"-")</f>
        <v>-</v>
      </c>
      <c r="W103" s="214"/>
      <c r="X103" s="214"/>
      <c r="Y103" s="214"/>
      <c r="Z103" s="214"/>
      <c r="AA103" s="214"/>
      <c r="AB103" s="215"/>
    </row>
    <row r="104" spans="1:28" x14ac:dyDescent="0.25">
      <c r="A104" s="211" t="str" cm="1">
        <f t="array" ref="A104">IFERROR(INDEX('Base de Dados'!$A$3:$M$4990,SMALL(IF('Base de Dados'!$F$3:$F$4990=$B$98,ROW('Base de Dados'!$F$3:$F$4990)-2),ROW(A4)),1),"-")</f>
        <v>Não Espere Pelo Epitáfio!</v>
      </c>
      <c r="B104" s="211"/>
      <c r="C104" s="211"/>
      <c r="D104" s="211"/>
      <c r="E104" s="211"/>
      <c r="F104" s="211"/>
      <c r="G104" s="212"/>
      <c r="H104" s="241" t="str" cm="1">
        <f t="array" ref="H104">IFERROR(INDEX('Base de Dados'!$A$3:$M$4990,SMALL(IF('Base de Dados'!$F$3:$F$4990=$B$98,ROW('Base de Dados'!$F$3:$F$4990)-2),ROW(A24)),1),"-")</f>
        <v>-</v>
      </c>
      <c r="I104" s="211"/>
      <c r="J104" s="211"/>
      <c r="K104" s="211"/>
      <c r="L104" s="211"/>
      <c r="M104" s="211"/>
      <c r="N104" s="212"/>
      <c r="O104" s="211" t="str" cm="1">
        <f t="array" ref="O104">IFERROR(INDEX('Base de Dados'!$A$3:$M$4990,SMALL(IF('Base de Dados'!$F$3:$F$4990=$B$98,ROW('Base de Dados'!$F$3:$F$4990)-2),ROW(A44)),1),"-")</f>
        <v>-</v>
      </c>
      <c r="P104" s="211"/>
      <c r="Q104" s="211"/>
      <c r="R104" s="211"/>
      <c r="S104" s="211"/>
      <c r="T104" s="211"/>
      <c r="U104" s="212"/>
      <c r="V104" s="214" t="str" cm="1">
        <f t="array" ref="V104">IFERROR(INDEX('Base de Dados'!$A$3:$M$4990,SMALL(IF('Base de Dados'!$F$3:$F$4990=$B$98,ROW('Base de Dados'!$F$3:$F$4990)-2),ROW(A64)),1),"-")</f>
        <v>-</v>
      </c>
      <c r="W104" s="214"/>
      <c r="X104" s="214"/>
      <c r="Y104" s="214"/>
      <c r="Z104" s="214"/>
      <c r="AA104" s="214"/>
      <c r="AB104" s="215"/>
    </row>
    <row r="105" spans="1:28" x14ac:dyDescent="0.25">
      <c r="A105" s="211" t="str" cm="1">
        <f t="array" ref="A105">IFERROR(INDEX('Base de Dados'!$A$3:$M$4990,SMALL(IF('Base de Dados'!$F$3:$F$4990=$B$98,ROW('Base de Dados'!$F$3:$F$4990)-2),ROW(A5)),1),"-")</f>
        <v>Não Nascemos Prontos!</v>
      </c>
      <c r="B105" s="211"/>
      <c r="C105" s="211"/>
      <c r="D105" s="211"/>
      <c r="E105" s="211"/>
      <c r="F105" s="211"/>
      <c r="G105" s="212"/>
      <c r="H105" s="241" t="str" cm="1">
        <f t="array" ref="H105">IFERROR(INDEX('Base de Dados'!$A$3:$M$4990,SMALL(IF('Base de Dados'!$F$3:$F$4990=$B$98,ROW('Base de Dados'!$F$3:$F$4990)-2),ROW(A25)),1),"-")</f>
        <v>-</v>
      </c>
      <c r="I105" s="211"/>
      <c r="J105" s="211"/>
      <c r="K105" s="211"/>
      <c r="L105" s="211"/>
      <c r="M105" s="211"/>
      <c r="N105" s="212"/>
      <c r="O105" s="211" t="str" cm="1">
        <f t="array" ref="O105">IFERROR(INDEX('Base de Dados'!$A$3:$M$4990,SMALL(IF('Base de Dados'!$F$3:$F$4990=$B$98,ROW('Base de Dados'!$F$3:$F$4990)-2),ROW(A45)),1),"-")</f>
        <v>-</v>
      </c>
      <c r="P105" s="211"/>
      <c r="Q105" s="211"/>
      <c r="R105" s="211"/>
      <c r="S105" s="211"/>
      <c r="T105" s="211"/>
      <c r="U105" s="212"/>
      <c r="V105" s="214" t="str" cm="1">
        <f t="array" ref="V105">IFERROR(INDEX('Base de Dados'!$A$3:$M$4990,SMALL(IF('Base de Dados'!$F$3:$F$4990=$B$98,ROW('Base de Dados'!$F$3:$F$4990)-2),ROW(A65)),1),"-")</f>
        <v>-</v>
      </c>
      <c r="W105" s="214"/>
      <c r="X105" s="214"/>
      <c r="Y105" s="214"/>
      <c r="Z105" s="214"/>
      <c r="AA105" s="214"/>
      <c r="AB105" s="215"/>
    </row>
    <row r="106" spans="1:28" x14ac:dyDescent="0.25">
      <c r="A106" s="211" t="str" cm="1">
        <f t="array" ref="A106">IFERROR(INDEX('Base de Dados'!$A$3:$M$4990,SMALL(IF('Base de Dados'!$F$3:$F$4990=$B$98,ROW('Base de Dados'!$F$3:$F$4990)-2),ROW(A6)),1),"-")</f>
        <v>-</v>
      </c>
      <c r="B106" s="211"/>
      <c r="C106" s="211"/>
      <c r="D106" s="211"/>
      <c r="E106" s="211"/>
      <c r="F106" s="211"/>
      <c r="G106" s="212"/>
      <c r="H106" s="241" t="str" cm="1">
        <f t="array" ref="H106">IFERROR(INDEX('Base de Dados'!$A$3:$M$4990,SMALL(IF('Base de Dados'!$F$3:$F$4990=$B$98,ROW('Base de Dados'!$F$3:$F$4990)-2),ROW(A26)),1),"-")</f>
        <v>-</v>
      </c>
      <c r="I106" s="211"/>
      <c r="J106" s="211"/>
      <c r="K106" s="211"/>
      <c r="L106" s="211"/>
      <c r="M106" s="211"/>
      <c r="N106" s="212"/>
      <c r="O106" s="211" t="str" cm="1">
        <f t="array" ref="O106">IFERROR(INDEX('Base de Dados'!$A$3:$M$4990,SMALL(IF('Base de Dados'!$F$3:$F$4990=$B$98,ROW('Base de Dados'!$F$3:$F$4990)-2),ROW(A46)),1),"-")</f>
        <v>-</v>
      </c>
      <c r="P106" s="211"/>
      <c r="Q106" s="211"/>
      <c r="R106" s="211"/>
      <c r="S106" s="211"/>
      <c r="T106" s="211"/>
      <c r="U106" s="212"/>
      <c r="V106" s="214" t="str" cm="1">
        <f t="array" ref="V106">IFERROR(INDEX('Base de Dados'!$A$3:$M$4990,SMALL(IF('Base de Dados'!$F$3:$F$4990=$B$98,ROW('Base de Dados'!$F$3:$F$4990)-2),ROW(A66)),1),"-")</f>
        <v>-</v>
      </c>
      <c r="W106" s="214"/>
      <c r="X106" s="214"/>
      <c r="Y106" s="214"/>
      <c r="Z106" s="214"/>
      <c r="AA106" s="214"/>
      <c r="AB106" s="215"/>
    </row>
    <row r="107" spans="1:28" x14ac:dyDescent="0.25">
      <c r="A107" s="211" t="str" cm="1">
        <f t="array" ref="A107">IFERROR(INDEX('Base de Dados'!$A$3:$M$4990,SMALL(IF('Base de Dados'!$F$3:$F$4990=$B$98,ROW('Base de Dados'!$F$3:$F$4990)-2),ROW(A7)),1),"-")</f>
        <v>-</v>
      </c>
      <c r="B107" s="211"/>
      <c r="C107" s="211"/>
      <c r="D107" s="211"/>
      <c r="E107" s="211"/>
      <c r="F107" s="211"/>
      <c r="G107" s="212"/>
      <c r="H107" s="241" t="str" cm="1">
        <f t="array" ref="H107">IFERROR(INDEX('Base de Dados'!$A$3:$M$4990,SMALL(IF('Base de Dados'!$F$3:$F$4990=$B$98,ROW('Base de Dados'!$F$3:$F$4990)-2),ROW(A27)),1),"-")</f>
        <v>-</v>
      </c>
      <c r="I107" s="211"/>
      <c r="J107" s="211"/>
      <c r="K107" s="211"/>
      <c r="L107" s="211"/>
      <c r="M107" s="211"/>
      <c r="N107" s="212"/>
      <c r="O107" s="211" t="str" cm="1">
        <f t="array" ref="O107">IFERROR(INDEX('Base de Dados'!$A$3:$M$4990,SMALL(IF('Base de Dados'!$F$3:$F$4990=$B$98,ROW('Base de Dados'!$F$3:$F$4990)-2),ROW(A47)),1),"-")</f>
        <v>-</v>
      </c>
      <c r="P107" s="211"/>
      <c r="Q107" s="211"/>
      <c r="R107" s="211"/>
      <c r="S107" s="211"/>
      <c r="T107" s="211"/>
      <c r="U107" s="212"/>
      <c r="V107" s="214" t="str" cm="1">
        <f t="array" ref="V107">IFERROR(INDEX('Base de Dados'!$A$3:$M$4990,SMALL(IF('Base de Dados'!$F$3:$F$4990=$B$98,ROW('Base de Dados'!$F$3:$F$4990)-2),ROW(A67)),1),"-")</f>
        <v>-</v>
      </c>
      <c r="W107" s="214"/>
      <c r="X107" s="214"/>
      <c r="Y107" s="214"/>
      <c r="Z107" s="214"/>
      <c r="AA107" s="214"/>
      <c r="AB107" s="215"/>
    </row>
    <row r="108" spans="1:28" x14ac:dyDescent="0.25">
      <c r="A108" s="211" t="str" cm="1">
        <f t="array" ref="A108">IFERROR(INDEX('Base de Dados'!$A$3:$M$4990,SMALL(IF('Base de Dados'!$F$3:$F$4990=$B$98,ROW('Base de Dados'!$F$3:$F$4990)-2),ROW(A8)),1),"-")</f>
        <v>-</v>
      </c>
      <c r="B108" s="211"/>
      <c r="C108" s="211"/>
      <c r="D108" s="211"/>
      <c r="E108" s="211"/>
      <c r="F108" s="211"/>
      <c r="G108" s="212"/>
      <c r="H108" s="241" t="str" cm="1">
        <f t="array" ref="H108">IFERROR(INDEX('Base de Dados'!$A$3:$M$4990,SMALL(IF('Base de Dados'!$F$3:$F$4990=$B$98,ROW('Base de Dados'!$F$3:$F$4990)-2),ROW(A28)),1),"-")</f>
        <v>-</v>
      </c>
      <c r="I108" s="211"/>
      <c r="J108" s="211"/>
      <c r="K108" s="211"/>
      <c r="L108" s="211"/>
      <c r="M108" s="211"/>
      <c r="N108" s="212"/>
      <c r="O108" s="211" t="str" cm="1">
        <f t="array" ref="O108">IFERROR(INDEX('Base de Dados'!$A$3:$M$4990,SMALL(IF('Base de Dados'!$F$3:$F$4990=$B$98,ROW('Base de Dados'!$F$3:$F$4990)-2),ROW(A48)),1),"-")</f>
        <v>-</v>
      </c>
      <c r="P108" s="211"/>
      <c r="Q108" s="211"/>
      <c r="R108" s="211"/>
      <c r="S108" s="211"/>
      <c r="T108" s="211"/>
      <c r="U108" s="212"/>
      <c r="V108" s="214" t="str" cm="1">
        <f t="array" ref="V108">IFERROR(INDEX('Base de Dados'!$A$3:$M$4990,SMALL(IF('Base de Dados'!$F$3:$F$4990=$B$98,ROW('Base de Dados'!$F$3:$F$4990)-2),ROW(A68)),1),"-")</f>
        <v>-</v>
      </c>
      <c r="W108" s="214"/>
      <c r="X108" s="214"/>
      <c r="Y108" s="214"/>
      <c r="Z108" s="214"/>
      <c r="AA108" s="214"/>
      <c r="AB108" s="215"/>
    </row>
    <row r="109" spans="1:28" x14ac:dyDescent="0.25">
      <c r="A109" s="211" t="str" cm="1">
        <f t="array" ref="A109">IFERROR(INDEX('Base de Dados'!$A$3:$M$4990,SMALL(IF('Base de Dados'!$F$3:$F$4990=$B$98,ROW('Base de Dados'!$F$3:$F$4990)-2),ROW(A9)),1),"-")</f>
        <v>-</v>
      </c>
      <c r="B109" s="211"/>
      <c r="C109" s="211"/>
      <c r="D109" s="211"/>
      <c r="E109" s="211"/>
      <c r="F109" s="211"/>
      <c r="G109" s="212"/>
      <c r="H109" s="241" t="str" cm="1">
        <f t="array" ref="H109">IFERROR(INDEX('Base de Dados'!$A$3:$M$4990,SMALL(IF('Base de Dados'!$F$3:$F$4990=$B$98,ROW('Base de Dados'!$F$3:$F$4990)-2),ROW(A29)),1),"-")</f>
        <v>-</v>
      </c>
      <c r="I109" s="211"/>
      <c r="J109" s="211"/>
      <c r="K109" s="211"/>
      <c r="L109" s="211"/>
      <c r="M109" s="211"/>
      <c r="N109" s="212"/>
      <c r="O109" s="211" t="str" cm="1">
        <f t="array" ref="O109">IFERROR(INDEX('Base de Dados'!$A$3:$M$4990,SMALL(IF('Base de Dados'!$F$3:$F$4990=$B$98,ROW('Base de Dados'!$F$3:$F$4990)-2),ROW(A49)),1),"-")</f>
        <v>-</v>
      </c>
      <c r="P109" s="211"/>
      <c r="Q109" s="211"/>
      <c r="R109" s="211"/>
      <c r="S109" s="211"/>
      <c r="T109" s="211"/>
      <c r="U109" s="212"/>
      <c r="V109" s="214" t="str" cm="1">
        <f t="array" ref="V109">IFERROR(INDEX('Base de Dados'!$A$3:$M$4990,SMALL(IF('Base de Dados'!$F$3:$F$4990=$B$98,ROW('Base de Dados'!$F$3:$F$4990)-2),ROW(A69)),1),"-")</f>
        <v>-</v>
      </c>
      <c r="W109" s="214"/>
      <c r="X109" s="214"/>
      <c r="Y109" s="214"/>
      <c r="Z109" s="214"/>
      <c r="AA109" s="214"/>
      <c r="AB109" s="215"/>
    </row>
    <row r="110" spans="1:28" x14ac:dyDescent="0.25">
      <c r="A110" s="211" t="str" cm="1">
        <f t="array" ref="A110">IFERROR(INDEX('Base de Dados'!$A$3:$M$4990,SMALL(IF('Base de Dados'!$F$3:$F$4990=$B$98,ROW('Base de Dados'!$F$3:$F$4990)-2),ROW(A10)),1),"-")</f>
        <v>-</v>
      </c>
      <c r="B110" s="211"/>
      <c r="C110" s="211"/>
      <c r="D110" s="211"/>
      <c r="E110" s="211"/>
      <c r="F110" s="211"/>
      <c r="G110" s="212"/>
      <c r="H110" s="241" t="str" cm="1">
        <f t="array" ref="H110">IFERROR(INDEX('Base de Dados'!$A$3:$M$4990,SMALL(IF('Base de Dados'!$F$3:$F$4990=$B$98,ROW('Base de Dados'!$F$3:$F$4990)-2),ROW(A30)),1),"-")</f>
        <v>-</v>
      </c>
      <c r="I110" s="211"/>
      <c r="J110" s="211"/>
      <c r="K110" s="211"/>
      <c r="L110" s="211"/>
      <c r="M110" s="211"/>
      <c r="N110" s="212"/>
      <c r="O110" s="211" t="str" cm="1">
        <f t="array" ref="O110">IFERROR(INDEX('Base de Dados'!$A$3:$M$4990,SMALL(IF('Base de Dados'!$F$3:$F$4990=$B$98,ROW('Base de Dados'!$F$3:$F$4990)-2),ROW(A50)),1),"-")</f>
        <v>-</v>
      </c>
      <c r="P110" s="211"/>
      <c r="Q110" s="211"/>
      <c r="R110" s="211"/>
      <c r="S110" s="211"/>
      <c r="T110" s="211"/>
      <c r="U110" s="212"/>
      <c r="V110" s="214" t="str" cm="1">
        <f t="array" ref="V110">IFERROR(INDEX('Base de Dados'!$A$3:$M$4990,SMALL(IF('Base de Dados'!$F$3:$F$4990=$B$98,ROW('Base de Dados'!$F$3:$F$4990)-2),ROW(A70)),1),"-")</f>
        <v>-</v>
      </c>
      <c r="W110" s="214"/>
      <c r="X110" s="214"/>
      <c r="Y110" s="214"/>
      <c r="Z110" s="214"/>
      <c r="AA110" s="214"/>
      <c r="AB110" s="215"/>
    </row>
    <row r="111" spans="1:28" x14ac:dyDescent="0.25">
      <c r="A111" s="211" t="str" cm="1">
        <f t="array" ref="A111">IFERROR(INDEX('Base de Dados'!$A$3:$M$4990,SMALL(IF('Base de Dados'!$F$3:$F$4990=$B$98,ROW('Base de Dados'!$F$3:$F$4990)-2),ROW(A11)),1),"-")</f>
        <v>-</v>
      </c>
      <c r="B111" s="211"/>
      <c r="C111" s="211"/>
      <c r="D111" s="211"/>
      <c r="E111" s="211"/>
      <c r="F111" s="211"/>
      <c r="G111" s="212"/>
      <c r="H111" s="241" t="str" cm="1">
        <f t="array" ref="H111">IFERROR(INDEX('Base de Dados'!$A$3:$M$4990,SMALL(IF('Base de Dados'!$F$3:$F$4990=$B$98,ROW('Base de Dados'!$F$3:$F$4990)-2),ROW(A31)),1),"-")</f>
        <v>-</v>
      </c>
      <c r="I111" s="211"/>
      <c r="J111" s="211"/>
      <c r="K111" s="211"/>
      <c r="L111" s="211"/>
      <c r="M111" s="211"/>
      <c r="N111" s="212"/>
      <c r="O111" s="211" t="str" cm="1">
        <f t="array" ref="O111">IFERROR(INDEX('Base de Dados'!$A$3:$M$4990,SMALL(IF('Base de Dados'!$F$3:$F$4990=$B$98,ROW('Base de Dados'!$F$3:$F$4990)-2),ROW(A51)),1),"-")</f>
        <v>-</v>
      </c>
      <c r="P111" s="211"/>
      <c r="Q111" s="211"/>
      <c r="R111" s="211"/>
      <c r="S111" s="211"/>
      <c r="T111" s="211"/>
      <c r="U111" s="212"/>
      <c r="V111" s="214" t="str" cm="1">
        <f t="array" ref="V111">IFERROR(INDEX('Base de Dados'!$A$3:$M$4990,SMALL(IF('Base de Dados'!$F$3:$F$4990=$B$98,ROW('Base de Dados'!$F$3:$F$4990)-2),ROW(A71)),1),"-")</f>
        <v>-</v>
      </c>
      <c r="W111" s="214"/>
      <c r="X111" s="214"/>
      <c r="Y111" s="214"/>
      <c r="Z111" s="214"/>
      <c r="AA111" s="214"/>
      <c r="AB111" s="215"/>
    </row>
    <row r="112" spans="1:28" x14ac:dyDescent="0.25">
      <c r="A112" s="211" t="str" cm="1">
        <f t="array" ref="A112">IFERROR(INDEX('Base de Dados'!$A$3:$M$4990,SMALL(IF('Base de Dados'!$F$3:$F$4990=$B$98,ROW('Base de Dados'!$F$3:$F$4990)-2),ROW(A12)),1),"-")</f>
        <v>-</v>
      </c>
      <c r="B112" s="211"/>
      <c r="C112" s="211"/>
      <c r="D112" s="211"/>
      <c r="E112" s="211"/>
      <c r="F112" s="211"/>
      <c r="G112" s="212"/>
      <c r="H112" s="241" t="str" cm="1">
        <f t="array" ref="H112">IFERROR(INDEX('Base de Dados'!$A$3:$M$4990,SMALL(IF('Base de Dados'!$F$3:$F$4990=$B$98,ROW('Base de Dados'!$F$3:$F$4990)-2),ROW(A32)),1),"-")</f>
        <v>-</v>
      </c>
      <c r="I112" s="211"/>
      <c r="J112" s="211"/>
      <c r="K112" s="211"/>
      <c r="L112" s="211"/>
      <c r="M112" s="211"/>
      <c r="N112" s="212"/>
      <c r="O112" s="211" t="str" cm="1">
        <f t="array" ref="O112">IFERROR(INDEX('Base de Dados'!$A$3:$M$4990,SMALL(IF('Base de Dados'!$F$3:$F$4990=$B$98,ROW('Base de Dados'!$F$3:$F$4990)-2),ROW(A52)),1),"-")</f>
        <v>-</v>
      </c>
      <c r="P112" s="211"/>
      <c r="Q112" s="211"/>
      <c r="R112" s="211"/>
      <c r="S112" s="211"/>
      <c r="T112" s="211"/>
      <c r="U112" s="212"/>
      <c r="V112" s="214" t="str" cm="1">
        <f t="array" ref="V112">IFERROR(INDEX('Base de Dados'!$A$3:$M$4990,SMALL(IF('Base de Dados'!$F$3:$F$4990=$B$98,ROW('Base de Dados'!$F$3:$F$4990)-2),ROW(A72)),1),"-")</f>
        <v>-</v>
      </c>
      <c r="W112" s="214"/>
      <c r="X112" s="214"/>
      <c r="Y112" s="214"/>
      <c r="Z112" s="214"/>
      <c r="AA112" s="214"/>
      <c r="AB112" s="215"/>
    </row>
    <row r="113" spans="1:28" x14ac:dyDescent="0.25">
      <c r="A113" s="211" t="str" cm="1">
        <f t="array" ref="A113">IFERROR(INDEX('Base de Dados'!$A$3:$M$4990,SMALL(IF('Base de Dados'!$F$3:$F$4990=$B$98,ROW('Base de Dados'!$F$3:$F$4990)-2),ROW(A13)),1),"-")</f>
        <v>-</v>
      </c>
      <c r="B113" s="211"/>
      <c r="C113" s="211"/>
      <c r="D113" s="211"/>
      <c r="E113" s="211"/>
      <c r="F113" s="211"/>
      <c r="G113" s="212"/>
      <c r="H113" s="241" t="str" cm="1">
        <f t="array" ref="H113">IFERROR(INDEX('Base de Dados'!$A$3:$M$4990,SMALL(IF('Base de Dados'!$F$3:$F$4990=$B$98,ROW('Base de Dados'!$F$3:$F$4990)-2),ROW(A33)),1),"-")</f>
        <v>-</v>
      </c>
      <c r="I113" s="211"/>
      <c r="J113" s="211"/>
      <c r="K113" s="211"/>
      <c r="L113" s="211"/>
      <c r="M113" s="211"/>
      <c r="N113" s="212"/>
      <c r="O113" s="211" t="str" cm="1">
        <f t="array" ref="O113">IFERROR(INDEX('Base de Dados'!$A$3:$M$4990,SMALL(IF('Base de Dados'!$F$3:$F$4990=$B$98,ROW('Base de Dados'!$F$3:$F$4990)-2),ROW(A53)),1),"-")</f>
        <v>-</v>
      </c>
      <c r="P113" s="211"/>
      <c r="Q113" s="211"/>
      <c r="R113" s="211"/>
      <c r="S113" s="211"/>
      <c r="T113" s="211"/>
      <c r="U113" s="212"/>
      <c r="V113" s="214" t="str" cm="1">
        <f t="array" ref="V113">IFERROR(INDEX('Base de Dados'!$A$3:$M$4990,SMALL(IF('Base de Dados'!$F$3:$F$4990=$B$98,ROW('Base de Dados'!$F$3:$F$4990)-2),ROW(A73)),1),"-")</f>
        <v>-</v>
      </c>
      <c r="W113" s="214"/>
      <c r="X113" s="214"/>
      <c r="Y113" s="214"/>
      <c r="Z113" s="214"/>
      <c r="AA113" s="214"/>
      <c r="AB113" s="215"/>
    </row>
    <row r="114" spans="1:28" x14ac:dyDescent="0.25">
      <c r="A114" s="211" t="str" cm="1">
        <f t="array" ref="A114">IFERROR(INDEX('Base de Dados'!$A$3:$M$4990,SMALL(IF('Base de Dados'!$F$3:$F$4990=$B$98,ROW('Base de Dados'!$F$3:$F$4990)-2),ROW(A14)),1),"-")</f>
        <v>-</v>
      </c>
      <c r="B114" s="211"/>
      <c r="C114" s="211"/>
      <c r="D114" s="211"/>
      <c r="E114" s="211"/>
      <c r="F114" s="211"/>
      <c r="G114" s="212"/>
      <c r="H114" s="241" t="str" cm="1">
        <f t="array" ref="H114">IFERROR(INDEX('Base de Dados'!$A$3:$M$4990,SMALL(IF('Base de Dados'!$F$3:$F$4990=$B$98,ROW('Base de Dados'!$F$3:$F$4990)-2),ROW(A34)),1),"-")</f>
        <v>-</v>
      </c>
      <c r="I114" s="211"/>
      <c r="J114" s="211"/>
      <c r="K114" s="211"/>
      <c r="L114" s="211"/>
      <c r="M114" s="211"/>
      <c r="N114" s="212"/>
      <c r="O114" s="211" t="str" cm="1">
        <f t="array" ref="O114">IFERROR(INDEX('Base de Dados'!$A$3:$M$4990,SMALL(IF('Base de Dados'!$F$3:$F$4990=$B$98,ROW('Base de Dados'!$F$3:$F$4990)-2),ROW(A54)),1),"-")</f>
        <v>-</v>
      </c>
      <c r="P114" s="211"/>
      <c r="Q114" s="211"/>
      <c r="R114" s="211"/>
      <c r="S114" s="211"/>
      <c r="T114" s="211"/>
      <c r="U114" s="212"/>
      <c r="V114" s="214" t="str" cm="1">
        <f t="array" ref="V114">IFERROR(INDEX('Base de Dados'!$A$3:$M$4990,SMALL(IF('Base de Dados'!$F$3:$F$4990=$B$98,ROW('Base de Dados'!$F$3:$F$4990)-2),ROW(A74)),1),"-")</f>
        <v>-</v>
      </c>
      <c r="W114" s="214"/>
      <c r="X114" s="214"/>
      <c r="Y114" s="214"/>
      <c r="Z114" s="214"/>
      <c r="AA114" s="214"/>
      <c r="AB114" s="215"/>
    </row>
    <row r="115" spans="1:28" x14ac:dyDescent="0.25">
      <c r="A115" s="211" t="str" cm="1">
        <f t="array" ref="A115">IFERROR(INDEX('Base de Dados'!$A$3:$M$4990,SMALL(IF('Base de Dados'!$F$3:$F$4990=$B$98,ROW('Base de Dados'!$F$3:$F$4990)-2),ROW(A15)),1),"-")</f>
        <v>-</v>
      </c>
      <c r="B115" s="211"/>
      <c r="C115" s="211"/>
      <c r="D115" s="211"/>
      <c r="E115" s="211"/>
      <c r="F115" s="211"/>
      <c r="G115" s="212"/>
      <c r="H115" s="241" t="str" cm="1">
        <f t="array" ref="H115">IFERROR(INDEX('Base de Dados'!$A$3:$M$4990,SMALL(IF('Base de Dados'!$F$3:$F$4990=$B$98,ROW('Base de Dados'!$F$3:$F$4990)-2),ROW(A35)),1),"-")</f>
        <v>-</v>
      </c>
      <c r="I115" s="211"/>
      <c r="J115" s="211"/>
      <c r="K115" s="211"/>
      <c r="L115" s="211"/>
      <c r="M115" s="211"/>
      <c r="N115" s="212"/>
      <c r="O115" s="211" t="str" cm="1">
        <f t="array" ref="O115">IFERROR(INDEX('Base de Dados'!$A$3:$M$4990,SMALL(IF('Base de Dados'!$F$3:$F$4990=$B$98,ROW('Base de Dados'!$F$3:$F$4990)-2),ROW(A55)),1),"-")</f>
        <v>-</v>
      </c>
      <c r="P115" s="211"/>
      <c r="Q115" s="211"/>
      <c r="R115" s="211"/>
      <c r="S115" s="211"/>
      <c r="T115" s="211"/>
      <c r="U115" s="212"/>
      <c r="V115" s="214" t="str" cm="1">
        <f t="array" ref="V115">IFERROR(INDEX('Base de Dados'!$A$3:$M$4990,SMALL(IF('Base de Dados'!$F$3:$F$4990=$B$98,ROW('Base de Dados'!$F$3:$F$4990)-2),ROW(A75)),1),"-")</f>
        <v>-</v>
      </c>
      <c r="W115" s="214"/>
      <c r="X115" s="214"/>
      <c r="Y115" s="214"/>
      <c r="Z115" s="214"/>
      <c r="AA115" s="214"/>
      <c r="AB115" s="215"/>
    </row>
    <row r="116" spans="1:28" x14ac:dyDescent="0.25">
      <c r="A116" s="211" t="str" cm="1">
        <f t="array" ref="A116">IFERROR(INDEX('Base de Dados'!$A$3:$M$4990,SMALL(IF('Base de Dados'!$F$3:$F$4990=$B$98,ROW('Base de Dados'!$F$3:$F$4990)-2),ROW(A16)),1),"-")</f>
        <v>-</v>
      </c>
      <c r="B116" s="211"/>
      <c r="C116" s="211"/>
      <c r="D116" s="211"/>
      <c r="E116" s="211"/>
      <c r="F116" s="211"/>
      <c r="G116" s="212"/>
      <c r="H116" s="241" t="str" cm="1">
        <f t="array" ref="H116">IFERROR(INDEX('Base de Dados'!$A$3:$M$4990,SMALL(IF('Base de Dados'!$F$3:$F$4990=$B$98,ROW('Base de Dados'!$F$3:$F$4990)-2),ROW(A36)),1),"-")</f>
        <v>-</v>
      </c>
      <c r="I116" s="211"/>
      <c r="J116" s="211"/>
      <c r="K116" s="211"/>
      <c r="L116" s="211"/>
      <c r="M116" s="211"/>
      <c r="N116" s="212"/>
      <c r="O116" s="211" t="str" cm="1">
        <f t="array" ref="O116">IFERROR(INDEX('Base de Dados'!$A$3:$M$4990,SMALL(IF('Base de Dados'!$F$3:$F$4990=$B$98,ROW('Base de Dados'!$F$3:$F$4990)-2),ROW(A56)),1),"-")</f>
        <v>-</v>
      </c>
      <c r="P116" s="211"/>
      <c r="Q116" s="211"/>
      <c r="R116" s="211"/>
      <c r="S116" s="211"/>
      <c r="T116" s="211"/>
      <c r="U116" s="212"/>
      <c r="V116" s="214" t="str" cm="1">
        <f t="array" ref="V116">IFERROR(INDEX('Base de Dados'!$A$3:$M$4990,SMALL(IF('Base de Dados'!$F$3:$F$4990=$B$98,ROW('Base de Dados'!$F$3:$F$4990)-2),ROW(A76)),1),"-")</f>
        <v>-</v>
      </c>
      <c r="W116" s="214"/>
      <c r="X116" s="214"/>
      <c r="Y116" s="214"/>
      <c r="Z116" s="214"/>
      <c r="AA116" s="214"/>
      <c r="AB116" s="215"/>
    </row>
    <row r="117" spans="1:28" x14ac:dyDescent="0.25">
      <c r="A117" s="211" t="str" cm="1">
        <f t="array" ref="A117">IFERROR(INDEX('Base de Dados'!$A$3:$M$4990,SMALL(IF('Base de Dados'!$F$3:$F$4990=$B$98,ROW('Base de Dados'!$F$3:$F$4990)-2),ROW(A17)),1),"-")</f>
        <v>-</v>
      </c>
      <c r="B117" s="211"/>
      <c r="C117" s="211"/>
      <c r="D117" s="211"/>
      <c r="E117" s="211"/>
      <c r="F117" s="211"/>
      <c r="G117" s="212"/>
      <c r="H117" s="241" t="str" cm="1">
        <f t="array" ref="H117">IFERROR(INDEX('Base de Dados'!$A$3:$M$4990,SMALL(IF('Base de Dados'!$F$3:$F$4990=$B$98,ROW('Base de Dados'!$F$3:$F$4990)-2),ROW(A37)),1),"-")</f>
        <v>-</v>
      </c>
      <c r="I117" s="211"/>
      <c r="J117" s="211"/>
      <c r="K117" s="211"/>
      <c r="L117" s="211"/>
      <c r="M117" s="211"/>
      <c r="N117" s="212"/>
      <c r="O117" s="211" t="str" cm="1">
        <f t="array" ref="O117">IFERROR(INDEX('Base de Dados'!$A$3:$M$4990,SMALL(IF('Base de Dados'!$F$3:$F$4990=$B$98,ROW('Base de Dados'!$F$3:$F$4990)-2),ROW(A57)),1),"-")</f>
        <v>-</v>
      </c>
      <c r="P117" s="211"/>
      <c r="Q117" s="211"/>
      <c r="R117" s="211"/>
      <c r="S117" s="211"/>
      <c r="T117" s="211"/>
      <c r="U117" s="212"/>
      <c r="V117" s="214" t="str" cm="1">
        <f t="array" ref="V117">IFERROR(INDEX('Base de Dados'!$A$3:$M$4990,SMALL(IF('Base de Dados'!$F$3:$F$4990=$B$98,ROW('Base de Dados'!$F$3:$F$4990)-2),ROW(A77)),1),"-")</f>
        <v>-</v>
      </c>
      <c r="W117" s="214"/>
      <c r="X117" s="214"/>
      <c r="Y117" s="214"/>
      <c r="Z117" s="214"/>
      <c r="AA117" s="214"/>
      <c r="AB117" s="215"/>
    </row>
    <row r="118" spans="1:28" x14ac:dyDescent="0.25">
      <c r="A118" s="211" t="str" cm="1">
        <f t="array" ref="A118">IFERROR(INDEX('Base de Dados'!$A$3:$M$4990,SMALL(IF('Base de Dados'!$F$3:$F$4990=$B$98,ROW('Base de Dados'!$F$3:$F$4990)-2),ROW(A18)),1),"-")</f>
        <v>-</v>
      </c>
      <c r="B118" s="211"/>
      <c r="C118" s="211"/>
      <c r="D118" s="211"/>
      <c r="E118" s="211"/>
      <c r="F118" s="211"/>
      <c r="G118" s="212"/>
      <c r="H118" s="241" t="str" cm="1">
        <f t="array" ref="H118">IFERROR(INDEX('Base de Dados'!$A$3:$M$4990,SMALL(IF('Base de Dados'!$F$3:$F$4990=$B$98,ROW('Base de Dados'!$F$3:$F$4990)-2),ROW(A38)),1),"-")</f>
        <v>-</v>
      </c>
      <c r="I118" s="211"/>
      <c r="J118" s="211"/>
      <c r="K118" s="211"/>
      <c r="L118" s="211"/>
      <c r="M118" s="211"/>
      <c r="N118" s="212"/>
      <c r="O118" s="211" t="str" cm="1">
        <f t="array" ref="O118">IFERROR(INDEX('Base de Dados'!$A$3:$M$4990,SMALL(IF('Base de Dados'!$F$3:$F$4990=$B$98,ROW('Base de Dados'!$F$3:$F$4990)-2),ROW(A58)),1),"-")</f>
        <v>-</v>
      </c>
      <c r="P118" s="211"/>
      <c r="Q118" s="211"/>
      <c r="R118" s="211"/>
      <c r="S118" s="211"/>
      <c r="T118" s="211"/>
      <c r="U118" s="212"/>
      <c r="V118" s="214" t="str" cm="1">
        <f t="array" ref="V118">IFERROR(INDEX('Base de Dados'!$A$3:$M$4990,SMALL(IF('Base de Dados'!$F$3:$F$4990=$B$98,ROW('Base de Dados'!$F$3:$F$4990)-2),ROW(A78)),1),"-")</f>
        <v>-</v>
      </c>
      <c r="W118" s="214"/>
      <c r="X118" s="214"/>
      <c r="Y118" s="214"/>
      <c r="Z118" s="214"/>
      <c r="AA118" s="214"/>
      <c r="AB118" s="215"/>
    </row>
    <row r="119" spans="1:28" x14ac:dyDescent="0.25">
      <c r="A119" s="211" t="str" cm="1">
        <f t="array" ref="A119">IFERROR(INDEX('Base de Dados'!$A$3:$M$4990,SMALL(IF('Base de Dados'!$F$3:$F$4990=$B$98,ROW('Base de Dados'!$F$3:$F$4990)-2),ROW(A19)),1),"-")</f>
        <v>-</v>
      </c>
      <c r="B119" s="211"/>
      <c r="C119" s="211"/>
      <c r="D119" s="211"/>
      <c r="E119" s="211"/>
      <c r="F119" s="211"/>
      <c r="G119" s="212"/>
      <c r="H119" s="241" t="str" cm="1">
        <f t="array" ref="H119">IFERROR(INDEX('Base de Dados'!$A$3:$M$4990,SMALL(IF('Base de Dados'!$F$3:$F$4990=$B$98,ROW('Base de Dados'!$F$3:$F$4990)-2),ROW(A39)),1),"-")</f>
        <v>-</v>
      </c>
      <c r="I119" s="211"/>
      <c r="J119" s="211"/>
      <c r="K119" s="211"/>
      <c r="L119" s="211"/>
      <c r="M119" s="211"/>
      <c r="N119" s="212"/>
      <c r="O119" s="211" t="str" cm="1">
        <f t="array" ref="O119">IFERROR(INDEX('Base de Dados'!$A$3:$M$4990,SMALL(IF('Base de Dados'!$F$3:$F$4990=$B$98,ROW('Base de Dados'!$F$3:$F$4990)-2),ROW(A59)),1),"-")</f>
        <v>-</v>
      </c>
      <c r="P119" s="211"/>
      <c r="Q119" s="211"/>
      <c r="R119" s="211"/>
      <c r="S119" s="211"/>
      <c r="T119" s="211"/>
      <c r="U119" s="212"/>
      <c r="V119" s="214" t="str" cm="1">
        <f t="array" ref="V119">IFERROR(INDEX('Base de Dados'!$A$3:$M$4990,SMALL(IF('Base de Dados'!$F$3:$F$4990=$B$98,ROW('Base de Dados'!$F$3:$F$4990)-2),ROW(A79)),1),"-")</f>
        <v>-</v>
      </c>
      <c r="W119" s="214"/>
      <c r="X119" s="214"/>
      <c r="Y119" s="214"/>
      <c r="Z119" s="214"/>
      <c r="AA119" s="214"/>
      <c r="AB119" s="215"/>
    </row>
    <row r="120" spans="1:28" x14ac:dyDescent="0.25">
      <c r="A120" s="211" t="str" cm="1">
        <f t="array" ref="A120">IFERROR(INDEX('Base de Dados'!$A$3:$M$4990,SMALL(IF('Base de Dados'!$F$3:$F$4990=$B$98,ROW('Base de Dados'!$F$3:$F$4990)-2),ROW(A20)),1),"-")</f>
        <v>-</v>
      </c>
      <c r="B120" s="211"/>
      <c r="C120" s="211"/>
      <c r="D120" s="211"/>
      <c r="E120" s="211"/>
      <c r="F120" s="211"/>
      <c r="G120" s="212"/>
      <c r="H120" s="241" t="str" cm="1">
        <f t="array" ref="H120">IFERROR(INDEX('Base de Dados'!$A$3:$M$4990,SMALL(IF('Base de Dados'!$F$3:$F$4990=$B$98,ROW('Base de Dados'!$F$3:$F$4990)-2),ROW(A40)),1),"-")</f>
        <v>-</v>
      </c>
      <c r="I120" s="211"/>
      <c r="J120" s="211"/>
      <c r="K120" s="211"/>
      <c r="L120" s="211"/>
      <c r="M120" s="211"/>
      <c r="N120" s="212"/>
      <c r="O120" s="211" t="str" cm="1">
        <f t="array" ref="O120">IFERROR(INDEX('Base de Dados'!$A$3:$M$4990,SMALL(IF('Base de Dados'!$F$3:$F$4990=$B$98,ROW('Base de Dados'!$F$3:$F$4990)-2),ROW(A60)),1),"-")</f>
        <v>-</v>
      </c>
      <c r="P120" s="211"/>
      <c r="Q120" s="211"/>
      <c r="R120" s="211"/>
      <c r="S120" s="211"/>
      <c r="T120" s="211"/>
      <c r="U120" s="212"/>
      <c r="V120" s="214" t="str" cm="1">
        <f t="array" ref="V120">IFERROR(INDEX('Base de Dados'!$A$3:$M$4990,SMALL(IF('Base de Dados'!$F$3:$F$4990=$B$98,ROW('Base de Dados'!$F$3:$F$4990)-2),ROW(A80)),1),"-")</f>
        <v>-</v>
      </c>
      <c r="W120" s="214"/>
      <c r="X120" s="214"/>
      <c r="Y120" s="214"/>
      <c r="Z120" s="214"/>
      <c r="AA120" s="214"/>
      <c r="AB120" s="215"/>
    </row>
  </sheetData>
  <mergeCells count="356"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M59" display="Clique para voltar à DASHBOARD" xr:uid="{ECB80DA0-D7EB-4E16-92F3-F69F61F51A6F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Dados'!$A$3:$A$5022),1)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4"/>
  <sheetViews>
    <sheetView topLeftCell="B1" zoomScale="87" zoomScaleNormal="87" workbookViewId="0">
      <pane ySplit="2" topLeftCell="A3" activePane="bottomLeft" state="frozen"/>
      <selection pane="bottomLeft" activeCell="A165" sqref="A165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122" t="s">
        <v>734</v>
      </c>
      <c r="B1" s="246" t="s">
        <v>733</v>
      </c>
      <c r="C1" s="247"/>
      <c r="D1" s="247"/>
      <c r="E1" s="247"/>
      <c r="F1" s="247"/>
      <c r="G1" s="247"/>
      <c r="H1" s="247"/>
      <c r="I1" s="247"/>
      <c r="J1" s="247"/>
      <c r="K1" s="247"/>
      <c r="L1" s="247"/>
      <c r="M1" s="247"/>
      <c r="N1" s="247"/>
      <c r="O1" s="247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81" t="s">
        <v>737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748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735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735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735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735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750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38" priority="65"/>
  </conditionalFormatting>
  <conditionalFormatting sqref="A1:A1048576">
    <cfRule type="duplicateValues" dxfId="37" priority="1"/>
  </conditionalFormatting>
  <hyperlinks>
    <hyperlink ref="A1" location="Dashboard!M59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topLeftCell="G1" workbookViewId="0">
      <pane ySplit="1" topLeftCell="A2" activePane="bottomLeft" state="frozen"/>
      <selection pane="bottomLeft" activeCell="S19" sqref="S19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48" t="s">
        <v>732</v>
      </c>
      <c r="B1" s="249"/>
      <c r="C1" s="249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738</v>
      </c>
      <c r="W3" t="s">
        <v>743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86" t="s">
        <v>739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86" t="s">
        <v>740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86" t="s">
        <v>741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735</v>
      </c>
      <c r="T7" s="2">
        <v>4</v>
      </c>
      <c r="V7" s="86" t="s">
        <v>742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750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748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M59" display="Clique para voltar a DASHBOARD" xr:uid="{5CA28A17-2EFE-464B-9929-CBF66F39D02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E0CF0-B853-464C-A05F-A803B34F0C4B}">
  <sheetPr codeName="Planilha5">
    <tabColor theme="2" tint="-0.249977111117893"/>
  </sheetPr>
  <dimension ref="A1:H12"/>
  <sheetViews>
    <sheetView workbookViewId="0">
      <selection activeCell="E9" sqref="E9"/>
    </sheetView>
  </sheetViews>
  <sheetFormatPr defaultRowHeight="15" x14ac:dyDescent="0.25"/>
  <cols>
    <col min="1" max="1" width="31.28515625" customWidth="1"/>
    <col min="4" max="4" width="13.42578125" customWidth="1"/>
    <col min="5" max="5" width="70.7109375" bestFit="1" customWidth="1"/>
    <col min="6" max="6" width="15.140625" bestFit="1" customWidth="1"/>
    <col min="7" max="7" width="10.28515625" customWidth="1"/>
  </cols>
  <sheetData>
    <row r="1" spans="1:8" ht="19.5" thickBot="1" x14ac:dyDescent="0.3">
      <c r="A1" s="252" t="s">
        <v>728</v>
      </c>
      <c r="B1" s="253"/>
      <c r="C1" s="253"/>
      <c r="D1" s="253"/>
      <c r="E1" s="254"/>
      <c r="F1" s="248" t="s">
        <v>732</v>
      </c>
      <c r="G1" s="249"/>
      <c r="H1" s="249"/>
    </row>
    <row r="2" spans="1:8" ht="15.75" x14ac:dyDescent="0.25">
      <c r="A2" s="250" t="s">
        <v>752</v>
      </c>
      <c r="B2" s="251"/>
      <c r="D2" s="250" t="s">
        <v>753</v>
      </c>
      <c r="E2" s="251"/>
    </row>
    <row r="3" spans="1:8" x14ac:dyDescent="0.25">
      <c r="A3" s="125" t="s">
        <v>2</v>
      </c>
      <c r="B3" s="126" t="s">
        <v>751</v>
      </c>
      <c r="D3" s="123" t="s">
        <v>1</v>
      </c>
      <c r="E3" s="124" t="s">
        <v>751</v>
      </c>
    </row>
    <row r="4" spans="1:8" x14ac:dyDescent="0.25">
      <c r="A4" s="20" t="str">
        <f ca="1">IFERROR(INDEX(td_Autor, MATCH(B4,'Tabelas Dinâmicas'!$E$4:$E$5000,0),1),"-")</f>
        <v>Selma El-Kathib e Luiz Cesar Pinto Ribeiro (coord.)</v>
      </c>
      <c r="B4">
        <f ca="1">LARGE(OFFSET('Tabelas Dinâmicas'!$E$4,0,0,COUNTA(bd_Autor),1),1)</f>
        <v>4</v>
      </c>
      <c r="D4" t="str">
        <f ca="1">IFERROR(INDEX(td_Assunto, MATCH(E4,'Tabelas Dinâmicas'!$B$4:$B$5000,0),1),"-")</f>
        <v>Romance</v>
      </c>
      <c r="E4">
        <f ca="1">LARGE(OFFSET('Tabelas Dinâmicas'!$B$4,0,0,COUNTA(bd_Assunto),1),1)</f>
        <v>28</v>
      </c>
    </row>
    <row r="5" spans="1:8" x14ac:dyDescent="0.25">
      <c r="A5" s="20" t="str">
        <f ca="1">IFERROR(IF(B5&lt;&gt;B4, INDEX(td_Autor, MATCH(B6,'Tabelas Dinâmicas'!$E$4:$E$5000,0),1), INDEX(td_Autor, MATCH(B6,'Tabelas Dinâmicas'!$E$4:$E$5000,0)+1,1)),"-")</f>
        <v>Machado de Assis</v>
      </c>
      <c r="B5">
        <f ca="1">LARGE(OFFSET('Tabelas Dinâmicas'!$E$4,0,0,COUNTA(bd_Autor),1),2)</f>
        <v>3</v>
      </c>
      <c r="D5" t="str">
        <f ca="1">IFERROR(IF(E5&lt;&gt;E4, INDEX(td_Assunto, (MATCH(E5,'Tabelas Dinâmicas'!$B$4:$B$5000,0)),1), INDEX(td_Assunto, MATCH(E5,'Tabelas Dinâmicas'!$B$4:$B$5000,0)+1,1)),"-")</f>
        <v>Ficção</v>
      </c>
      <c r="E5">
        <f ca="1">LARGE(OFFSET('Tabelas Dinâmicas'!$B$4,0,0,COUNTA(bd_Assunto),1),2)</f>
        <v>18</v>
      </c>
    </row>
    <row r="6" spans="1:8" x14ac:dyDescent="0.25">
      <c r="A6" s="20" t="str">
        <f ca="1">IFERROR(IF(B6&lt;&gt;B5,INDEX(td_Autor,MATCH(B6,'Tabelas Dinâmicas'!$E$4:$E$5000,0),1),IF(B6=B4,INDEX(td_Autor,MATCH(B6,'Tabelas Dinâmicas'!$E$4:$E$5000,0)+2,1),INDEX(td_Autor,MATCH(B6,'Tabelas Dinâmicas'!$E$4:$E$5000,0)+1,1))),"-")</f>
        <v>Mario Sérgio Cortella</v>
      </c>
      <c r="B6">
        <f ca="1">LARGE(OFFSET('Tabelas Dinâmicas'!$E$4,0,0,COUNTA(bd_Autor),1),3)</f>
        <v>3</v>
      </c>
      <c r="D6" t="str">
        <f ca="1">IFERROR(IF(E6&lt;&gt;E5,INDEX(td_Assunto,MATCH(E6,'Tabelas Dinâmicas'!$B$4:$B$5000,0),1),IF(E6=E4,INDEX(td_Assunto,MATCH(E6,'Tabelas Dinâmicas'!$B$4:$B$5000,0)+2,1),INDEX(td_Assunto,MATCH(E6,'Tabelas Dinâmicas'!$B$4:$B$5000,0)+1,1))),"-")</f>
        <v>Filosofia</v>
      </c>
      <c r="E6">
        <f ca="1">LARGE(OFFSET('Tabelas Dinâmicas'!$B$4,0,0,COUNTA(bd_Assunto),1),3)</f>
        <v>10</v>
      </c>
    </row>
    <row r="8" spans="1:8" ht="15.75" x14ac:dyDescent="0.25">
      <c r="A8" s="250" t="s">
        <v>754</v>
      </c>
      <c r="B8" s="251"/>
    </row>
    <row r="9" spans="1:8" x14ac:dyDescent="0.25">
      <c r="A9" s="125" t="s">
        <v>755</v>
      </c>
      <c r="B9" s="126" t="s">
        <v>751</v>
      </c>
    </row>
    <row r="10" spans="1:8" x14ac:dyDescent="0.25">
      <c r="A10" s="20" t="str">
        <f ca="1">IFERROR(INDEX(td_Editora, MATCH(B10,'Tabelas Dinâmicas'!$H$4:$H$5000,0),1),"-")</f>
        <v>L&amp;PM</v>
      </c>
      <c r="B10">
        <f ca="1">LARGE(OFFSET('Tabelas Dinâmicas'!$H$4,0,0,COUNTA(bd_Editora),1),1)</f>
        <v>12</v>
      </c>
    </row>
    <row r="11" spans="1:8" x14ac:dyDescent="0.25">
      <c r="A11" s="127" t="str">
        <f ca="1">IFERROR(IF(B11&lt;&gt;B10, INDEX(td_Editora, MATCH(B11,'Tabelas Dinâmicas'!$H$4:$H$5000,0),1), INDEX(td_Editora, MATCH(B11,'Tabelas Dinâmicas'!$H$4:$H$5000,0)+1,1)),"-")</f>
        <v>Martin Claret</v>
      </c>
      <c r="B11">
        <f ca="1">LARGE(OFFSET('Tabelas Dinâmicas'!$H$4,0,0,COUNTA(bd_Editora),1),2)</f>
        <v>8</v>
      </c>
    </row>
    <row r="12" spans="1:8" x14ac:dyDescent="0.25">
      <c r="A12" s="20" t="str">
        <f ca="1">IFERROR(IF(B12&lt;&gt;B11,INDEX(td_Editora,MATCH(B12,'Tabelas Dinâmicas'!$H$4:$H$5000,0),1),IF(B12=B10,INDEX(td_Editora,MATCH(B12,'Tabelas Dinâmicas'!$H$4:$H$5000,0)+2,1),INDEX(td_Editora,MATCH(B12,'Tabelas Dinâmicas'!$H$4:$H$5000,0)+1,1))),"-")</f>
        <v>Vozes</v>
      </c>
      <c r="B12">
        <f ca="1">LARGE(OFFSET('Tabelas Dinâmicas'!$H$4,0,0,COUNTA(bd_Editora),1),3)</f>
        <v>5</v>
      </c>
    </row>
  </sheetData>
  <mergeCells count="5">
    <mergeCell ref="A2:B2"/>
    <mergeCell ref="D2:E2"/>
    <mergeCell ref="A8:B8"/>
    <mergeCell ref="A1:E1"/>
    <mergeCell ref="F1:H1"/>
  </mergeCells>
  <hyperlinks>
    <hyperlink ref="F1:H1" location="Dashboard!M59" display="Clique para voltar a DASHBOARD" xr:uid="{1CABB215-7FE6-495F-9A83-8244ACAE5A81}"/>
  </hyperlink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Dashboard</vt:lpstr>
      <vt:lpstr>Consulta</vt:lpstr>
      <vt:lpstr>Base de Dados</vt:lpstr>
      <vt:lpstr>Tabelas Dinâmicas</vt:lpstr>
      <vt:lpstr>Tabelas de Apoio</vt:lpstr>
      <vt:lpstr>bd_ID</vt:lpstr>
      <vt:lpstr>td_Ano</vt:lpstr>
      <vt:lpstr>td_Assunto</vt:lpstr>
      <vt:lpstr>td_Autor</vt:lpstr>
      <vt:lpstr>td_Coleção</vt:lpstr>
      <vt:lpstr>td_Editora</vt:lpstr>
      <vt:lpstr>td_Extensão</vt:lpstr>
      <vt:lpstr>td_Idioma</vt:lpstr>
      <vt:lpstr>td_País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2021-02-16T15:58:34Z</dcterms:modified>
  <cp:category/>
  <cp:contentStatus/>
</cp:coreProperties>
</file>