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 activeTab="4"/>
  </bookViews>
  <sheets>
    <sheet name="Fat 1" sheetId="1" r:id="rId1"/>
    <sheet name="Fat 2" sheetId="3" r:id="rId2"/>
    <sheet name="Fat 3" sheetId="9" r:id="rId3"/>
    <sheet name="Fat 4" sheetId="10" r:id="rId4"/>
    <sheet name="Fat 5" sheetId="7" r:id="rId5"/>
    <sheet name="SEMPRE Dem " sheetId="2" r:id="rId6"/>
    <sheet name="Consolidado" sheetId="11" r:id="rId7"/>
  </sheets>
  <definedNames>
    <definedName name="_xlnm.Print_Area" localSheetId="6">Consolidado!$A$1:$J$28</definedName>
    <definedName name="_xlnm.Print_Area" localSheetId="0">'Fat 1'!$A$1:$I$240</definedName>
    <definedName name="_xlnm.Print_Area" localSheetId="1">'Fat 2'!$A$1:$I$27</definedName>
    <definedName name="_xlnm.Print_Area" localSheetId="2">'Fat 3'!$A$1:$I$35</definedName>
    <definedName name="_xlnm.Print_Area" localSheetId="3">'Fat 4'!$A$1:$I$52</definedName>
    <definedName name="_xlnm.Print_Area" localSheetId="4">'Fat 5'!$A$1:$I$86</definedName>
    <definedName name="_xlnm.Print_Area" localSheetId="5">'SEMPRE Dem '!$A$1:$F$81</definedName>
    <definedName name="_xlnm.Print_Titles" localSheetId="0">'Fat 1'!$1:$13</definedName>
    <definedName name="_xlnm.Print_Titles" localSheetId="1">'Fat 2'!$1:$13</definedName>
    <definedName name="_xlnm.Print_Titles" localSheetId="2">'Fat 3'!$1:$13</definedName>
    <definedName name="_xlnm.Print_Titles" localSheetId="3">'Fat 4'!$1:$13</definedName>
    <definedName name="_xlnm.Print_Titles" localSheetId="4">'Fat 5'!$1:$13</definedName>
    <definedName name="_xlnm.Print_Titles" localSheetId="5">'SEMPRE Dem '!$1:$10</definedName>
  </definedNames>
  <calcPr calcId="124519"/>
</workbook>
</file>

<file path=xl/calcChain.xml><?xml version="1.0" encoding="utf-8"?>
<calcChain xmlns="http://schemas.openxmlformats.org/spreadsheetml/2006/main">
  <c r="C50" i="2"/>
  <c r="F49"/>
  <c r="F48"/>
  <c r="F47"/>
  <c r="F37"/>
  <c r="F38"/>
  <c r="F39"/>
  <c r="F40"/>
  <c r="C42"/>
  <c r="F41"/>
  <c r="F36"/>
  <c r="F50" l="1"/>
  <c r="F42"/>
  <c r="I74" i="7" l="1"/>
  <c r="F74"/>
  <c r="F60"/>
  <c r="I60"/>
  <c r="H76" l="1"/>
  <c r="I75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F65"/>
  <c r="I65" s="1"/>
  <c r="F64"/>
  <c r="I64" s="1"/>
  <c r="I76" l="1"/>
  <c r="F55" l="1"/>
  <c r="I55" s="1"/>
  <c r="F56"/>
  <c r="I56" s="1"/>
  <c r="F57"/>
  <c r="I57" s="1"/>
  <c r="F58"/>
  <c r="I58" s="1"/>
  <c r="F59"/>
  <c r="I59" s="1"/>
  <c r="H62"/>
  <c r="I61"/>
  <c r="F54"/>
  <c r="I54" s="1"/>
  <c r="F53"/>
  <c r="I53" s="1"/>
  <c r="F52"/>
  <c r="I52" s="1"/>
  <c r="F51"/>
  <c r="I51" s="1"/>
  <c r="F50"/>
  <c r="I50" s="1"/>
  <c r="F49"/>
  <c r="I49" s="1"/>
  <c r="F48"/>
  <c r="I48" s="1"/>
  <c r="I62" l="1"/>
  <c r="C32" i="2" l="1"/>
  <c r="F31"/>
  <c r="F30"/>
  <c r="C26"/>
  <c r="F25"/>
  <c r="F24"/>
  <c r="C21"/>
  <c r="F20"/>
  <c r="F19"/>
  <c r="F18"/>
  <c r="F21" s="1"/>
  <c r="I233" i="1"/>
  <c r="I18" i="10"/>
  <c r="I19"/>
  <c r="F18"/>
  <c r="F19"/>
  <c r="F20"/>
  <c r="I20" s="1"/>
  <c r="F21"/>
  <c r="I21" s="1"/>
  <c r="I15"/>
  <c r="F16"/>
  <c r="I16" s="1"/>
  <c r="F17"/>
  <c r="I17" s="1"/>
  <c r="F15"/>
  <c r="F22"/>
  <c r="I22" s="1"/>
  <c r="F23"/>
  <c r="I23" s="1"/>
  <c r="F24"/>
  <c r="I24" s="1"/>
  <c r="I29" i="9"/>
  <c r="H29"/>
  <c r="F25"/>
  <c r="I25" s="1"/>
  <c r="F83" i="1"/>
  <c r="I83" s="1"/>
  <c r="H27" i="9"/>
  <c r="I26"/>
  <c r="F24"/>
  <c r="I24" s="1"/>
  <c r="F37" i="10"/>
  <c r="I37" s="1"/>
  <c r="F38"/>
  <c r="I38" s="1"/>
  <c r="F36"/>
  <c r="I36" s="1"/>
  <c r="F26" i="2" l="1"/>
  <c r="F32"/>
  <c r="I27" i="9"/>
  <c r="H31" i="10" l="1"/>
  <c r="I29"/>
  <c r="F25" i="7" l="1"/>
  <c r="I25" s="1"/>
  <c r="F26"/>
  <c r="F24"/>
  <c r="I24" s="1"/>
  <c r="F27"/>
  <c r="I27" s="1"/>
  <c r="F28"/>
  <c r="I28" s="1"/>
  <c r="F29"/>
  <c r="I29" s="1"/>
  <c r="F30"/>
  <c r="I30" s="1"/>
  <c r="F31"/>
  <c r="I31" s="1"/>
  <c r="F32"/>
  <c r="I32" s="1"/>
  <c r="F33"/>
  <c r="I33" s="1"/>
  <c r="F34"/>
  <c r="I34" s="1"/>
  <c r="I26"/>
  <c r="I82" i="2" l="1"/>
  <c r="I32" i="3"/>
  <c r="F26" i="1"/>
  <c r="I26" s="1"/>
  <c r="F35" i="10" l="1"/>
  <c r="I35" s="1"/>
  <c r="F34"/>
  <c r="I34" s="1"/>
  <c r="H40"/>
  <c r="I39"/>
  <c r="F33"/>
  <c r="I33" s="1"/>
  <c r="F152" i="1"/>
  <c r="I152" s="1"/>
  <c r="F151"/>
  <c r="I151" s="1"/>
  <c r="F150"/>
  <c r="I150" s="1"/>
  <c r="F149"/>
  <c r="I149" s="1"/>
  <c r="F148"/>
  <c r="I148" s="1"/>
  <c r="F147"/>
  <c r="I147" s="1"/>
  <c r="F146"/>
  <c r="I146" s="1"/>
  <c r="C15" i="2"/>
  <c r="F14"/>
  <c r="F13"/>
  <c r="H21" i="7"/>
  <c r="F15"/>
  <c r="I15" s="1"/>
  <c r="F225" i="1"/>
  <c r="I225" s="1"/>
  <c r="F226"/>
  <c r="I226" s="1"/>
  <c r="F227"/>
  <c r="I227" s="1"/>
  <c r="F228"/>
  <c r="I228" s="1"/>
  <c r="H230"/>
  <c r="I229"/>
  <c r="F224"/>
  <c r="I224" s="1"/>
  <c r="F223"/>
  <c r="I223" s="1"/>
  <c r="F222"/>
  <c r="I222" s="1"/>
  <c r="F221"/>
  <c r="I221" s="1"/>
  <c r="F220"/>
  <c r="I220" s="1"/>
  <c r="F219"/>
  <c r="I219" s="1"/>
  <c r="F43"/>
  <c r="I43" s="1"/>
  <c r="F43" i="7"/>
  <c r="I43" s="1"/>
  <c r="F44"/>
  <c r="I44" s="1"/>
  <c r="F174" i="1"/>
  <c r="H176"/>
  <c r="I175"/>
  <c r="F173"/>
  <c r="F172"/>
  <c r="I172" s="1"/>
  <c r="F171"/>
  <c r="I171" s="1"/>
  <c r="F170"/>
  <c r="I170" s="1"/>
  <c r="F169"/>
  <c r="I169" s="1"/>
  <c r="F168"/>
  <c r="I168" s="1"/>
  <c r="I40" i="10" l="1"/>
  <c r="F15" i="2"/>
  <c r="I230" i="1"/>
  <c r="I176"/>
  <c r="B28" i="11" l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28" l="1"/>
  <c r="F42" i="7" l="1"/>
  <c r="I42" s="1"/>
  <c r="H46"/>
  <c r="I45"/>
  <c r="F41"/>
  <c r="I41" s="1"/>
  <c r="F40"/>
  <c r="I40" s="1"/>
  <c r="F39"/>
  <c r="I39" s="1"/>
  <c r="F38"/>
  <c r="I38" s="1"/>
  <c r="H217" i="1"/>
  <c r="I216"/>
  <c r="I215"/>
  <c r="F25" i="10"/>
  <c r="I25" s="1"/>
  <c r="I26"/>
  <c r="H27"/>
  <c r="H42" s="1"/>
  <c r="I30"/>
  <c r="I31" s="1"/>
  <c r="F15" i="9"/>
  <c r="I15" s="1"/>
  <c r="F16"/>
  <c r="I16" s="1"/>
  <c r="I17"/>
  <c r="H18"/>
  <c r="F20"/>
  <c r="I20" s="1"/>
  <c r="I21"/>
  <c r="H22"/>
  <c r="B81" i="10"/>
  <c r="E80"/>
  <c r="D80"/>
  <c r="E79"/>
  <c r="D79"/>
  <c r="E78"/>
  <c r="D78"/>
  <c r="E77"/>
  <c r="D77"/>
  <c r="E76"/>
  <c r="D76"/>
  <c r="E75"/>
  <c r="H22" i="11" s="1"/>
  <c r="D75" i="10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H8" i="11" s="1"/>
  <c r="D61" i="10"/>
  <c r="E60"/>
  <c r="D60"/>
  <c r="E59"/>
  <c r="D59"/>
  <c r="E58"/>
  <c r="H5" i="11" s="1"/>
  <c r="B64" i="9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G5" i="11" s="1"/>
  <c r="B115" i="7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I5" i="11" s="1"/>
  <c r="H36" i="7"/>
  <c r="H78" s="1"/>
  <c r="F23"/>
  <c r="I23" s="1"/>
  <c r="I36" s="1"/>
  <c r="I20"/>
  <c r="F19"/>
  <c r="I19" s="1"/>
  <c r="F18"/>
  <c r="I18" s="1"/>
  <c r="F17"/>
  <c r="I17" s="1"/>
  <c r="F16"/>
  <c r="I16" s="1"/>
  <c r="B56" i="3"/>
  <c r="E55"/>
  <c r="D55"/>
  <c r="E54"/>
  <c r="F26" i="11" s="1"/>
  <c r="D54" i="3"/>
  <c r="E53"/>
  <c r="D53"/>
  <c r="E52"/>
  <c r="D52"/>
  <c r="E51"/>
  <c r="D51"/>
  <c r="E50"/>
  <c r="D50"/>
  <c r="E49"/>
  <c r="D49"/>
  <c r="E48"/>
  <c r="D48"/>
  <c r="E47"/>
  <c r="D47"/>
  <c r="E46"/>
  <c r="F18" i="11" s="1"/>
  <c r="D46" i="3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F8" i="11" s="1"/>
  <c r="D36" i="3"/>
  <c r="E35"/>
  <c r="D35"/>
  <c r="E34"/>
  <c r="D34"/>
  <c r="E33"/>
  <c r="F5" i="11" s="1"/>
  <c r="H20" i="3"/>
  <c r="H22" s="1"/>
  <c r="I19"/>
  <c r="F18"/>
  <c r="I18" s="1"/>
  <c r="F17"/>
  <c r="I17" s="1"/>
  <c r="F16"/>
  <c r="I16" s="1"/>
  <c r="F15"/>
  <c r="I15" s="1"/>
  <c r="B269" i="1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H213"/>
  <c r="F211"/>
  <c r="I211" s="1"/>
  <c r="F210"/>
  <c r="I210" s="1"/>
  <c r="F209"/>
  <c r="I209" s="1"/>
  <c r="F208"/>
  <c r="I208" s="1"/>
  <c r="F207"/>
  <c r="I207" s="1"/>
  <c r="F206"/>
  <c r="I206" s="1"/>
  <c r="F205"/>
  <c r="I205" s="1"/>
  <c r="F204"/>
  <c r="I204" s="1"/>
  <c r="F203"/>
  <c r="I203" s="1"/>
  <c r="H201"/>
  <c r="F199"/>
  <c r="I199" s="1"/>
  <c r="F198"/>
  <c r="I198" s="1"/>
  <c r="F197"/>
  <c r="I197" s="1"/>
  <c r="F196"/>
  <c r="I196" s="1"/>
  <c r="F195"/>
  <c r="I195" s="1"/>
  <c r="F194"/>
  <c r="I194" s="1"/>
  <c r="F193"/>
  <c r="I193" s="1"/>
  <c r="F192"/>
  <c r="I192" s="1"/>
  <c r="F191"/>
  <c r="I191" s="1"/>
  <c r="F190"/>
  <c r="I190" s="1"/>
  <c r="F189"/>
  <c r="I189" s="1"/>
  <c r="F188"/>
  <c r="I188" s="1"/>
  <c r="F187"/>
  <c r="I187" s="1"/>
  <c r="H185"/>
  <c r="I184"/>
  <c r="F183"/>
  <c r="I183" s="1"/>
  <c r="F182"/>
  <c r="I182" s="1"/>
  <c r="F181"/>
  <c r="I181" s="1"/>
  <c r="F180"/>
  <c r="I180" s="1"/>
  <c r="F179"/>
  <c r="I179" s="1"/>
  <c r="F178"/>
  <c r="I178" s="1"/>
  <c r="H166"/>
  <c r="I165"/>
  <c r="F164"/>
  <c r="I164" s="1"/>
  <c r="F163"/>
  <c r="I163" s="1"/>
  <c r="F162"/>
  <c r="I162" s="1"/>
  <c r="F161"/>
  <c r="I161" s="1"/>
  <c r="F160"/>
  <c r="I160" s="1"/>
  <c r="F159"/>
  <c r="I159" s="1"/>
  <c r="F158"/>
  <c r="I158" s="1"/>
  <c r="F157"/>
  <c r="I157" s="1"/>
  <c r="F156"/>
  <c r="I156" s="1"/>
  <c r="H154"/>
  <c r="I153"/>
  <c r="H144"/>
  <c r="I143"/>
  <c r="F142"/>
  <c r="I142" s="1"/>
  <c r="F141"/>
  <c r="I141" s="1"/>
  <c r="H139"/>
  <c r="I138"/>
  <c r="F137"/>
  <c r="I137" s="1"/>
  <c r="F136"/>
  <c r="I136" s="1"/>
  <c r="F135"/>
  <c r="I135" s="1"/>
  <c r="F134"/>
  <c r="I134" s="1"/>
  <c r="F133"/>
  <c r="I133" s="1"/>
  <c r="F132"/>
  <c r="I132" s="1"/>
  <c r="F131"/>
  <c r="I131" s="1"/>
  <c r="F130"/>
  <c r="I130" s="1"/>
  <c r="F129"/>
  <c r="I129" s="1"/>
  <c r="F128"/>
  <c r="I128" s="1"/>
  <c r="F127"/>
  <c r="I127" s="1"/>
  <c r="H125"/>
  <c r="I124"/>
  <c r="F123"/>
  <c r="I123" s="1"/>
  <c r="F122"/>
  <c r="I122" s="1"/>
  <c r="F121"/>
  <c r="I121" s="1"/>
  <c r="H119"/>
  <c r="I118"/>
  <c r="F117"/>
  <c r="I117" s="1"/>
  <c r="F116"/>
  <c r="I116" s="1"/>
  <c r="F115"/>
  <c r="I115" s="1"/>
  <c r="F114"/>
  <c r="I114" s="1"/>
  <c r="F113"/>
  <c r="I113" s="1"/>
  <c r="F112"/>
  <c r="I112" s="1"/>
  <c r="F111"/>
  <c r="I111" s="1"/>
  <c r="H109"/>
  <c r="I108"/>
  <c r="F107"/>
  <c r="I107" s="1"/>
  <c r="F106"/>
  <c r="I106" s="1"/>
  <c r="F105"/>
  <c r="I105" s="1"/>
  <c r="F104"/>
  <c r="I104" s="1"/>
  <c r="F103"/>
  <c r="I103" s="1"/>
  <c r="F102"/>
  <c r="I102" s="1"/>
  <c r="F101"/>
  <c r="I101" s="1"/>
  <c r="F100"/>
  <c r="I100" s="1"/>
  <c r="F99"/>
  <c r="I99" s="1"/>
  <c r="F98"/>
  <c r="I98" s="1"/>
  <c r="F97"/>
  <c r="I97" s="1"/>
  <c r="H95"/>
  <c r="I94"/>
  <c r="F93"/>
  <c r="I93" s="1"/>
  <c r="F92"/>
  <c r="I92" s="1"/>
  <c r="F91"/>
  <c r="I91" s="1"/>
  <c r="F90"/>
  <c r="I90" s="1"/>
  <c r="F89"/>
  <c r="I89" s="1"/>
  <c r="F88"/>
  <c r="I88" s="1"/>
  <c r="F87"/>
  <c r="I87" s="1"/>
  <c r="H85"/>
  <c r="I84"/>
  <c r="F82"/>
  <c r="I82" s="1"/>
  <c r="F81"/>
  <c r="I81" s="1"/>
  <c r="F80"/>
  <c r="I80" s="1"/>
  <c r="F79"/>
  <c r="I79" s="1"/>
  <c r="F78"/>
  <c r="I78" s="1"/>
  <c r="F77"/>
  <c r="I77" s="1"/>
  <c r="H75"/>
  <c r="I74"/>
  <c r="F73"/>
  <c r="I73" s="1"/>
  <c r="F72"/>
  <c r="I72" s="1"/>
  <c r="F71"/>
  <c r="I71" s="1"/>
  <c r="F70"/>
  <c r="I70" s="1"/>
  <c r="F69"/>
  <c r="I69" s="1"/>
  <c r="F68"/>
  <c r="I68" s="1"/>
  <c r="F67"/>
  <c r="I67" s="1"/>
  <c r="H65"/>
  <c r="I64"/>
  <c r="F63"/>
  <c r="I63" s="1"/>
  <c r="F62"/>
  <c r="I62" s="1"/>
  <c r="F61"/>
  <c r="I61" s="1"/>
  <c r="F60"/>
  <c r="I60" s="1"/>
  <c r="F59"/>
  <c r="I59" s="1"/>
  <c r="F58"/>
  <c r="I58" s="1"/>
  <c r="F57"/>
  <c r="I57" s="1"/>
  <c r="F56"/>
  <c r="I56" s="1"/>
  <c r="H54"/>
  <c r="I53"/>
  <c r="F52"/>
  <c r="I52" s="1"/>
  <c r="F51"/>
  <c r="I51" s="1"/>
  <c r="F50"/>
  <c r="I50" s="1"/>
  <c r="F49"/>
  <c r="I49" s="1"/>
  <c r="F48"/>
  <c r="I48" s="1"/>
  <c r="F47"/>
  <c r="I47" s="1"/>
  <c r="H45"/>
  <c r="I44"/>
  <c r="F42"/>
  <c r="I42" s="1"/>
  <c r="F41"/>
  <c r="I41" s="1"/>
  <c r="F40"/>
  <c r="I40" s="1"/>
  <c r="F39"/>
  <c r="I39" s="1"/>
  <c r="F38"/>
  <c r="I38" s="1"/>
  <c r="F37"/>
  <c r="I37" s="1"/>
  <c r="H35"/>
  <c r="I34"/>
  <c r="F33"/>
  <c r="I33" s="1"/>
  <c r="F32"/>
  <c r="I32" s="1"/>
  <c r="F31"/>
  <c r="I31" s="1"/>
  <c r="F30"/>
  <c r="I30" s="1"/>
  <c r="F29"/>
  <c r="I29" s="1"/>
  <c r="F28"/>
  <c r="I28" s="1"/>
  <c r="F27"/>
  <c r="I27" s="1"/>
  <c r="H24"/>
  <c r="I23"/>
  <c r="F22"/>
  <c r="I22" s="1"/>
  <c r="F21"/>
  <c r="I21" s="1"/>
  <c r="F20"/>
  <c r="I20" s="1"/>
  <c r="F19"/>
  <c r="I19" s="1"/>
  <c r="F18"/>
  <c r="I18" s="1"/>
  <c r="F17"/>
  <c r="I17" s="1"/>
  <c r="F16"/>
  <c r="I16" s="1"/>
  <c r="F15"/>
  <c r="I15" s="1"/>
  <c r="F36" i="3" l="1"/>
  <c r="F54"/>
  <c r="I35" i="1"/>
  <c r="F37" i="3"/>
  <c r="F9" i="11"/>
  <c r="F38" i="3"/>
  <c r="F10" i="11"/>
  <c r="F39" i="3"/>
  <c r="F11" i="11"/>
  <c r="F40" i="3"/>
  <c r="F12" i="11"/>
  <c r="F41" i="3"/>
  <c r="F13" i="11"/>
  <c r="F42" i="3"/>
  <c r="F14" i="11"/>
  <c r="F44" i="3"/>
  <c r="F16" i="11"/>
  <c r="F45" i="3"/>
  <c r="F17" i="11"/>
  <c r="F55" i="3"/>
  <c r="F27" i="11"/>
  <c r="F43" i="3"/>
  <c r="F15" i="11"/>
  <c r="F34" i="3"/>
  <c r="F6" i="11"/>
  <c r="F35" i="3"/>
  <c r="F7" i="11"/>
  <c r="F47" i="3"/>
  <c r="F19" i="11"/>
  <c r="F48" i="3"/>
  <c r="F20" i="11"/>
  <c r="F49" i="3"/>
  <c r="F21" i="11"/>
  <c r="F50" i="3"/>
  <c r="F22" i="11"/>
  <c r="F51" i="3"/>
  <c r="F23" i="11"/>
  <c r="F52" i="3"/>
  <c r="F24" i="11"/>
  <c r="F53" i="3"/>
  <c r="F25" i="11"/>
  <c r="F42" i="9"/>
  <c r="G6" i="11"/>
  <c r="F43" i="9"/>
  <c r="G7" i="11"/>
  <c r="F44" i="9"/>
  <c r="G8" i="11"/>
  <c r="F45" i="9"/>
  <c r="G9" i="11"/>
  <c r="F46" i="9"/>
  <c r="G10" i="11"/>
  <c r="F47" i="9"/>
  <c r="G11" i="11"/>
  <c r="F48" i="9"/>
  <c r="G12" i="11"/>
  <c r="F49" i="9"/>
  <c r="G13" i="11"/>
  <c r="F50" i="9"/>
  <c r="G14" i="11"/>
  <c r="F51" i="9"/>
  <c r="G15" i="11"/>
  <c r="F52" i="9"/>
  <c r="G16" i="11"/>
  <c r="F53" i="9"/>
  <c r="G17" i="11"/>
  <c r="F54" i="9"/>
  <c r="G18" i="11"/>
  <c r="F55" i="9"/>
  <c r="G19" i="11"/>
  <c r="F56" i="9"/>
  <c r="G20" i="11"/>
  <c r="F57" i="9"/>
  <c r="G21" i="11"/>
  <c r="F58" i="9"/>
  <c r="G22" i="11"/>
  <c r="F59" i="9"/>
  <c r="G23" i="11"/>
  <c r="F60" i="9"/>
  <c r="G24" i="11"/>
  <c r="F61" i="9"/>
  <c r="G25" i="11"/>
  <c r="F62" i="9"/>
  <c r="G26" i="11"/>
  <c r="F63" i="9"/>
  <c r="G27" i="11"/>
  <c r="F46" i="3"/>
  <c r="G28" i="11"/>
  <c r="F61" i="10"/>
  <c r="F75"/>
  <c r="F62"/>
  <c r="H9" i="11"/>
  <c r="F63" i="10"/>
  <c r="H10" i="11"/>
  <c r="F64" i="10"/>
  <c r="H11" i="11"/>
  <c r="F65" i="10"/>
  <c r="H12" i="11"/>
  <c r="F66" i="10"/>
  <c r="H13" i="11"/>
  <c r="F67" i="10"/>
  <c r="H14" i="11"/>
  <c r="F68" i="10"/>
  <c r="H15" i="11"/>
  <c r="F69" i="10"/>
  <c r="H16" i="11"/>
  <c r="F70" i="10"/>
  <c r="H17" i="11"/>
  <c r="F71" i="10"/>
  <c r="H18" i="11"/>
  <c r="F72" i="10"/>
  <c r="H19" i="11"/>
  <c r="F73" i="10"/>
  <c r="H20" i="11"/>
  <c r="F74" i="10"/>
  <c r="H21" i="11"/>
  <c r="F59" i="10"/>
  <c r="H6" i="11"/>
  <c r="F60" i="10"/>
  <c r="H7" i="11"/>
  <c r="F76" i="10"/>
  <c r="H23" i="11"/>
  <c r="F77" i="10"/>
  <c r="H24" i="11"/>
  <c r="F78" i="10"/>
  <c r="H25" i="11"/>
  <c r="F79" i="10"/>
  <c r="H26" i="11"/>
  <c r="F80" i="10"/>
  <c r="H27" i="11"/>
  <c r="I21" i="7"/>
  <c r="H233" i="1"/>
  <c r="I54"/>
  <c r="F93" i="7"/>
  <c r="I6" i="11"/>
  <c r="F94" i="7"/>
  <c r="I7" i="11"/>
  <c r="F95" i="7"/>
  <c r="I8" i="11"/>
  <c r="F96" i="7"/>
  <c r="I9" i="11"/>
  <c r="F97" i="7"/>
  <c r="I10" i="11"/>
  <c r="F98" i="7"/>
  <c r="I11" i="11"/>
  <c r="F99" i="7"/>
  <c r="I12" i="11"/>
  <c r="F100" i="7"/>
  <c r="I13" i="11"/>
  <c r="F101" i="7"/>
  <c r="I14" i="11"/>
  <c r="F102" i="7"/>
  <c r="I15" i="11"/>
  <c r="F103" i="7"/>
  <c r="I16" i="11"/>
  <c r="F104" i="7"/>
  <c r="I17" i="11"/>
  <c r="F105" i="7"/>
  <c r="I18" i="11"/>
  <c r="F106" i="7"/>
  <c r="I19" i="11"/>
  <c r="F107" i="7"/>
  <c r="I20" i="11"/>
  <c r="F108" i="7"/>
  <c r="I21" i="11"/>
  <c r="F109" i="7"/>
  <c r="I22" i="11"/>
  <c r="F110" i="7"/>
  <c r="I23" i="11"/>
  <c r="F111" i="7"/>
  <c r="I24" i="11"/>
  <c r="F112" i="7"/>
  <c r="I25" i="11"/>
  <c r="F114" i="7"/>
  <c r="I27" i="11"/>
  <c r="F113" i="7"/>
  <c r="I26" i="11"/>
  <c r="F246" i="1"/>
  <c r="E5" i="11"/>
  <c r="F248" i="1"/>
  <c r="E7" i="11"/>
  <c r="F249" i="1"/>
  <c r="E8" i="11"/>
  <c r="F251" i="1"/>
  <c r="E10" i="11"/>
  <c r="F253" i="1"/>
  <c r="E12" i="11"/>
  <c r="F255" i="1"/>
  <c r="E14" i="11"/>
  <c r="F257" i="1"/>
  <c r="E16" i="11"/>
  <c r="F259" i="1"/>
  <c r="E18" i="11"/>
  <c r="F261" i="1"/>
  <c r="E20" i="11"/>
  <c r="F264" i="1"/>
  <c r="E23" i="11"/>
  <c r="F266" i="1"/>
  <c r="E25" i="11"/>
  <c r="F267" i="1"/>
  <c r="E26" i="11"/>
  <c r="F247" i="1"/>
  <c r="E6" i="11"/>
  <c r="F250" i="1"/>
  <c r="E9" i="11"/>
  <c r="F252" i="1"/>
  <c r="E11" i="11"/>
  <c r="F254" i="1"/>
  <c r="E13" i="11"/>
  <c r="F256" i="1"/>
  <c r="E15" i="11"/>
  <c r="F258" i="1"/>
  <c r="E17" i="11"/>
  <c r="F260" i="1"/>
  <c r="E19" i="11"/>
  <c r="F262" i="1"/>
  <c r="E21" i="11"/>
  <c r="F263" i="1"/>
  <c r="E22" i="11"/>
  <c r="F265" i="1"/>
  <c r="E24" i="11"/>
  <c r="F268" i="1"/>
  <c r="E27" i="11"/>
  <c r="D64" i="9"/>
  <c r="D115" i="7"/>
  <c r="I75" i="1"/>
  <c r="I125"/>
  <c r="I201"/>
  <c r="I46" i="7"/>
  <c r="E56" i="3"/>
  <c r="E115" i="7"/>
  <c r="I166" i="1"/>
  <c r="I85"/>
  <c r="I144"/>
  <c r="I154"/>
  <c r="I213"/>
  <c r="I217"/>
  <c r="I27" i="10"/>
  <c r="I42" s="1"/>
  <c r="E81"/>
  <c r="D81"/>
  <c r="I22" i="9"/>
  <c r="I18"/>
  <c r="I20" i="3"/>
  <c r="I22" s="1"/>
  <c r="D56"/>
  <c r="I24" i="1"/>
  <c r="I45"/>
  <c r="I65"/>
  <c r="I109"/>
  <c r="I95"/>
  <c r="I139"/>
  <c r="I185"/>
  <c r="E269"/>
  <c r="D269"/>
  <c r="E64" i="9"/>
  <c r="F41"/>
  <c r="F58" i="10"/>
  <c r="F92" i="7"/>
  <c r="F33" i="3"/>
  <c r="I119" i="1"/>
  <c r="I78" i="7" l="1"/>
  <c r="F67" i="2"/>
  <c r="F64" i="9"/>
  <c r="I28" i="11"/>
  <c r="F56" i="3"/>
  <c r="F28" i="11"/>
  <c r="H28"/>
  <c r="F81" i="10"/>
  <c r="F269" i="1"/>
  <c r="J27" i="11"/>
  <c r="K27" s="1"/>
  <c r="J24"/>
  <c r="K24" s="1"/>
  <c r="J22"/>
  <c r="K22" s="1"/>
  <c r="J21"/>
  <c r="K21" s="1"/>
  <c r="J19"/>
  <c r="K19" s="1"/>
  <c r="J17"/>
  <c r="K17" s="1"/>
  <c r="J15"/>
  <c r="K15" s="1"/>
  <c r="J13"/>
  <c r="K13" s="1"/>
  <c r="J11"/>
  <c r="K11" s="1"/>
  <c r="J9"/>
  <c r="K9" s="1"/>
  <c r="J6"/>
  <c r="K6" s="1"/>
  <c r="J25"/>
  <c r="K25" s="1"/>
  <c r="J23"/>
  <c r="K23" s="1"/>
  <c r="J20"/>
  <c r="K20" s="1"/>
  <c r="J18"/>
  <c r="K18" s="1"/>
  <c r="J16"/>
  <c r="K16" s="1"/>
  <c r="J14"/>
  <c r="K14" s="1"/>
  <c r="J12"/>
  <c r="K12" s="1"/>
  <c r="J10"/>
  <c r="K10" s="1"/>
  <c r="J8"/>
  <c r="K8" s="1"/>
  <c r="J7"/>
  <c r="K7" s="1"/>
  <c r="F115" i="7"/>
  <c r="J26" i="11"/>
  <c r="K26" s="1"/>
  <c r="J5"/>
  <c r="E28"/>
  <c r="K30" l="1"/>
  <c r="J28"/>
  <c r="K5"/>
  <c r="K28" s="1"/>
</calcChain>
</file>

<file path=xl/sharedStrings.xml><?xml version="1.0" encoding="utf-8"?>
<sst xmlns="http://schemas.openxmlformats.org/spreadsheetml/2006/main" count="855" uniqueCount="181">
  <si>
    <t>Boletim de Medição / Equipamentos Locados - SEMGE: Contrato N 051/2024</t>
  </si>
  <si>
    <t>Fornecedor</t>
  </si>
  <si>
    <r>
      <t xml:space="preserve">Razão Social: </t>
    </r>
    <r>
      <rPr>
        <sz val="10"/>
        <rFont val="Arial"/>
        <family val="2"/>
      </rPr>
      <t xml:space="preserve"> LOC Tudo Locação e Assistência Técnica LTDA </t>
    </r>
  </si>
  <si>
    <r>
      <t xml:space="preserve">CNPJ: </t>
    </r>
    <r>
      <rPr>
        <sz val="10"/>
        <rFont val="Arial"/>
        <family val="2"/>
      </rPr>
      <t>03.019.757/0001-15</t>
    </r>
  </si>
  <si>
    <r>
      <t xml:space="preserve">Gestor: </t>
    </r>
    <r>
      <rPr>
        <sz val="10"/>
        <rFont val="Arial"/>
        <family val="2"/>
      </rPr>
      <t>Thaís Pinelli</t>
    </r>
  </si>
  <si>
    <r>
      <t xml:space="preserve">Endereço: </t>
    </r>
    <r>
      <rPr>
        <sz val="10"/>
        <rFont val="Arial"/>
        <family val="2"/>
      </rPr>
      <t>Rua Claudionor dos Santos paranhos, Lauro de Freitas - BA</t>
    </r>
  </si>
  <si>
    <r>
      <t xml:space="preserve">Telefone: </t>
    </r>
    <r>
      <rPr>
        <sz val="10"/>
        <rFont val="Arial"/>
        <family val="2"/>
      </rPr>
      <t>71 2104-6211</t>
    </r>
  </si>
  <si>
    <r>
      <t xml:space="preserve">E-mail: </t>
    </r>
    <r>
      <rPr>
        <sz val="10"/>
        <rFont val="Arial"/>
        <family val="2"/>
      </rPr>
      <t>orgaopublico@aluguetudo.com</t>
    </r>
  </si>
  <si>
    <t xml:space="preserve">Cliente:  </t>
  </si>
  <si>
    <r>
      <t xml:space="preserve">Razão Social: </t>
    </r>
    <r>
      <rPr>
        <sz val="10"/>
        <rFont val="Arial"/>
        <family val="2"/>
      </rPr>
      <t>Secretaria de Promoção Social e Combate à Pobreza Esporte e Lazer</t>
    </r>
  </si>
  <si>
    <r>
      <t xml:space="preserve">CNPJ: </t>
    </r>
    <r>
      <rPr>
        <sz val="10"/>
        <rFont val="Arial"/>
        <family val="2"/>
      </rPr>
      <t>13.927.801/0017-06</t>
    </r>
  </si>
  <si>
    <r>
      <t xml:space="preserve">Gestor: </t>
    </r>
    <r>
      <rPr>
        <sz val="10"/>
        <rFont val="Arial"/>
        <family val="2"/>
      </rPr>
      <t>Maurício Assis</t>
    </r>
  </si>
  <si>
    <t>Legendas do Patrimônio:</t>
  </si>
  <si>
    <t>Patrimônio Instalado</t>
  </si>
  <si>
    <t>Patrimônio Devolvido</t>
  </si>
  <si>
    <t>Equipamento</t>
  </si>
  <si>
    <t>Data de Inst.</t>
  </si>
  <si>
    <t>Patrimônio</t>
  </si>
  <si>
    <t>Período de Medição</t>
  </si>
  <si>
    <t>Uso (Dias)</t>
  </si>
  <si>
    <t>R$ Unitário</t>
  </si>
  <si>
    <t>Quantidade</t>
  </si>
  <si>
    <t>R$ Total</t>
  </si>
  <si>
    <t>Sala/Ambiente</t>
  </si>
  <si>
    <t>OS</t>
  </si>
  <si>
    <t>Cond Ar Split 9.000 BTU/h Hi Wall</t>
  </si>
  <si>
    <t>ATENDIMENO 01</t>
  </si>
  <si>
    <t>ATENDIMENO 02</t>
  </si>
  <si>
    <t>ATENDIMENO 03</t>
  </si>
  <si>
    <t>COORDENAÇÃO</t>
  </si>
  <si>
    <t>CAD ÚNICO</t>
  </si>
  <si>
    <t>Cond Ar Split 22.000 BTU/h Hi Wall</t>
  </si>
  <si>
    <t>MULTIUSO</t>
  </si>
  <si>
    <t>RECEPÇÃO</t>
  </si>
  <si>
    <r>
      <t xml:space="preserve">Unidade: </t>
    </r>
    <r>
      <rPr>
        <sz val="10"/>
        <rFont val="Arial"/>
        <family val="2"/>
      </rPr>
      <t>CRAS Itapagipe</t>
    </r>
  </si>
  <si>
    <t>ATENDIMENTO 01</t>
  </si>
  <si>
    <t>ATENDIMENTO 02</t>
  </si>
  <si>
    <t>ATENDIMENTO 03</t>
  </si>
  <si>
    <t>ATENDIMENTO 04</t>
  </si>
  <si>
    <t>Cond Ar Split 18.000 BTU/h Hi Wall</t>
  </si>
  <si>
    <r>
      <t xml:space="preserve">Unidade: </t>
    </r>
    <r>
      <rPr>
        <sz val="10"/>
        <rFont val="Arial"/>
        <family val="2"/>
      </rPr>
      <t xml:space="preserve">CRAS Boca do Rio </t>
    </r>
  </si>
  <si>
    <t xml:space="preserve">CAD ÚNICO </t>
  </si>
  <si>
    <r>
      <t xml:space="preserve">Unidade: </t>
    </r>
    <r>
      <rPr>
        <sz val="10"/>
        <rFont val="Arial"/>
        <family val="2"/>
      </rPr>
      <t>CRAS Calabetão</t>
    </r>
  </si>
  <si>
    <r>
      <t xml:space="preserve">Unidade: </t>
    </r>
    <r>
      <rPr>
        <sz val="10"/>
        <rFont val="Arial"/>
        <family val="2"/>
      </rPr>
      <t>CRAS Paripe</t>
    </r>
  </si>
  <si>
    <t xml:space="preserve">RECEPCAO </t>
  </si>
  <si>
    <t>MULTUSO</t>
  </si>
  <si>
    <r>
      <t xml:space="preserve">Unidade: </t>
    </r>
    <r>
      <rPr>
        <sz val="10"/>
        <rFont val="Arial"/>
        <family val="2"/>
      </rPr>
      <t>CRAS Itapuã</t>
    </r>
  </si>
  <si>
    <t xml:space="preserve">SEM NOME </t>
  </si>
  <si>
    <r>
      <t xml:space="preserve">Unidade: </t>
    </r>
    <r>
      <rPr>
        <sz val="10"/>
        <rFont val="Arial"/>
        <family val="2"/>
      </rPr>
      <t>CRAS Bairro da Paz</t>
    </r>
  </si>
  <si>
    <r>
      <t xml:space="preserve">Unidade: </t>
    </r>
    <r>
      <rPr>
        <sz val="10"/>
        <rFont val="Arial"/>
        <family val="2"/>
      </rPr>
      <t xml:space="preserve">CRAS Valéria </t>
    </r>
  </si>
  <si>
    <r>
      <t xml:space="preserve">Unidade: </t>
    </r>
    <r>
      <rPr>
        <sz val="10"/>
        <rFont val="Arial"/>
        <family val="2"/>
      </rPr>
      <t>CRAS Lobato</t>
    </r>
  </si>
  <si>
    <t xml:space="preserve"> </t>
  </si>
  <si>
    <t>ATENDIMENTO 05</t>
  </si>
  <si>
    <t>ATENDIMENTO 06</t>
  </si>
  <si>
    <t>Cond Ar Split 36.000 BTU/h Piso/Teto</t>
  </si>
  <si>
    <r>
      <t xml:space="preserve">Unidade: </t>
    </r>
    <r>
      <rPr>
        <sz val="10"/>
        <rFont val="Arial"/>
        <family val="2"/>
      </rPr>
      <t>CRAS Lucaia</t>
    </r>
  </si>
  <si>
    <t>Cond Ar Split 12.000 BTU/h Hi Wall</t>
  </si>
  <si>
    <t xml:space="preserve">MULTIUSO </t>
  </si>
  <si>
    <t>RECEPCAO</t>
  </si>
  <si>
    <r>
      <t xml:space="preserve">Unidade: </t>
    </r>
    <r>
      <rPr>
        <sz val="10"/>
        <rFont val="Arial"/>
        <family val="2"/>
      </rPr>
      <t>CRAS Fazenda Grande do Retiro</t>
    </r>
  </si>
  <si>
    <r>
      <t xml:space="preserve">Unidade: </t>
    </r>
    <r>
      <rPr>
        <sz val="10"/>
        <rFont val="Arial"/>
        <family val="2"/>
      </rPr>
      <t>CRAS Parque São Bartolomeu</t>
    </r>
  </si>
  <si>
    <t>SALÃO</t>
  </si>
  <si>
    <r>
      <t xml:space="preserve">Unidade: </t>
    </r>
    <r>
      <rPr>
        <sz val="10"/>
        <rFont val="Arial"/>
        <family val="2"/>
      </rPr>
      <t>CRAS São Cristóvão</t>
    </r>
  </si>
  <si>
    <t>ATENDIMENTO 03/04</t>
  </si>
  <si>
    <r>
      <t xml:space="preserve">Unidade: </t>
    </r>
    <r>
      <rPr>
        <sz val="10"/>
        <rFont val="Arial"/>
        <family val="2"/>
      </rPr>
      <t>CRAS Engomadeira</t>
    </r>
  </si>
  <si>
    <r>
      <t xml:space="preserve">Unidade: </t>
    </r>
    <r>
      <rPr>
        <sz val="10"/>
        <rFont val="Arial"/>
        <family val="2"/>
      </rPr>
      <t>CRAS Pau da Lima</t>
    </r>
  </si>
  <si>
    <r>
      <t xml:space="preserve">Unidade: </t>
    </r>
    <r>
      <rPr>
        <sz val="10"/>
        <rFont val="Arial"/>
        <family val="2"/>
      </rPr>
      <t>CRAS Castelo Branco</t>
    </r>
  </si>
  <si>
    <r>
      <t xml:space="preserve">Unidade: </t>
    </r>
    <r>
      <rPr>
        <sz val="10"/>
        <rFont val="Arial"/>
        <family val="2"/>
      </rPr>
      <t>CRAS Lagoa da paixão</t>
    </r>
  </si>
  <si>
    <t>CONVIVÊNCIA 01</t>
  </si>
  <si>
    <t>CONVIVÊNCIA 02</t>
  </si>
  <si>
    <t>SALA DE APOIO</t>
  </si>
  <si>
    <t>MULTIUSO 02</t>
  </si>
  <si>
    <t>MULTIUSO 01</t>
  </si>
  <si>
    <r>
      <t>Unidade:</t>
    </r>
    <r>
      <rPr>
        <sz val="10"/>
        <rFont val="Arial"/>
        <family val="2"/>
      </rPr>
      <t xml:space="preserve"> CRAS Federação</t>
    </r>
  </si>
  <si>
    <t>COORDENAÇÃO 01</t>
  </si>
  <si>
    <t>COORDENAÇÃO 02</t>
  </si>
  <si>
    <r>
      <t>Unidade:</t>
    </r>
    <r>
      <rPr>
        <sz val="10"/>
        <rFont val="Arial"/>
        <family val="2"/>
      </rPr>
      <t xml:space="preserve"> CRAS Rio Sena</t>
    </r>
  </si>
  <si>
    <r>
      <t xml:space="preserve">Unidade: </t>
    </r>
    <r>
      <rPr>
        <sz val="10"/>
        <rFont val="Arial"/>
        <family val="2"/>
      </rPr>
      <t>CMAS Edf. Oxumaré</t>
    </r>
  </si>
  <si>
    <t xml:space="preserve">ATENDIMENTO </t>
  </si>
  <si>
    <t>ESPAÇO</t>
  </si>
  <si>
    <r>
      <t xml:space="preserve">Unidade: </t>
    </r>
    <r>
      <rPr>
        <sz val="10"/>
        <rFont val="Arial"/>
        <family val="2"/>
      </rPr>
      <t>UAI Amaralina</t>
    </r>
  </si>
  <si>
    <r>
      <t xml:space="preserve">Unidade: </t>
    </r>
    <r>
      <rPr>
        <sz val="10"/>
        <rFont val="Arial"/>
        <family val="2"/>
      </rPr>
      <t>Abrigo D. Pedro II</t>
    </r>
  </si>
  <si>
    <t>ACADEMIA</t>
  </si>
  <si>
    <r>
      <t xml:space="preserve">Unidade: </t>
    </r>
    <r>
      <rPr>
        <sz val="10"/>
        <rFont val="Arial"/>
        <family val="2"/>
      </rPr>
      <t>Arena Aquática</t>
    </r>
  </si>
  <si>
    <r>
      <t xml:space="preserve">Unidade: </t>
    </r>
    <r>
      <rPr>
        <sz val="10"/>
        <rFont val="Arial"/>
        <family val="2"/>
      </rPr>
      <t>CEO Valéria</t>
    </r>
  </si>
  <si>
    <r>
      <t xml:space="preserve">Unidade: </t>
    </r>
    <r>
      <rPr>
        <sz val="10"/>
        <rFont val="Arial"/>
        <family val="2"/>
      </rPr>
      <t xml:space="preserve">Restaurante Popular Pernambués </t>
    </r>
  </si>
  <si>
    <t>NUTRICIONISTA</t>
  </si>
  <si>
    <t>AÇOUGUE</t>
  </si>
  <si>
    <t>GCM</t>
  </si>
  <si>
    <t>PREPARO</t>
  </si>
  <si>
    <t>PADARIA</t>
  </si>
  <si>
    <t>REFEITÓRIO</t>
  </si>
  <si>
    <r>
      <t xml:space="preserve">Unidade: </t>
    </r>
    <r>
      <rPr>
        <sz val="10"/>
        <rFont val="Arial"/>
        <family val="2"/>
      </rPr>
      <t>Restaurante Pop Jardim Cajazeiras</t>
    </r>
  </si>
  <si>
    <t xml:space="preserve">Atestamos para os devidos fins que os serviços foram prestados conforme o período informado. </t>
  </si>
  <si>
    <t>Assinatura / Autorização:</t>
  </si>
  <si>
    <t>Representante da Secretaria</t>
  </si>
  <si>
    <t>Representante da LOC TUDO</t>
  </si>
  <si>
    <t>Contrato Nº 051/2024 - SEMGE</t>
  </si>
  <si>
    <t>Contratado</t>
  </si>
  <si>
    <t>Instalado</t>
  </si>
  <si>
    <t>Saldo</t>
  </si>
  <si>
    <t>Cond Ar Janela 7.500 BTU/h</t>
  </si>
  <si>
    <t>Cond Ar Janela 10.000 BTU/h</t>
  </si>
  <si>
    <t>Cond Ar Janela 18.000 BTU/h</t>
  </si>
  <si>
    <t>Cond Ar Janela 21.000 BTU/h</t>
  </si>
  <si>
    <t>Cond Ar Split 24.000 BTU/h Hi Wall</t>
  </si>
  <si>
    <t>Cond Ar Split 30.000 BTU/h Hi Wall</t>
  </si>
  <si>
    <t>Cond Ar Split 24.000 BTU/h Piso/Teto</t>
  </si>
  <si>
    <t>Cond Ar Split 30.000 BTU/h Piso/Teto</t>
  </si>
  <si>
    <t>Cond Ar Split 48.000 BTU/h Piso/Teto</t>
  </si>
  <si>
    <t>Cond Ar Split 60.000 BTU/h Piso/Teto</t>
  </si>
  <si>
    <t>Cond Ar Split 18.000 BTU/h Cassete</t>
  </si>
  <si>
    <t>Cond Ar Split 24.000 BTU/h Cassete</t>
  </si>
  <si>
    <t>Cond Ar Split 30.000 BTU/h Cassete</t>
  </si>
  <si>
    <t>Cond Ar Split 36.000 BTU/h Cassete</t>
  </si>
  <si>
    <t>Cond Ar Split 48.000 BTU/h Cassete</t>
  </si>
  <si>
    <t>Cond Ar Split 60.000 BTU/h Cassete</t>
  </si>
  <si>
    <t>Cond Ar Tri Split 36.000 BTU/h (3x12.000)</t>
  </si>
  <si>
    <t>Cond Ar Portátil 12.000 BTU/h</t>
  </si>
  <si>
    <t>Total</t>
  </si>
  <si>
    <t>Demonstrativo Financeiro / Equipamentos Locados - SEMGE: Contrato N 051/2024</t>
  </si>
  <si>
    <t>E-mail: orgaopublico@aluguetudo.com</t>
  </si>
  <si>
    <r>
      <t>CNPJ:</t>
    </r>
    <r>
      <rPr>
        <sz val="10"/>
        <rFont val="Arial"/>
        <family val="2"/>
      </rPr>
      <t xml:space="preserve"> 13.927.801/0017-06</t>
    </r>
  </si>
  <si>
    <r>
      <t xml:space="preserve">Unidade: </t>
    </r>
    <r>
      <rPr>
        <sz val="10"/>
        <rFont val="Arial"/>
        <family val="2"/>
      </rPr>
      <t>CRAS Brotas</t>
    </r>
  </si>
  <si>
    <r>
      <t xml:space="preserve">Unidade: </t>
    </r>
    <r>
      <rPr>
        <sz val="10"/>
        <rFont val="Arial"/>
        <family val="2"/>
      </rPr>
      <t>Restaurante Popular Periperi</t>
    </r>
  </si>
  <si>
    <t>PRE-PREPARO</t>
  </si>
  <si>
    <t>ADMINISTRAÇÃO</t>
  </si>
  <si>
    <t>SALÃO REFEITORIO</t>
  </si>
  <si>
    <t>Cliente</t>
  </si>
  <si>
    <r>
      <t xml:space="preserve">Centro de Custo: </t>
    </r>
    <r>
      <rPr>
        <sz val="10"/>
        <rFont val="Arial"/>
        <family val="2"/>
      </rPr>
      <t>FMAS - Fatura 01</t>
    </r>
  </si>
  <si>
    <r>
      <t xml:space="preserve">Centro de Custo: </t>
    </r>
    <r>
      <rPr>
        <sz val="10"/>
        <rFont val="Arial"/>
        <family val="2"/>
      </rPr>
      <t>FMAS - Fatura 02</t>
    </r>
  </si>
  <si>
    <r>
      <t xml:space="preserve">Centro de Custo: </t>
    </r>
    <r>
      <rPr>
        <sz val="10"/>
        <rFont val="Arial"/>
        <family val="2"/>
      </rPr>
      <t>FMAS - Fatura 03</t>
    </r>
  </si>
  <si>
    <r>
      <t xml:space="preserve">Centro de Custo: </t>
    </r>
    <r>
      <rPr>
        <sz val="10"/>
        <rFont val="Arial"/>
        <family val="2"/>
      </rPr>
      <t>NOF - Fatura 04</t>
    </r>
  </si>
  <si>
    <r>
      <t>Centro de Custo:</t>
    </r>
    <r>
      <rPr>
        <sz val="10"/>
        <rFont val="Arial"/>
        <family val="2"/>
      </rPr>
      <t xml:space="preserve"> NOF - Fatura 05</t>
    </r>
  </si>
  <si>
    <t>Consolidado Contrato Nº 051/2024</t>
  </si>
  <si>
    <t>Total Instalado</t>
  </si>
  <si>
    <t>SALDO</t>
  </si>
  <si>
    <t>Fat 1</t>
  </si>
  <si>
    <t>Fat 2</t>
  </si>
  <si>
    <t>Fat 3</t>
  </si>
  <si>
    <t>Fat 4</t>
  </si>
  <si>
    <t>Fat 5</t>
  </si>
  <si>
    <t>Contratado SEMPRE</t>
  </si>
  <si>
    <t>Instalado SEMPRE</t>
  </si>
  <si>
    <r>
      <t xml:space="preserve">Unidade: </t>
    </r>
    <r>
      <rPr>
        <sz val="10"/>
        <rFont val="Arial"/>
        <family val="2"/>
      </rPr>
      <t>CRAS Cajazeiras VIII</t>
    </r>
  </si>
  <si>
    <r>
      <t xml:space="preserve">Unidade: </t>
    </r>
    <r>
      <rPr>
        <sz val="10"/>
        <rFont val="Arial"/>
        <family val="2"/>
      </rPr>
      <t xml:space="preserve">CRAS - Jardim Baiano </t>
    </r>
  </si>
  <si>
    <t>ATO TÉCNICO</t>
  </si>
  <si>
    <t>TÉCNICO</t>
  </si>
  <si>
    <t>CENTRAL</t>
  </si>
  <si>
    <t>AGUARDANDO NOME</t>
  </si>
  <si>
    <t>REUNIÃO / AUDITÓRIO</t>
  </si>
  <si>
    <t>OBSERVATÓRIO</t>
  </si>
  <si>
    <t>DIRETORIA</t>
  </si>
  <si>
    <t>REUNIÃO</t>
  </si>
  <si>
    <t>EQUIPE FORMAÇÃO</t>
  </si>
  <si>
    <t>ACADEMIA**</t>
  </si>
  <si>
    <t>SALA 01</t>
  </si>
  <si>
    <t>SALA 02</t>
  </si>
  <si>
    <t>SALA 03</t>
  </si>
  <si>
    <t>SALA 04</t>
  </si>
  <si>
    <t>SALA 05</t>
  </si>
  <si>
    <t>SALA 06</t>
  </si>
  <si>
    <t>SALA 07</t>
  </si>
  <si>
    <t>SALA 01 RECEPÇÃO</t>
  </si>
  <si>
    <r>
      <t xml:space="preserve">Competência: </t>
    </r>
    <r>
      <rPr>
        <sz val="10"/>
        <rFont val="Arial"/>
        <family val="2"/>
      </rPr>
      <t>Janeiro/2025</t>
    </r>
  </si>
  <si>
    <r>
      <t>Competência:</t>
    </r>
    <r>
      <rPr>
        <sz val="10"/>
        <rFont val="Arial"/>
        <family val="2"/>
      </rPr>
      <t xml:space="preserve"> Janeiro/2025</t>
    </r>
  </si>
  <si>
    <r>
      <t xml:space="preserve">Unidade: </t>
    </r>
    <r>
      <rPr>
        <sz val="10"/>
        <rFont val="Arial"/>
        <family val="2"/>
      </rPr>
      <t>Edifício Visconde de Cairú - Conselho de Esportes</t>
    </r>
  </si>
  <si>
    <r>
      <t xml:space="preserve">Unidade: </t>
    </r>
    <r>
      <rPr>
        <sz val="10"/>
        <rFont val="Arial"/>
        <family val="2"/>
      </rPr>
      <t>Centro Pop Mares</t>
    </r>
  </si>
  <si>
    <t>ATENDIMENTO 04* INSTALADO 30K</t>
  </si>
  <si>
    <t xml:space="preserve">ADM </t>
  </si>
  <si>
    <t>DIRETORI APOIO TÉCNICO</t>
  </si>
  <si>
    <t xml:space="preserve">GERENCIA ESPORTES </t>
  </si>
  <si>
    <t>SALA PROFESSORES</t>
  </si>
  <si>
    <r>
      <t>Unidade:</t>
    </r>
    <r>
      <rPr>
        <sz val="10"/>
        <rFont val="Arial"/>
        <family val="2"/>
      </rPr>
      <t xml:space="preserve"> Cras Valéria</t>
    </r>
  </si>
  <si>
    <r>
      <t>Unidade:</t>
    </r>
    <r>
      <rPr>
        <sz val="10"/>
        <rFont val="Arial"/>
        <family val="2"/>
      </rPr>
      <t xml:space="preserve"> Centro Pop Mares</t>
    </r>
  </si>
  <si>
    <r>
      <t>Unidade:</t>
    </r>
    <r>
      <rPr>
        <sz val="10"/>
        <rFont val="Arial"/>
        <family val="2"/>
      </rPr>
      <t xml:space="preserve"> Arena Aquática</t>
    </r>
  </si>
  <si>
    <r>
      <t xml:space="preserve">Unidade: </t>
    </r>
    <r>
      <rPr>
        <sz val="10"/>
        <rFont val="Arial"/>
        <family val="2"/>
      </rPr>
      <t>Restaurante Popular Mares</t>
    </r>
  </si>
  <si>
    <r>
      <t xml:space="preserve">Unidade: </t>
    </r>
    <r>
      <rPr>
        <sz val="10"/>
        <rFont val="Arial"/>
        <family val="2"/>
      </rPr>
      <t>Restaurante Popular São Cristóvão</t>
    </r>
  </si>
  <si>
    <r>
      <t>Unidade:</t>
    </r>
    <r>
      <rPr>
        <sz val="10"/>
        <rFont val="Arial"/>
        <family val="2"/>
      </rPr>
      <t xml:space="preserve"> Edifício Visconde de Cairú - Conselho de Esportes</t>
    </r>
  </si>
  <si>
    <t>Cond Ar Split 36.000 BTU/h Piso teto</t>
  </si>
  <si>
    <r>
      <t>Unidade:</t>
    </r>
    <r>
      <rPr>
        <sz val="10"/>
        <rFont val="Arial"/>
        <family val="2"/>
      </rPr>
      <t xml:space="preserve"> Restaurante Popular Mares</t>
    </r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</si>
</sst>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216">
    <xf numFmtId="0" fontId="0" fillId="0" borderId="0" xfId="0"/>
    <xf numFmtId="0" fontId="2" fillId="0" borderId="0" xfId="2" applyAlignment="1">
      <alignment horizontal="left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9" xfId="2" applyFont="1" applyBorder="1" applyAlignment="1">
      <alignment horizontal="left" vertical="center"/>
    </xf>
    <xf numFmtId="0" fontId="2" fillId="2" borderId="9" xfId="2" applyFill="1" applyBorder="1" applyAlignment="1">
      <alignment horizontal="center" vertical="center"/>
    </xf>
    <xf numFmtId="0" fontId="2" fillId="3" borderId="9" xfId="2" applyFill="1" applyBorder="1" applyAlignment="1">
      <alignment vertical="center"/>
    </xf>
    <xf numFmtId="0" fontId="4" fillId="0" borderId="9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" fontId="2" fillId="0" borderId="0" xfId="2" applyNumberFormat="1" applyAlignment="1">
      <alignment horizontal="center" vertical="center"/>
    </xf>
    <xf numFmtId="38" fontId="2" fillId="0" borderId="0" xfId="2" applyNumberFormat="1" applyAlignment="1">
      <alignment horizontal="center" vertical="center"/>
    </xf>
    <xf numFmtId="40" fontId="2" fillId="0" borderId="0" xfId="2" applyNumberFormat="1" applyAlignment="1">
      <alignment vertical="center"/>
    </xf>
    <xf numFmtId="0" fontId="2" fillId="0" borderId="9" xfId="2" applyBorder="1"/>
    <xf numFmtId="16" fontId="2" fillId="0" borderId="9" xfId="2" applyNumberForma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14" fontId="2" fillId="0" borderId="9" xfId="2" applyNumberFormat="1" applyBorder="1" applyAlignment="1">
      <alignment horizontal="center" vertical="center"/>
    </xf>
    <xf numFmtId="38" fontId="2" fillId="0" borderId="9" xfId="2" applyNumberFormat="1" applyBorder="1" applyAlignment="1">
      <alignment horizontal="center" vertical="center"/>
    </xf>
    <xf numFmtId="40" fontId="2" fillId="0" borderId="9" xfId="2" applyNumberFormat="1" applyBorder="1" applyAlignment="1">
      <alignment horizontal="right" vertical="center" wrapText="1"/>
    </xf>
    <xf numFmtId="0" fontId="2" fillId="0" borderId="9" xfId="2" applyBorder="1" applyAlignment="1">
      <alignment horizontal="center" vertical="center"/>
    </xf>
    <xf numFmtId="4" fontId="10" fillId="0" borderId="9" xfId="2" applyNumberFormat="1" applyFont="1" applyBorder="1" applyAlignment="1">
      <alignment vertical="center"/>
    </xf>
    <xf numFmtId="0" fontId="2" fillId="0" borderId="9" xfId="2" applyBorder="1" applyAlignment="1">
      <alignment horizontal="left" vertical="center"/>
    </xf>
    <xf numFmtId="0" fontId="2" fillId="0" borderId="9" xfId="2" applyBorder="1" applyAlignment="1">
      <alignment vertical="center"/>
    </xf>
    <xf numFmtId="0" fontId="4" fillId="4" borderId="9" xfId="2" applyFont="1" applyFill="1" applyBorder="1" applyAlignment="1">
      <alignment horizontal="center" vertical="center"/>
    </xf>
    <xf numFmtId="0" fontId="2" fillId="4" borderId="9" xfId="2" applyFill="1" applyBorder="1" applyAlignment="1">
      <alignment vertical="center"/>
    </xf>
    <xf numFmtId="38" fontId="4" fillId="4" borderId="9" xfId="2" applyNumberFormat="1" applyFont="1" applyFill="1" applyBorder="1" applyAlignment="1">
      <alignment horizontal="center" vertical="center"/>
    </xf>
    <xf numFmtId="4" fontId="4" fillId="0" borderId="9" xfId="2" applyNumberFormat="1" applyFont="1" applyBorder="1" applyAlignment="1">
      <alignment vertical="center"/>
    </xf>
    <xf numFmtId="0" fontId="2" fillId="4" borderId="9" xfId="2" applyFill="1" applyBorder="1" applyAlignment="1">
      <alignment horizontal="left" vertical="center"/>
    </xf>
    <xf numFmtId="0" fontId="2" fillId="4" borderId="9" xfId="2" applyFill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9" xfId="2" applyFont="1" applyBorder="1" applyAlignment="1">
      <alignment vertical="center"/>
    </xf>
    <xf numFmtId="0" fontId="11" fillId="4" borderId="9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38" fontId="4" fillId="0" borderId="0" xfId="2" applyNumberFormat="1" applyFont="1" applyAlignment="1">
      <alignment horizontal="center" vertical="center"/>
    </xf>
    <xf numFmtId="4" fontId="4" fillId="0" borderId="0" xfId="2" applyNumberFormat="1" applyFont="1" applyAlignment="1">
      <alignment vertical="center"/>
    </xf>
    <xf numFmtId="44" fontId="2" fillId="0" borderId="0" xfId="1" applyFont="1" applyAlignment="1">
      <alignment vertical="center"/>
    </xf>
    <xf numFmtId="40" fontId="2" fillId="0" borderId="0" xfId="2" applyNumberFormat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4" fillId="0" borderId="0" xfId="2" applyFont="1"/>
    <xf numFmtId="0" fontId="10" fillId="0" borderId="0" xfId="2" applyFont="1"/>
    <xf numFmtId="0" fontId="4" fillId="0" borderId="9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2" fillId="0" borderId="9" xfId="2" applyBorder="1" applyAlignment="1">
      <alignment horizontal="center"/>
    </xf>
    <xf numFmtId="2" fontId="2" fillId="0" borderId="9" xfId="2" applyNumberFormat="1" applyBorder="1" applyAlignment="1">
      <alignment horizontal="right"/>
    </xf>
    <xf numFmtId="3" fontId="2" fillId="0" borderId="9" xfId="2" applyNumberFormat="1" applyBorder="1" applyAlignment="1">
      <alignment horizontal="center" vertical="center"/>
    </xf>
    <xf numFmtId="40" fontId="2" fillId="0" borderId="0" xfId="2" applyNumberFormat="1"/>
    <xf numFmtId="40" fontId="2" fillId="0" borderId="9" xfId="2" applyNumberFormat="1" applyBorder="1"/>
    <xf numFmtId="3" fontId="4" fillId="0" borderId="9" xfId="2" applyNumberFormat="1" applyFont="1" applyBorder="1" applyAlignment="1">
      <alignment horizontal="center"/>
    </xf>
    <xf numFmtId="40" fontId="4" fillId="4" borderId="9" xfId="2" applyNumberFormat="1" applyFont="1" applyFill="1" applyBorder="1"/>
    <xf numFmtId="40" fontId="4" fillId="0" borderId="9" xfId="2" applyNumberFormat="1" applyFont="1" applyBorder="1"/>
    <xf numFmtId="3" fontId="4" fillId="0" borderId="9" xfId="2" applyNumberFormat="1" applyFont="1" applyBorder="1" applyAlignment="1">
      <alignment horizontal="center" vertical="center"/>
    </xf>
    <xf numFmtId="40" fontId="4" fillId="0" borderId="0" xfId="2" applyNumberFormat="1" applyFont="1"/>
    <xf numFmtId="164" fontId="2" fillId="0" borderId="0" xfId="2" applyNumberFormat="1" applyAlignment="1">
      <alignment vertical="center"/>
    </xf>
    <xf numFmtId="0" fontId="4" fillId="0" borderId="20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8" fillId="0" borderId="9" xfId="0" applyFont="1" applyBorder="1" applyAlignment="1">
      <alignment horizontal="center"/>
    </xf>
    <xf numFmtId="4" fontId="2" fillId="0" borderId="9" xfId="2" applyNumberFormat="1" applyBorder="1" applyAlignment="1">
      <alignment horizontal="right" vertical="center"/>
    </xf>
    <xf numFmtId="4" fontId="10" fillId="5" borderId="9" xfId="1" applyNumberFormat="1" applyFont="1" applyFill="1" applyBorder="1" applyAlignment="1">
      <alignment horizontal="right"/>
    </xf>
    <xf numFmtId="0" fontId="2" fillId="0" borderId="12" xfId="2" applyBorder="1" applyAlignment="1">
      <alignment vertical="center"/>
    </xf>
    <xf numFmtId="14" fontId="2" fillId="0" borderId="12" xfId="2" applyNumberFormat="1" applyBorder="1" applyAlignment="1">
      <alignment horizontal="center" vertical="center"/>
    </xf>
    <xf numFmtId="38" fontId="2" fillId="0" borderId="12" xfId="2" applyNumberFormat="1" applyBorder="1" applyAlignment="1">
      <alignment horizontal="center" vertical="center"/>
    </xf>
    <xf numFmtId="40" fontId="2" fillId="0" borderId="12" xfId="2" applyNumberForma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left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left" vertical="center"/>
    </xf>
    <xf numFmtId="0" fontId="4" fillId="0" borderId="9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left" vertical="center"/>
    </xf>
    <xf numFmtId="44" fontId="4" fillId="0" borderId="9" xfId="1" applyFont="1" applyBorder="1" applyAlignment="1">
      <alignment horizontal="center" vertical="center"/>
    </xf>
    <xf numFmtId="44" fontId="4" fillId="0" borderId="9" xfId="1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28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0" fontId="2" fillId="0" borderId="32" xfId="2" applyBorder="1"/>
    <xf numFmtId="2" fontId="2" fillId="0" borderId="2" xfId="2" applyNumberFormat="1" applyBorder="1" applyAlignment="1">
      <alignment horizontal="right"/>
    </xf>
    <xf numFmtId="4" fontId="2" fillId="0" borderId="3" xfId="2" applyNumberFormat="1" applyBorder="1" applyAlignment="1">
      <alignment horizontal="right"/>
    </xf>
    <xf numFmtId="0" fontId="2" fillId="0" borderId="32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2" fillId="0" borderId="34" xfId="2" applyBorder="1"/>
    <xf numFmtId="4" fontId="2" fillId="0" borderId="6" xfId="2" applyNumberFormat="1" applyBorder="1" applyAlignment="1">
      <alignment horizontal="right"/>
    </xf>
    <xf numFmtId="0" fontId="0" fillId="0" borderId="35" xfId="0" applyBorder="1" applyAlignment="1">
      <alignment horizontal="center"/>
    </xf>
    <xf numFmtId="0" fontId="2" fillId="0" borderId="36" xfId="2" applyBorder="1"/>
    <xf numFmtId="40" fontId="2" fillId="0" borderId="21" xfId="2" applyNumberFormat="1" applyBorder="1"/>
    <xf numFmtId="4" fontId="2" fillId="0" borderId="13" xfId="2" applyNumberFormat="1" applyBorder="1" applyAlignment="1">
      <alignment horizontal="right"/>
    </xf>
    <xf numFmtId="0" fontId="0" fillId="0" borderId="37" xfId="0" applyBorder="1" applyAlignment="1">
      <alignment horizontal="center"/>
    </xf>
    <xf numFmtId="3" fontId="4" fillId="0" borderId="28" xfId="2" applyNumberFormat="1" applyFont="1" applyBorder="1" applyAlignment="1">
      <alignment horizontal="center"/>
    </xf>
    <xf numFmtId="0" fontId="4" fillId="0" borderId="29" xfId="2" applyFont="1" applyBorder="1" applyAlignment="1">
      <alignment horizontal="center" vertical="center"/>
    </xf>
    <xf numFmtId="40" fontId="4" fillId="4" borderId="29" xfId="2" applyNumberFormat="1" applyFont="1" applyFill="1" applyBorder="1"/>
    <xf numFmtId="40" fontId="4" fillId="0" borderId="30" xfId="2" applyNumberFormat="1" applyFont="1" applyBorder="1"/>
    <xf numFmtId="0" fontId="4" fillId="0" borderId="28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165" fontId="0" fillId="0" borderId="0" xfId="0" applyNumberFormat="1"/>
    <xf numFmtId="4" fontId="14" fillId="0" borderId="10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2" fillId="0" borderId="9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0" xfId="2" applyBorder="1" applyAlignment="1">
      <alignment vertical="center"/>
    </xf>
    <xf numFmtId="14" fontId="2" fillId="0" borderId="0" xfId="2" applyNumberFormat="1" applyBorder="1" applyAlignment="1">
      <alignment horizontal="center" vertical="center"/>
    </xf>
    <xf numFmtId="38" fontId="2" fillId="0" borderId="0" xfId="2" applyNumberFormat="1" applyBorder="1" applyAlignment="1">
      <alignment horizontal="center" vertical="center"/>
    </xf>
    <xf numFmtId="40" fontId="2" fillId="0" borderId="0" xfId="2" applyNumberFormat="1" applyBorder="1" applyAlignment="1">
      <alignment horizontal="right" vertical="center" wrapText="1"/>
    </xf>
    <xf numFmtId="4" fontId="4" fillId="0" borderId="9" xfId="2" applyNumberFormat="1" applyFont="1" applyBorder="1" applyAlignment="1">
      <alignment horizontal="right" vertical="center"/>
    </xf>
    <xf numFmtId="0" fontId="4" fillId="0" borderId="9" xfId="2" applyFont="1" applyBorder="1" applyAlignment="1">
      <alignment horizontal="left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2" fillId="0" borderId="9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40" fontId="9" fillId="0" borderId="0" xfId="2" applyNumberFormat="1" applyFont="1" applyAlignment="1">
      <alignment vertical="center" wrapText="1"/>
    </xf>
    <xf numFmtId="40" fontId="16" fillId="0" borderId="0" xfId="2" applyNumberFormat="1" applyFont="1" applyAlignment="1">
      <alignment vertical="center"/>
    </xf>
    <xf numFmtId="40" fontId="16" fillId="0" borderId="0" xfId="2" applyNumberFormat="1" applyFont="1" applyAlignment="1">
      <alignment vertical="center" wrapText="1"/>
    </xf>
    <xf numFmtId="44" fontId="16" fillId="0" borderId="0" xfId="2" applyNumberFormat="1" applyFont="1" applyAlignment="1">
      <alignment vertical="center"/>
    </xf>
    <xf numFmtId="0" fontId="9" fillId="0" borderId="0" xfId="2" applyFont="1" applyAlignment="1">
      <alignment vertical="center" wrapText="1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left" vertical="center"/>
    </xf>
    <xf numFmtId="0" fontId="8" fillId="0" borderId="9" xfId="2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2" fillId="0" borderId="0" xfId="2" applyFill="1" applyBorder="1" applyAlignment="1">
      <alignment vertical="center"/>
    </xf>
    <xf numFmtId="4" fontId="4" fillId="0" borderId="0" xfId="2" applyNumberFormat="1" applyFont="1" applyFill="1" applyBorder="1" applyAlignment="1">
      <alignment vertical="center"/>
    </xf>
    <xf numFmtId="0" fontId="2" fillId="0" borderId="0" xfId="2" applyFill="1" applyBorder="1" applyAlignment="1">
      <alignment horizontal="left" vertical="center"/>
    </xf>
    <xf numFmtId="0" fontId="2" fillId="0" borderId="0" xfId="2" applyFill="1" applyBorder="1" applyAlignment="1">
      <alignment horizontal="center" vertical="center"/>
    </xf>
    <xf numFmtId="0" fontId="2" fillId="0" borderId="0" xfId="2" applyFill="1" applyAlignment="1">
      <alignment vertical="center"/>
    </xf>
    <xf numFmtId="0" fontId="4" fillId="0" borderId="9" xfId="2" applyFont="1" applyBorder="1" applyAlignment="1">
      <alignment vertical="center" wrapText="1"/>
    </xf>
    <xf numFmtId="0" fontId="4" fillId="4" borderId="9" xfId="2" applyFont="1" applyFill="1" applyBorder="1" applyAlignment="1">
      <alignment vertical="center"/>
    </xf>
    <xf numFmtId="38" fontId="4" fillId="4" borderId="9" xfId="2" applyNumberFormat="1" applyFont="1" applyFill="1" applyBorder="1" applyAlignment="1">
      <alignment vertical="center"/>
    </xf>
    <xf numFmtId="44" fontId="4" fillId="0" borderId="0" xfId="1" applyFont="1" applyBorder="1" applyAlignment="1">
      <alignment vertical="center"/>
    </xf>
    <xf numFmtId="40" fontId="2" fillId="0" borderId="9" xfId="2" applyNumberForma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" fontId="10" fillId="5" borderId="9" xfId="1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44" fontId="4" fillId="0" borderId="0" xfId="2" applyNumberFormat="1" applyFont="1" applyAlignment="1">
      <alignment vertical="center" wrapText="1"/>
    </xf>
    <xf numFmtId="0" fontId="4" fillId="0" borderId="9" xfId="2" applyFont="1" applyBorder="1" applyAlignment="1">
      <alignment horizontal="left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2" fillId="0" borderId="6" xfId="2" applyBorder="1" applyAlignment="1">
      <alignment horizontal="left" vertical="center"/>
    </xf>
    <xf numFmtId="0" fontId="2" fillId="0" borderId="8" xfId="2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2" fillId="0" borderId="7" xfId="2" applyBorder="1" applyAlignment="1">
      <alignment horizontal="center" vertical="center"/>
    </xf>
    <xf numFmtId="0" fontId="4" fillId="0" borderId="17" xfId="2" applyFont="1" applyBorder="1" applyAlignment="1">
      <alignment horizontal="left" vertical="center"/>
    </xf>
    <xf numFmtId="0" fontId="4" fillId="0" borderId="18" xfId="2" applyFont="1" applyBorder="1" applyAlignment="1">
      <alignment horizontal="left" vertical="center"/>
    </xf>
    <xf numFmtId="0" fontId="4" fillId="0" borderId="19" xfId="2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" fillId="0" borderId="6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8" fillId="0" borderId="6" xfId="2" applyFont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9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4" fillId="0" borderId="1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14" xfId="2" applyFont="1" applyBorder="1" applyAlignment="1">
      <alignment horizontal="left" vertical="center"/>
    </xf>
    <xf numFmtId="0" fontId="4" fillId="0" borderId="15" xfId="2" applyFont="1" applyBorder="1" applyAlignment="1">
      <alignment horizontal="left" vertical="center"/>
    </xf>
    <xf numFmtId="0" fontId="4" fillId="0" borderId="16" xfId="2" applyFont="1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" fillId="0" borderId="8" xfId="2" applyBorder="1" applyAlignment="1">
      <alignment horizontal="left"/>
    </xf>
    <xf numFmtId="0" fontId="2" fillId="0" borderId="9" xfId="2" applyBorder="1" applyAlignment="1">
      <alignment horizontal="center"/>
    </xf>
    <xf numFmtId="0" fontId="2" fillId="0" borderId="6" xfId="2" applyBorder="1" applyAlignment="1">
      <alignment horizontal="left" vertical="center"/>
    </xf>
    <xf numFmtId="0" fontId="2" fillId="0" borderId="8" xfId="2" applyBorder="1" applyAlignment="1">
      <alignment horizontal="left" vertical="center"/>
    </xf>
    <xf numFmtId="0" fontId="4" fillId="0" borderId="22" xfId="2" applyFont="1" applyBorder="1" applyAlignment="1">
      <alignment horizontal="center"/>
    </xf>
    <xf numFmtId="0" fontId="4" fillId="0" borderId="23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10" fillId="0" borderId="24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</cellXfs>
  <cellStyles count="8">
    <cellStyle name="Moeda" xfId="1" builtinId="4"/>
    <cellStyle name="Normal" xfId="0" builtinId="0"/>
    <cellStyle name="Normal 13" xfId="4"/>
    <cellStyle name="Normal 14" xfId="5"/>
    <cellStyle name="Normal 17" xfId="6"/>
    <cellStyle name="Normal 2" xfId="2"/>
    <cellStyle name="Normal 3" xfId="3"/>
    <cellStyle name="Normal 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3"/>
  <sheetViews>
    <sheetView showGridLines="0" workbookViewId="0">
      <pane ySplit="13" topLeftCell="A224" activePane="bottomLeft" state="frozen"/>
      <selection activeCell="H242" sqref="H242"/>
      <selection pane="bottomLeft" activeCell="A83" sqref="A83"/>
    </sheetView>
  </sheetViews>
  <sheetFormatPr defaultRowHeight="13.5" customHeight="1"/>
  <cols>
    <col min="1" max="1" width="39.42578125" style="3" customWidth="1"/>
    <col min="2" max="2" width="12.5703125" style="2" bestFit="1" customWidth="1"/>
    <col min="3" max="3" width="11.28515625" style="3" bestFit="1" customWidth="1"/>
    <col min="4" max="5" width="12.7109375" style="3" bestFit="1" customWidth="1"/>
    <col min="6" max="6" width="10.140625" style="3" bestFit="1" customWidth="1"/>
    <col min="7" max="7" width="11.28515625" style="3" bestFit="1" customWidth="1"/>
    <col min="8" max="8" width="11.85546875" style="3" bestFit="1" customWidth="1"/>
    <col min="9" max="9" width="19" style="3" bestFit="1" customWidth="1"/>
    <col min="10" max="10" width="24.7109375" style="2" customWidth="1"/>
    <col min="11" max="11" width="10.42578125" style="2" customWidth="1"/>
    <col min="12" max="12" width="10" style="3" bestFit="1" customWidth="1"/>
    <col min="13" max="16384" width="9.140625" style="3"/>
  </cols>
  <sheetData>
    <row r="1" spans="1:11" ht="23.2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</row>
    <row r="2" spans="1:11" ht="13.5" customHeight="1">
      <c r="J2" s="1"/>
    </row>
    <row r="3" spans="1:11" ht="15" customHeight="1" thickBot="1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4"/>
    </row>
    <row r="4" spans="1:11" ht="13.5" customHeight="1" thickTop="1">
      <c r="A4" s="174" t="s">
        <v>2</v>
      </c>
      <c r="B4" s="174"/>
      <c r="C4" s="174"/>
      <c r="D4" s="175" t="s">
        <v>3</v>
      </c>
      <c r="E4" s="176"/>
      <c r="F4" s="177"/>
      <c r="G4" s="174" t="s">
        <v>4</v>
      </c>
      <c r="H4" s="174"/>
      <c r="I4" s="174"/>
      <c r="J4" s="4"/>
    </row>
    <row r="5" spans="1:11" ht="13.5" customHeight="1">
      <c r="A5" s="168" t="s">
        <v>5</v>
      </c>
      <c r="B5" s="169"/>
      <c r="C5" s="170"/>
      <c r="D5" s="168" t="s">
        <v>6</v>
      </c>
      <c r="E5" s="169"/>
      <c r="F5" s="170"/>
      <c r="G5" s="171" t="s">
        <v>7</v>
      </c>
      <c r="H5" s="171"/>
      <c r="I5" s="171"/>
      <c r="J5" s="4"/>
    </row>
    <row r="6" spans="1:11" ht="13.5" customHeight="1">
      <c r="A6" s="178"/>
      <c r="B6" s="178"/>
      <c r="C6" s="178"/>
      <c r="D6" s="178"/>
      <c r="E6" s="178"/>
      <c r="F6" s="178"/>
      <c r="G6" s="178"/>
      <c r="H6" s="178"/>
      <c r="I6" s="178"/>
      <c r="J6" s="1"/>
    </row>
    <row r="7" spans="1:11" ht="15" customHeight="1" thickBot="1">
      <c r="A7" s="173" t="s">
        <v>128</v>
      </c>
      <c r="B7" s="173"/>
      <c r="C7" s="173"/>
      <c r="D7" s="173"/>
      <c r="E7" s="173"/>
      <c r="F7" s="173"/>
      <c r="G7" s="173"/>
      <c r="H7" s="173"/>
      <c r="I7" s="173"/>
      <c r="J7" s="5"/>
    </row>
    <row r="8" spans="1:11" s="8" customFormat="1" ht="13.5" customHeight="1" thickTop="1">
      <c r="A8" s="179" t="s">
        <v>9</v>
      </c>
      <c r="B8" s="180"/>
      <c r="C8" s="180"/>
      <c r="D8" s="180"/>
      <c r="E8" s="180"/>
      <c r="F8" s="181"/>
      <c r="G8" s="179" t="s">
        <v>129</v>
      </c>
      <c r="H8" s="180"/>
      <c r="I8" s="181"/>
      <c r="J8" s="6"/>
      <c r="K8" s="7"/>
    </row>
    <row r="9" spans="1:11" s="8" customFormat="1" ht="13.5" customHeight="1">
      <c r="A9" s="171" t="s">
        <v>10</v>
      </c>
      <c r="B9" s="171"/>
      <c r="C9" s="168" t="s">
        <v>11</v>
      </c>
      <c r="D9" s="169"/>
      <c r="E9" s="169"/>
      <c r="F9" s="170"/>
      <c r="G9" s="168" t="s">
        <v>165</v>
      </c>
      <c r="H9" s="169"/>
      <c r="I9" s="170"/>
      <c r="J9" s="6"/>
      <c r="K9" s="7"/>
    </row>
    <row r="10" spans="1:11" ht="13.5" customHeight="1">
      <c r="A10" s="178"/>
      <c r="B10" s="178"/>
      <c r="C10" s="178"/>
      <c r="D10" s="178"/>
      <c r="E10" s="178"/>
      <c r="F10" s="178"/>
      <c r="G10" s="178"/>
      <c r="H10" s="178"/>
      <c r="I10" s="178"/>
      <c r="J10" s="1"/>
    </row>
    <row r="11" spans="1:11" ht="13.5" customHeight="1">
      <c r="A11" s="9" t="s">
        <v>12</v>
      </c>
      <c r="B11" s="10"/>
      <c r="C11" s="186" t="s">
        <v>13</v>
      </c>
      <c r="D11" s="187"/>
      <c r="E11" s="188"/>
      <c r="F11" s="11"/>
      <c r="G11" s="189" t="s">
        <v>14</v>
      </c>
      <c r="H11" s="190"/>
      <c r="I11" s="191"/>
      <c r="J11" s="3"/>
    </row>
    <row r="12" spans="1:11" ht="13.5" customHeight="1">
      <c r="J12" s="1"/>
    </row>
    <row r="13" spans="1:11" s="13" customFormat="1" ht="13.5" customHeight="1">
      <c r="A13" s="12" t="s">
        <v>15</v>
      </c>
      <c r="B13" s="12" t="s">
        <v>16</v>
      </c>
      <c r="C13" s="12" t="s">
        <v>17</v>
      </c>
      <c r="D13" s="192" t="s">
        <v>18</v>
      </c>
      <c r="E13" s="192"/>
      <c r="F13" s="12" t="s">
        <v>19</v>
      </c>
      <c r="G13" s="12" t="s">
        <v>20</v>
      </c>
      <c r="H13" s="12" t="s">
        <v>21</v>
      </c>
      <c r="I13" s="12" t="s">
        <v>22</v>
      </c>
      <c r="J13" s="12" t="s">
        <v>23</v>
      </c>
      <c r="K13" s="12" t="s">
        <v>24</v>
      </c>
    </row>
    <row r="14" spans="1:11" ht="13.5" customHeight="1">
      <c r="D14" s="14"/>
      <c r="E14" s="14"/>
      <c r="F14" s="15"/>
      <c r="G14" s="16"/>
      <c r="I14" s="16"/>
      <c r="J14" s="1"/>
    </row>
    <row r="15" spans="1:11" ht="13.5" customHeight="1">
      <c r="A15" s="17" t="s">
        <v>25</v>
      </c>
      <c r="B15" s="20">
        <v>45512</v>
      </c>
      <c r="C15" s="19">
        <v>14387</v>
      </c>
      <c r="D15" s="20">
        <v>45658</v>
      </c>
      <c r="E15" s="20">
        <v>45687</v>
      </c>
      <c r="F15" s="21">
        <f>(E15-D15)+1</f>
        <v>30</v>
      </c>
      <c r="G15" s="22">
        <v>147</v>
      </c>
      <c r="H15" s="23">
        <v>1</v>
      </c>
      <c r="I15" s="24">
        <f>G15/30*H15*F15</f>
        <v>147</v>
      </c>
      <c r="J15" s="25" t="s">
        <v>26</v>
      </c>
      <c r="K15" s="23">
        <v>66996</v>
      </c>
    </row>
    <row r="16" spans="1:11" ht="13.5" customHeight="1">
      <c r="A16" s="17" t="s">
        <v>25</v>
      </c>
      <c r="B16" s="20">
        <v>45512</v>
      </c>
      <c r="C16" s="19">
        <v>14407</v>
      </c>
      <c r="D16" s="20">
        <v>45658</v>
      </c>
      <c r="E16" s="20">
        <v>45687</v>
      </c>
      <c r="F16" s="21">
        <f>(E16-D16)+1</f>
        <v>30</v>
      </c>
      <c r="G16" s="22">
        <v>147</v>
      </c>
      <c r="H16" s="23">
        <v>1</v>
      </c>
      <c r="I16" s="24">
        <f t="shared" ref="I16:I23" si="0">G16/30*H16*F16</f>
        <v>147</v>
      </c>
      <c r="J16" s="25" t="s">
        <v>27</v>
      </c>
      <c r="K16" s="23">
        <v>66996</v>
      </c>
    </row>
    <row r="17" spans="1:11" ht="13.5" customHeight="1">
      <c r="A17" s="17" t="s">
        <v>25</v>
      </c>
      <c r="B17" s="20">
        <v>45512</v>
      </c>
      <c r="C17" s="19">
        <v>14468</v>
      </c>
      <c r="D17" s="20">
        <v>45658</v>
      </c>
      <c r="E17" s="20">
        <v>45687</v>
      </c>
      <c r="F17" s="21">
        <f t="shared" ref="F17:F22" si="1">(E17-D17)+1</f>
        <v>30</v>
      </c>
      <c r="G17" s="22">
        <v>147</v>
      </c>
      <c r="H17" s="23">
        <v>1</v>
      </c>
      <c r="I17" s="24">
        <f t="shared" si="0"/>
        <v>147</v>
      </c>
      <c r="J17" s="25" t="s">
        <v>28</v>
      </c>
      <c r="K17" s="23">
        <v>66996</v>
      </c>
    </row>
    <row r="18" spans="1:11" ht="13.5" customHeight="1">
      <c r="A18" s="17" t="s">
        <v>25</v>
      </c>
      <c r="B18" s="20">
        <v>45512</v>
      </c>
      <c r="C18" s="19">
        <v>14406</v>
      </c>
      <c r="D18" s="20">
        <v>45658</v>
      </c>
      <c r="E18" s="20">
        <v>45687</v>
      </c>
      <c r="F18" s="21">
        <f t="shared" si="1"/>
        <v>30</v>
      </c>
      <c r="G18" s="22">
        <v>147</v>
      </c>
      <c r="H18" s="23">
        <v>1</v>
      </c>
      <c r="I18" s="24">
        <f t="shared" si="0"/>
        <v>147</v>
      </c>
      <c r="J18" s="25" t="s">
        <v>29</v>
      </c>
      <c r="K18" s="23">
        <v>66997</v>
      </c>
    </row>
    <row r="19" spans="1:11" ht="13.5" customHeight="1">
      <c r="A19" s="17" t="s">
        <v>25</v>
      </c>
      <c r="B19" s="20">
        <v>45512</v>
      </c>
      <c r="C19" s="19">
        <v>14385</v>
      </c>
      <c r="D19" s="20">
        <v>45658</v>
      </c>
      <c r="E19" s="20">
        <v>45687</v>
      </c>
      <c r="F19" s="21">
        <f t="shared" si="1"/>
        <v>30</v>
      </c>
      <c r="G19" s="22">
        <v>147</v>
      </c>
      <c r="H19" s="23">
        <v>1</v>
      </c>
      <c r="I19" s="24">
        <f t="shared" si="0"/>
        <v>147</v>
      </c>
      <c r="J19" s="25" t="s">
        <v>30</v>
      </c>
      <c r="K19" s="23">
        <v>67298</v>
      </c>
    </row>
    <row r="20" spans="1:11" ht="13.5" customHeight="1">
      <c r="A20" s="17" t="s">
        <v>31</v>
      </c>
      <c r="B20" s="20">
        <v>45512</v>
      </c>
      <c r="C20" s="19">
        <v>13634</v>
      </c>
      <c r="D20" s="20">
        <v>45658</v>
      </c>
      <c r="E20" s="20">
        <v>45687</v>
      </c>
      <c r="F20" s="21">
        <f t="shared" si="1"/>
        <v>30</v>
      </c>
      <c r="G20" s="22">
        <v>242</v>
      </c>
      <c r="H20" s="23">
        <v>1</v>
      </c>
      <c r="I20" s="24">
        <f t="shared" si="0"/>
        <v>242</v>
      </c>
      <c r="J20" s="25" t="s">
        <v>32</v>
      </c>
      <c r="K20" s="23">
        <v>67081</v>
      </c>
    </row>
    <row r="21" spans="1:11" ht="13.5" customHeight="1">
      <c r="A21" s="17" t="s">
        <v>31</v>
      </c>
      <c r="B21" s="20">
        <v>45512</v>
      </c>
      <c r="C21" s="19">
        <v>12916</v>
      </c>
      <c r="D21" s="20">
        <v>45658</v>
      </c>
      <c r="E21" s="20">
        <v>45687</v>
      </c>
      <c r="F21" s="21">
        <f t="shared" si="1"/>
        <v>30</v>
      </c>
      <c r="G21" s="22">
        <v>242</v>
      </c>
      <c r="H21" s="23">
        <v>1</v>
      </c>
      <c r="I21" s="24">
        <f t="shared" si="0"/>
        <v>242</v>
      </c>
      <c r="J21" s="25" t="s">
        <v>32</v>
      </c>
      <c r="K21" s="23">
        <v>67081</v>
      </c>
    </row>
    <row r="22" spans="1:11" ht="13.5" customHeight="1">
      <c r="A22" s="17" t="s">
        <v>31</v>
      </c>
      <c r="B22" s="20">
        <v>45512</v>
      </c>
      <c r="C22" s="19">
        <v>12934</v>
      </c>
      <c r="D22" s="20">
        <v>45658</v>
      </c>
      <c r="E22" s="20">
        <v>45687</v>
      </c>
      <c r="F22" s="21">
        <f t="shared" si="1"/>
        <v>30</v>
      </c>
      <c r="G22" s="22">
        <v>242</v>
      </c>
      <c r="H22" s="23">
        <v>1</v>
      </c>
      <c r="I22" s="24">
        <f t="shared" si="0"/>
        <v>242</v>
      </c>
      <c r="J22" s="25" t="s">
        <v>33</v>
      </c>
      <c r="K22" s="23">
        <v>66998</v>
      </c>
    </row>
    <row r="23" spans="1:11" ht="13.5" customHeight="1">
      <c r="A23" s="26"/>
      <c r="B23" s="20"/>
      <c r="C23" s="26"/>
      <c r="D23" s="20"/>
      <c r="E23" s="20"/>
      <c r="F23" s="21"/>
      <c r="G23" s="22"/>
      <c r="H23" s="23"/>
      <c r="I23" s="24">
        <f t="shared" si="0"/>
        <v>0</v>
      </c>
      <c r="J23" s="25"/>
      <c r="K23" s="23"/>
    </row>
    <row r="24" spans="1:11" ht="13.5" customHeight="1">
      <c r="A24" s="9" t="s">
        <v>34</v>
      </c>
      <c r="B24" s="27"/>
      <c r="C24" s="27"/>
      <c r="D24" s="28"/>
      <c r="E24" s="28"/>
      <c r="F24" s="29"/>
      <c r="G24" s="28"/>
      <c r="H24" s="12">
        <f>SUM(H15:H23)</f>
        <v>8</v>
      </c>
      <c r="I24" s="30">
        <f>SUM(I15:I23)</f>
        <v>1461</v>
      </c>
      <c r="J24" s="31"/>
      <c r="K24" s="32"/>
    </row>
    <row r="25" spans="1:11" ht="13.5" customHeight="1">
      <c r="D25" s="14"/>
      <c r="E25" s="14"/>
      <c r="F25" s="15"/>
      <c r="G25" s="131"/>
      <c r="I25" s="16"/>
      <c r="J25" s="1"/>
    </row>
    <row r="26" spans="1:11" ht="13.5" customHeight="1">
      <c r="A26" s="17" t="s">
        <v>25</v>
      </c>
      <c r="B26" s="20">
        <v>45512</v>
      </c>
      <c r="C26" s="33">
        <v>14463</v>
      </c>
      <c r="D26" s="20">
        <v>45658</v>
      </c>
      <c r="E26" s="20">
        <v>45687</v>
      </c>
      <c r="F26" s="21">
        <f>(E26-D26)+1</f>
        <v>30</v>
      </c>
      <c r="G26" s="22">
        <v>147</v>
      </c>
      <c r="H26" s="23">
        <v>1</v>
      </c>
      <c r="I26" s="24">
        <f t="shared" ref="I26:I34" si="2">G26/30*H26*F26</f>
        <v>147</v>
      </c>
      <c r="J26" s="25" t="s">
        <v>35</v>
      </c>
      <c r="K26" s="23">
        <v>67474</v>
      </c>
    </row>
    <row r="27" spans="1:11" ht="13.5" customHeight="1">
      <c r="A27" s="17" t="s">
        <v>25</v>
      </c>
      <c r="B27" s="20">
        <v>45512</v>
      </c>
      <c r="C27" s="33">
        <v>14378</v>
      </c>
      <c r="D27" s="20">
        <v>45658</v>
      </c>
      <c r="E27" s="20">
        <v>45687</v>
      </c>
      <c r="F27" s="21">
        <f>(E27-D27)+1</f>
        <v>30</v>
      </c>
      <c r="G27" s="22">
        <v>147</v>
      </c>
      <c r="H27" s="23">
        <v>1</v>
      </c>
      <c r="I27" s="24">
        <f t="shared" si="2"/>
        <v>147</v>
      </c>
      <c r="J27" s="25" t="s">
        <v>36</v>
      </c>
      <c r="K27" s="23">
        <v>67474</v>
      </c>
    </row>
    <row r="28" spans="1:11" ht="13.5" customHeight="1">
      <c r="A28" s="17" t="s">
        <v>25</v>
      </c>
      <c r="B28" s="20">
        <v>45512</v>
      </c>
      <c r="C28" s="33">
        <v>14379</v>
      </c>
      <c r="D28" s="20">
        <v>45658</v>
      </c>
      <c r="E28" s="20">
        <v>45687</v>
      </c>
      <c r="F28" s="21">
        <f>(E28-D28)+1</f>
        <v>30</v>
      </c>
      <c r="G28" s="22">
        <v>147</v>
      </c>
      <c r="H28" s="23">
        <v>1</v>
      </c>
      <c r="I28" s="24">
        <f t="shared" si="2"/>
        <v>147</v>
      </c>
      <c r="J28" s="25" t="s">
        <v>37</v>
      </c>
      <c r="K28" s="23">
        <v>67474</v>
      </c>
    </row>
    <row r="29" spans="1:11" ht="13.5" customHeight="1">
      <c r="A29" s="17" t="s">
        <v>25</v>
      </c>
      <c r="B29" s="20">
        <v>45512</v>
      </c>
      <c r="C29" s="33">
        <v>14401</v>
      </c>
      <c r="D29" s="20">
        <v>45658</v>
      </c>
      <c r="E29" s="20">
        <v>45687</v>
      </c>
      <c r="F29" s="21">
        <f t="shared" ref="F29:F33" si="3">(E29-D29)+1</f>
        <v>30</v>
      </c>
      <c r="G29" s="22">
        <v>147</v>
      </c>
      <c r="H29" s="23">
        <v>1</v>
      </c>
      <c r="I29" s="24">
        <f t="shared" si="2"/>
        <v>147</v>
      </c>
      <c r="J29" s="25" t="s">
        <v>38</v>
      </c>
      <c r="K29" s="23">
        <v>67475</v>
      </c>
    </row>
    <row r="30" spans="1:11" ht="13.5" customHeight="1">
      <c r="A30" s="17" t="s">
        <v>25</v>
      </c>
      <c r="B30" s="20">
        <v>45512</v>
      </c>
      <c r="C30" s="33">
        <v>14465</v>
      </c>
      <c r="D30" s="20">
        <v>45658</v>
      </c>
      <c r="E30" s="20">
        <v>45687</v>
      </c>
      <c r="F30" s="21">
        <f t="shared" si="3"/>
        <v>30</v>
      </c>
      <c r="G30" s="22">
        <v>147</v>
      </c>
      <c r="H30" s="23">
        <v>1</v>
      </c>
      <c r="I30" s="24">
        <f t="shared" si="2"/>
        <v>147</v>
      </c>
      <c r="J30" s="25" t="s">
        <v>29</v>
      </c>
      <c r="K30" s="23">
        <v>67475</v>
      </c>
    </row>
    <row r="31" spans="1:11" ht="13.5" customHeight="1">
      <c r="A31" s="17" t="s">
        <v>25</v>
      </c>
      <c r="B31" s="20">
        <v>45512</v>
      </c>
      <c r="C31" s="33">
        <v>14380</v>
      </c>
      <c r="D31" s="20">
        <v>45658</v>
      </c>
      <c r="E31" s="20">
        <v>45687</v>
      </c>
      <c r="F31" s="21">
        <f t="shared" si="3"/>
        <v>30</v>
      </c>
      <c r="G31" s="22">
        <v>147</v>
      </c>
      <c r="H31" s="23">
        <v>1</v>
      </c>
      <c r="I31" s="24">
        <f t="shared" si="2"/>
        <v>147</v>
      </c>
      <c r="J31" s="25" t="s">
        <v>30</v>
      </c>
      <c r="K31" s="23">
        <v>67475</v>
      </c>
    </row>
    <row r="32" spans="1:11" ht="13.5" customHeight="1">
      <c r="A32" s="17" t="s">
        <v>39</v>
      </c>
      <c r="B32" s="20">
        <v>45512</v>
      </c>
      <c r="C32" s="33">
        <v>14838</v>
      </c>
      <c r="D32" s="20">
        <v>45658</v>
      </c>
      <c r="E32" s="20">
        <v>45687</v>
      </c>
      <c r="F32" s="21">
        <f t="shared" si="3"/>
        <v>30</v>
      </c>
      <c r="G32" s="22">
        <v>238</v>
      </c>
      <c r="H32" s="23">
        <v>1</v>
      </c>
      <c r="I32" s="24">
        <f t="shared" si="2"/>
        <v>238</v>
      </c>
      <c r="J32" s="25" t="s">
        <v>33</v>
      </c>
      <c r="K32" s="23">
        <v>67477</v>
      </c>
    </row>
    <row r="33" spans="1:11" ht="13.5" customHeight="1">
      <c r="A33" s="17" t="s">
        <v>31</v>
      </c>
      <c r="B33" s="20">
        <v>45512</v>
      </c>
      <c r="C33" s="33">
        <v>14504</v>
      </c>
      <c r="D33" s="20">
        <v>45658</v>
      </c>
      <c r="E33" s="20">
        <v>45687</v>
      </c>
      <c r="F33" s="21">
        <f t="shared" si="3"/>
        <v>30</v>
      </c>
      <c r="G33" s="22">
        <v>242</v>
      </c>
      <c r="H33" s="23">
        <v>1</v>
      </c>
      <c r="I33" s="24">
        <f t="shared" si="2"/>
        <v>242</v>
      </c>
      <c r="J33" s="25" t="s">
        <v>32</v>
      </c>
      <c r="K33" s="23">
        <v>67477</v>
      </c>
    </row>
    <row r="34" spans="1:11" ht="13.5" customHeight="1">
      <c r="A34" s="26"/>
      <c r="B34" s="20"/>
      <c r="C34" s="34"/>
      <c r="D34" s="20"/>
      <c r="E34" s="20"/>
      <c r="F34" s="21"/>
      <c r="G34" s="22"/>
      <c r="H34" s="23"/>
      <c r="I34" s="24">
        <f t="shared" si="2"/>
        <v>0</v>
      </c>
      <c r="J34" s="25"/>
      <c r="K34" s="23"/>
    </row>
    <row r="35" spans="1:11" ht="13.5" customHeight="1">
      <c r="A35" s="9" t="s">
        <v>40</v>
      </c>
      <c r="B35" s="27"/>
      <c r="C35" s="35"/>
      <c r="D35" s="28"/>
      <c r="E35" s="28"/>
      <c r="F35" s="29"/>
      <c r="G35" s="28"/>
      <c r="H35" s="12">
        <f>SUM(H26:H34)</f>
        <v>8</v>
      </c>
      <c r="I35" s="30">
        <f>SUM(I26:I34)</f>
        <v>1362</v>
      </c>
      <c r="J35" s="31"/>
      <c r="K35" s="32"/>
    </row>
    <row r="36" spans="1:11" ht="13.5" customHeight="1">
      <c r="C36" s="36"/>
      <c r="D36" s="14"/>
      <c r="E36" s="14"/>
      <c r="F36" s="15"/>
      <c r="G36" s="16"/>
      <c r="I36" s="16"/>
      <c r="J36" s="1"/>
    </row>
    <row r="37" spans="1:11" ht="13.5" customHeight="1">
      <c r="A37" s="17" t="s">
        <v>25</v>
      </c>
      <c r="B37" s="20">
        <v>45512</v>
      </c>
      <c r="C37" s="126">
        <v>14396</v>
      </c>
      <c r="D37" s="20">
        <v>45658</v>
      </c>
      <c r="E37" s="20">
        <v>45687</v>
      </c>
      <c r="F37" s="21">
        <f>(E37-D37)+1</f>
        <v>30</v>
      </c>
      <c r="G37" s="22">
        <v>147</v>
      </c>
      <c r="H37" s="23">
        <v>1</v>
      </c>
      <c r="I37" s="24">
        <f t="shared" ref="I37:I44" si="4">G37/30*H37*F37</f>
        <v>147</v>
      </c>
      <c r="J37" s="25" t="s">
        <v>35</v>
      </c>
      <c r="K37" s="23">
        <v>67580</v>
      </c>
    </row>
    <row r="38" spans="1:11" ht="13.5" customHeight="1">
      <c r="A38" s="17" t="s">
        <v>25</v>
      </c>
      <c r="B38" s="20">
        <v>45512</v>
      </c>
      <c r="C38" s="126">
        <v>14397</v>
      </c>
      <c r="D38" s="20">
        <v>45658</v>
      </c>
      <c r="E38" s="20">
        <v>45687</v>
      </c>
      <c r="F38" s="21">
        <f>(E38-D38)+1</f>
        <v>30</v>
      </c>
      <c r="G38" s="22">
        <v>147</v>
      </c>
      <c r="H38" s="23">
        <v>1</v>
      </c>
      <c r="I38" s="24">
        <f t="shared" si="4"/>
        <v>147</v>
      </c>
      <c r="J38" s="25" t="s">
        <v>36</v>
      </c>
      <c r="K38" s="23">
        <v>67580</v>
      </c>
    </row>
    <row r="39" spans="1:11" ht="13.5" customHeight="1">
      <c r="A39" s="17" t="s">
        <v>25</v>
      </c>
      <c r="B39" s="20">
        <v>45512</v>
      </c>
      <c r="C39" s="126">
        <v>14398</v>
      </c>
      <c r="D39" s="20">
        <v>45658</v>
      </c>
      <c r="E39" s="20">
        <v>45687</v>
      </c>
      <c r="F39" s="21">
        <f>(E39-D39)+1</f>
        <v>30</v>
      </c>
      <c r="G39" s="22">
        <v>147</v>
      </c>
      <c r="H39" s="23">
        <v>1</v>
      </c>
      <c r="I39" s="24">
        <f t="shared" si="4"/>
        <v>147</v>
      </c>
      <c r="J39" s="25" t="s">
        <v>37</v>
      </c>
      <c r="K39" s="23">
        <v>67580</v>
      </c>
    </row>
    <row r="40" spans="1:11" ht="13.5" customHeight="1">
      <c r="A40" s="17" t="s">
        <v>25</v>
      </c>
      <c r="B40" s="20">
        <v>45512</v>
      </c>
      <c r="C40" s="126">
        <v>14422</v>
      </c>
      <c r="D40" s="20">
        <v>45658</v>
      </c>
      <c r="E40" s="20">
        <v>45687</v>
      </c>
      <c r="F40" s="21">
        <f t="shared" ref="F40:F43" si="5">(E40-D40)+1</f>
        <v>30</v>
      </c>
      <c r="G40" s="22">
        <v>147</v>
      </c>
      <c r="H40" s="23">
        <v>1</v>
      </c>
      <c r="I40" s="24">
        <f t="shared" si="4"/>
        <v>147</v>
      </c>
      <c r="J40" s="25" t="s">
        <v>29</v>
      </c>
      <c r="K40" s="23">
        <v>67581</v>
      </c>
    </row>
    <row r="41" spans="1:11" ht="13.5" customHeight="1">
      <c r="A41" s="17" t="s">
        <v>25</v>
      </c>
      <c r="B41" s="20">
        <v>45512</v>
      </c>
      <c r="C41" s="126">
        <v>14395</v>
      </c>
      <c r="D41" s="20">
        <v>45658</v>
      </c>
      <c r="E41" s="20">
        <v>45687</v>
      </c>
      <c r="F41" s="21">
        <f t="shared" si="5"/>
        <v>30</v>
      </c>
      <c r="G41" s="22">
        <v>147</v>
      </c>
      <c r="H41" s="23">
        <v>1</v>
      </c>
      <c r="I41" s="24">
        <f t="shared" si="4"/>
        <v>147</v>
      </c>
      <c r="J41" s="25" t="s">
        <v>41</v>
      </c>
      <c r="K41" s="23">
        <v>67581</v>
      </c>
    </row>
    <row r="42" spans="1:11" ht="13.5" customHeight="1">
      <c r="A42" s="17" t="s">
        <v>31</v>
      </c>
      <c r="B42" s="20">
        <v>45512</v>
      </c>
      <c r="C42" s="126">
        <v>13633</v>
      </c>
      <c r="D42" s="20">
        <v>45658</v>
      </c>
      <c r="E42" s="20">
        <v>45687</v>
      </c>
      <c r="F42" s="21">
        <f t="shared" si="5"/>
        <v>30</v>
      </c>
      <c r="G42" s="22">
        <v>242</v>
      </c>
      <c r="H42" s="23">
        <v>1</v>
      </c>
      <c r="I42" s="24">
        <f t="shared" si="4"/>
        <v>242</v>
      </c>
      <c r="J42" s="25" t="s">
        <v>32</v>
      </c>
      <c r="K42" s="23">
        <v>67581</v>
      </c>
    </row>
    <row r="43" spans="1:11" ht="13.5" customHeight="1">
      <c r="A43" s="17" t="s">
        <v>54</v>
      </c>
      <c r="B43" s="20">
        <v>45566</v>
      </c>
      <c r="C43" s="126">
        <v>6609</v>
      </c>
      <c r="D43" s="20">
        <v>45658</v>
      </c>
      <c r="E43" s="20">
        <v>45687</v>
      </c>
      <c r="F43" s="21">
        <f t="shared" si="5"/>
        <v>30</v>
      </c>
      <c r="G43" s="22">
        <v>447</v>
      </c>
      <c r="H43" s="117">
        <v>1</v>
      </c>
      <c r="I43" s="24">
        <f t="shared" si="4"/>
        <v>447</v>
      </c>
      <c r="J43" s="25"/>
      <c r="K43" s="117"/>
    </row>
    <row r="44" spans="1:11" ht="13.5" customHeight="1">
      <c r="A44" s="26"/>
      <c r="B44" s="20"/>
      <c r="C44" s="34"/>
      <c r="D44" s="20"/>
      <c r="E44" s="20"/>
      <c r="F44" s="21"/>
      <c r="G44" s="22"/>
      <c r="H44" s="23"/>
      <c r="I44" s="24">
        <f t="shared" si="4"/>
        <v>0</v>
      </c>
      <c r="J44" s="25"/>
      <c r="K44" s="23"/>
    </row>
    <row r="45" spans="1:11" ht="13.5" customHeight="1">
      <c r="A45" s="9" t="s">
        <v>42</v>
      </c>
      <c r="B45" s="27"/>
      <c r="C45" s="35"/>
      <c r="D45" s="28"/>
      <c r="E45" s="28"/>
      <c r="F45" s="29"/>
      <c r="G45" s="28"/>
      <c r="H45" s="12">
        <f>SUM(H37:H44)</f>
        <v>7</v>
      </c>
      <c r="I45" s="30">
        <f>SUM(I37:I44)</f>
        <v>1424</v>
      </c>
      <c r="J45" s="31"/>
      <c r="K45" s="32"/>
    </row>
    <row r="46" spans="1:11" ht="13.5" customHeight="1">
      <c r="C46" s="36"/>
      <c r="D46" s="14"/>
      <c r="E46" s="14"/>
      <c r="F46" s="15"/>
      <c r="G46" s="16"/>
      <c r="I46" s="16"/>
      <c r="J46" s="1"/>
    </row>
    <row r="47" spans="1:11" ht="13.5" customHeight="1">
      <c r="A47" s="17" t="s">
        <v>25</v>
      </c>
      <c r="B47" s="20">
        <v>45512</v>
      </c>
      <c r="C47" s="33">
        <v>14366</v>
      </c>
      <c r="D47" s="20">
        <v>45658</v>
      </c>
      <c r="E47" s="20">
        <v>45687</v>
      </c>
      <c r="F47" s="21">
        <f>(E47-D47)+1</f>
        <v>30</v>
      </c>
      <c r="G47" s="22">
        <v>147</v>
      </c>
      <c r="H47" s="23">
        <v>1</v>
      </c>
      <c r="I47" s="24">
        <f t="shared" ref="I47:I53" si="6">G47/30*H47*F47</f>
        <v>147</v>
      </c>
      <c r="J47" s="25" t="s">
        <v>35</v>
      </c>
      <c r="K47" s="23">
        <v>67797</v>
      </c>
    </row>
    <row r="48" spans="1:11" ht="13.5" customHeight="1">
      <c r="A48" s="17" t="s">
        <v>25</v>
      </c>
      <c r="B48" s="20">
        <v>45512</v>
      </c>
      <c r="C48" s="33">
        <v>14367</v>
      </c>
      <c r="D48" s="20">
        <v>45658</v>
      </c>
      <c r="E48" s="20">
        <v>45687</v>
      </c>
      <c r="F48" s="21">
        <f>(E48-D48)+1</f>
        <v>30</v>
      </c>
      <c r="G48" s="22">
        <v>147</v>
      </c>
      <c r="H48" s="23">
        <v>1</v>
      </c>
      <c r="I48" s="24">
        <f t="shared" si="6"/>
        <v>147</v>
      </c>
      <c r="J48" s="25" t="s">
        <v>36</v>
      </c>
      <c r="K48" s="23">
        <v>67797</v>
      </c>
    </row>
    <row r="49" spans="1:11" ht="13.5" customHeight="1">
      <c r="A49" s="17" t="s">
        <v>25</v>
      </c>
      <c r="B49" s="20">
        <v>45512</v>
      </c>
      <c r="C49" s="33">
        <v>14369</v>
      </c>
      <c r="D49" s="20">
        <v>45658</v>
      </c>
      <c r="E49" s="20">
        <v>45687</v>
      </c>
      <c r="F49" s="21">
        <f>(E49-D49)+1</f>
        <v>30</v>
      </c>
      <c r="G49" s="22">
        <v>147</v>
      </c>
      <c r="H49" s="23">
        <v>1</v>
      </c>
      <c r="I49" s="24">
        <f t="shared" si="6"/>
        <v>147</v>
      </c>
      <c r="J49" s="25" t="s">
        <v>37</v>
      </c>
      <c r="K49" s="23">
        <v>67797</v>
      </c>
    </row>
    <row r="50" spans="1:11" ht="13.5" customHeight="1">
      <c r="A50" s="17" t="s">
        <v>25</v>
      </c>
      <c r="B50" s="20">
        <v>45512</v>
      </c>
      <c r="C50" s="33">
        <v>14365</v>
      </c>
      <c r="D50" s="20">
        <v>45658</v>
      </c>
      <c r="E50" s="20">
        <v>45687</v>
      </c>
      <c r="F50" s="21">
        <f t="shared" ref="F50:F52" si="7">(E50-D50)+1</f>
        <v>30</v>
      </c>
      <c r="G50" s="22">
        <v>147</v>
      </c>
      <c r="H50" s="23">
        <v>1</v>
      </c>
      <c r="I50" s="24">
        <f t="shared" si="6"/>
        <v>147</v>
      </c>
      <c r="J50" s="25" t="s">
        <v>29</v>
      </c>
      <c r="K50" s="23">
        <v>67799</v>
      </c>
    </row>
    <row r="51" spans="1:11" ht="13.5" customHeight="1">
      <c r="A51" s="17" t="s">
        <v>25</v>
      </c>
      <c r="B51" s="20">
        <v>45512</v>
      </c>
      <c r="C51" s="33">
        <v>14363</v>
      </c>
      <c r="D51" s="20">
        <v>45658</v>
      </c>
      <c r="E51" s="20">
        <v>45687</v>
      </c>
      <c r="F51" s="21">
        <f t="shared" si="7"/>
        <v>30</v>
      </c>
      <c r="G51" s="22">
        <v>147</v>
      </c>
      <c r="H51" s="23">
        <v>1</v>
      </c>
      <c r="I51" s="24">
        <f t="shared" si="6"/>
        <v>147</v>
      </c>
      <c r="J51" s="25" t="s">
        <v>41</v>
      </c>
      <c r="K51" s="23">
        <v>67799</v>
      </c>
    </row>
    <row r="52" spans="1:11" ht="13.5" customHeight="1">
      <c r="A52" s="17" t="s">
        <v>25</v>
      </c>
      <c r="B52" s="20">
        <v>45512</v>
      </c>
      <c r="C52" s="33">
        <v>14364</v>
      </c>
      <c r="D52" s="20">
        <v>45658</v>
      </c>
      <c r="E52" s="20">
        <v>45687</v>
      </c>
      <c r="F52" s="21">
        <f t="shared" si="7"/>
        <v>30</v>
      </c>
      <c r="G52" s="22">
        <v>147</v>
      </c>
      <c r="H52" s="23">
        <v>1</v>
      </c>
      <c r="I52" s="24">
        <f t="shared" si="6"/>
        <v>147</v>
      </c>
      <c r="J52" s="25" t="s">
        <v>32</v>
      </c>
      <c r="K52" s="23">
        <v>67799</v>
      </c>
    </row>
    <row r="53" spans="1:11" ht="13.5" customHeight="1">
      <c r="A53" s="26"/>
      <c r="B53" s="20"/>
      <c r="C53" s="34"/>
      <c r="D53" s="20"/>
      <c r="E53" s="20"/>
      <c r="F53" s="21"/>
      <c r="G53" s="22"/>
      <c r="H53" s="23"/>
      <c r="I53" s="24">
        <f t="shared" si="6"/>
        <v>0</v>
      </c>
      <c r="J53" s="25"/>
      <c r="K53" s="23"/>
    </row>
    <row r="54" spans="1:11" ht="13.5" customHeight="1">
      <c r="A54" s="9" t="s">
        <v>43</v>
      </c>
      <c r="B54" s="27"/>
      <c r="C54" s="35"/>
      <c r="D54" s="28"/>
      <c r="E54" s="28"/>
      <c r="F54" s="29"/>
      <c r="G54" s="28"/>
      <c r="H54" s="12">
        <f>SUM(H47:H53)</f>
        <v>6</v>
      </c>
      <c r="I54" s="30">
        <f>SUM(I47:I53)</f>
        <v>882</v>
      </c>
      <c r="J54" s="31"/>
      <c r="K54" s="32"/>
    </row>
    <row r="55" spans="1:11" ht="15" customHeight="1">
      <c r="C55" s="36"/>
      <c r="D55" s="14"/>
      <c r="E55" s="14"/>
      <c r="F55" s="15"/>
      <c r="G55" s="16"/>
      <c r="I55" s="16"/>
      <c r="J55" s="1"/>
    </row>
    <row r="56" spans="1:11" ht="13.5" customHeight="1">
      <c r="A56" s="17" t="s">
        <v>25</v>
      </c>
      <c r="B56" s="20">
        <v>45512</v>
      </c>
      <c r="C56" s="33">
        <v>14368</v>
      </c>
      <c r="D56" s="20">
        <v>45658</v>
      </c>
      <c r="E56" s="20">
        <v>45687</v>
      </c>
      <c r="F56" s="21">
        <f>(E56-D56)+1</f>
        <v>30</v>
      </c>
      <c r="G56" s="22">
        <v>147</v>
      </c>
      <c r="H56" s="23">
        <v>1</v>
      </c>
      <c r="I56" s="24">
        <f t="shared" ref="I56:I64" si="8">G56/30*H56*F56</f>
        <v>147</v>
      </c>
      <c r="J56" s="25" t="s">
        <v>35</v>
      </c>
      <c r="K56" s="23">
        <v>67767</v>
      </c>
    </row>
    <row r="57" spans="1:11" ht="13.5" customHeight="1">
      <c r="A57" s="17" t="s">
        <v>25</v>
      </c>
      <c r="B57" s="20">
        <v>45512</v>
      </c>
      <c r="C57" s="33">
        <v>14376</v>
      </c>
      <c r="D57" s="20">
        <v>45658</v>
      </c>
      <c r="E57" s="20">
        <v>45687</v>
      </c>
      <c r="F57" s="21">
        <f>(E57-D57)+1</f>
        <v>30</v>
      </c>
      <c r="G57" s="22">
        <v>147</v>
      </c>
      <c r="H57" s="23">
        <v>1</v>
      </c>
      <c r="I57" s="24">
        <f t="shared" si="8"/>
        <v>147</v>
      </c>
      <c r="J57" s="25" t="s">
        <v>36</v>
      </c>
      <c r="K57" s="23">
        <v>67767</v>
      </c>
    </row>
    <row r="58" spans="1:11" ht="13.5" customHeight="1">
      <c r="A58" s="17" t="s">
        <v>25</v>
      </c>
      <c r="B58" s="20">
        <v>45512</v>
      </c>
      <c r="C58" s="33">
        <v>14394</v>
      </c>
      <c r="D58" s="20">
        <v>45658</v>
      </c>
      <c r="E58" s="20">
        <v>45687</v>
      </c>
      <c r="F58" s="21">
        <f>(E58-D58)+1</f>
        <v>30</v>
      </c>
      <c r="G58" s="22">
        <v>147</v>
      </c>
      <c r="H58" s="23">
        <v>1</v>
      </c>
      <c r="I58" s="24">
        <f t="shared" si="8"/>
        <v>147</v>
      </c>
      <c r="J58" s="25" t="s">
        <v>37</v>
      </c>
      <c r="K58" s="23">
        <v>67767</v>
      </c>
    </row>
    <row r="59" spans="1:11" ht="13.5" customHeight="1">
      <c r="A59" s="17" t="s">
        <v>25</v>
      </c>
      <c r="B59" s="20">
        <v>45512</v>
      </c>
      <c r="C59" s="33">
        <v>14393</v>
      </c>
      <c r="D59" s="20">
        <v>45658</v>
      </c>
      <c r="E59" s="20">
        <v>45687</v>
      </c>
      <c r="F59" s="21">
        <f t="shared" ref="F59:F63" si="9">(E59-D59)+1</f>
        <v>30</v>
      </c>
      <c r="G59" s="22">
        <v>147</v>
      </c>
      <c r="H59" s="23">
        <v>1</v>
      </c>
      <c r="I59" s="24">
        <f t="shared" si="8"/>
        <v>147</v>
      </c>
      <c r="J59" s="25" t="s">
        <v>38</v>
      </c>
      <c r="K59" s="23">
        <v>67771</v>
      </c>
    </row>
    <row r="60" spans="1:11" ht="13.5" customHeight="1">
      <c r="A60" s="17" t="s">
        <v>25</v>
      </c>
      <c r="B60" s="20">
        <v>45512</v>
      </c>
      <c r="C60" s="33">
        <v>14391</v>
      </c>
      <c r="D60" s="20">
        <v>45658</v>
      </c>
      <c r="E60" s="20">
        <v>45687</v>
      </c>
      <c r="F60" s="21">
        <f t="shared" si="9"/>
        <v>30</v>
      </c>
      <c r="G60" s="22">
        <v>147</v>
      </c>
      <c r="H60" s="23">
        <v>1</v>
      </c>
      <c r="I60" s="24">
        <f t="shared" si="8"/>
        <v>147</v>
      </c>
      <c r="J60" s="25" t="s">
        <v>41</v>
      </c>
      <c r="K60" s="23">
        <v>67771</v>
      </c>
    </row>
    <row r="61" spans="1:11" ht="13.5" customHeight="1">
      <c r="A61" s="17" t="s">
        <v>25</v>
      </c>
      <c r="B61" s="20">
        <v>45512</v>
      </c>
      <c r="C61" s="33">
        <v>14392</v>
      </c>
      <c r="D61" s="20">
        <v>45658</v>
      </c>
      <c r="E61" s="20">
        <v>45687</v>
      </c>
      <c r="F61" s="21">
        <f t="shared" si="9"/>
        <v>30</v>
      </c>
      <c r="G61" s="22">
        <v>147</v>
      </c>
      <c r="H61" s="23">
        <v>1</v>
      </c>
      <c r="I61" s="24">
        <f t="shared" si="8"/>
        <v>147</v>
      </c>
      <c r="J61" s="25" t="s">
        <v>29</v>
      </c>
      <c r="K61" s="23">
        <v>67771</v>
      </c>
    </row>
    <row r="62" spans="1:11" ht="13.5" customHeight="1">
      <c r="A62" s="17" t="s">
        <v>39</v>
      </c>
      <c r="B62" s="20">
        <v>45512</v>
      </c>
      <c r="C62" s="33">
        <v>7992</v>
      </c>
      <c r="D62" s="20">
        <v>45658</v>
      </c>
      <c r="E62" s="20">
        <v>45687</v>
      </c>
      <c r="F62" s="21">
        <f t="shared" si="9"/>
        <v>30</v>
      </c>
      <c r="G62" s="22">
        <v>238</v>
      </c>
      <c r="H62" s="23">
        <v>1</v>
      </c>
      <c r="I62" s="24">
        <f t="shared" si="8"/>
        <v>238</v>
      </c>
      <c r="J62" s="25" t="s">
        <v>44</v>
      </c>
      <c r="K62" s="23">
        <v>67772</v>
      </c>
    </row>
    <row r="63" spans="1:11" ht="13.5" customHeight="1">
      <c r="A63" s="17" t="s">
        <v>31</v>
      </c>
      <c r="B63" s="20">
        <v>45512</v>
      </c>
      <c r="C63" s="33">
        <v>6529</v>
      </c>
      <c r="D63" s="20">
        <v>45658</v>
      </c>
      <c r="E63" s="20">
        <v>45687</v>
      </c>
      <c r="F63" s="21">
        <f t="shared" si="9"/>
        <v>30</v>
      </c>
      <c r="G63" s="22">
        <v>242</v>
      </c>
      <c r="H63" s="23">
        <v>1</v>
      </c>
      <c r="I63" s="24">
        <f t="shared" si="8"/>
        <v>242</v>
      </c>
      <c r="J63" s="25" t="s">
        <v>45</v>
      </c>
      <c r="K63" s="23">
        <v>67772</v>
      </c>
    </row>
    <row r="64" spans="1:11" ht="13.5" customHeight="1">
      <c r="A64" s="26"/>
      <c r="B64" s="20"/>
      <c r="C64" s="34"/>
      <c r="D64" s="20"/>
      <c r="E64" s="20"/>
      <c r="F64" s="21"/>
      <c r="G64" s="22"/>
      <c r="H64" s="23"/>
      <c r="I64" s="24">
        <f t="shared" si="8"/>
        <v>0</v>
      </c>
      <c r="J64" s="25"/>
      <c r="K64" s="23"/>
    </row>
    <row r="65" spans="1:11" ht="13.5" customHeight="1">
      <c r="A65" s="9" t="s">
        <v>46</v>
      </c>
      <c r="B65" s="27"/>
      <c r="C65" s="35"/>
      <c r="D65" s="28"/>
      <c r="E65" s="28"/>
      <c r="F65" s="29"/>
      <c r="G65" s="28"/>
      <c r="H65" s="12">
        <f>SUM(H56:H64)</f>
        <v>8</v>
      </c>
      <c r="I65" s="30">
        <f>SUM(I56:I64)</f>
        <v>1362</v>
      </c>
      <c r="J65" s="31"/>
      <c r="K65" s="32"/>
    </row>
    <row r="66" spans="1:11" ht="13.5" customHeight="1">
      <c r="A66" s="37"/>
      <c r="B66" s="13"/>
      <c r="C66" s="38"/>
      <c r="F66" s="39"/>
      <c r="H66" s="13"/>
      <c r="I66" s="40"/>
      <c r="J66" s="1"/>
    </row>
    <row r="67" spans="1:11" ht="13.5" customHeight="1">
      <c r="A67" s="17" t="s">
        <v>25</v>
      </c>
      <c r="B67" s="20">
        <v>45512</v>
      </c>
      <c r="C67" s="33">
        <v>14412</v>
      </c>
      <c r="D67" s="20">
        <v>45658</v>
      </c>
      <c r="E67" s="20">
        <v>45687</v>
      </c>
      <c r="F67" s="21">
        <f>(E67-D67)+1</f>
        <v>30</v>
      </c>
      <c r="G67" s="22">
        <v>147</v>
      </c>
      <c r="H67" s="23">
        <v>1</v>
      </c>
      <c r="I67" s="24">
        <f t="shared" ref="I67:I74" si="10">G67/30*H67*F67</f>
        <v>147</v>
      </c>
      <c r="J67" s="25" t="s">
        <v>35</v>
      </c>
      <c r="K67" s="23">
        <v>67950</v>
      </c>
    </row>
    <row r="68" spans="1:11" ht="13.5" customHeight="1">
      <c r="A68" s="17" t="s">
        <v>25</v>
      </c>
      <c r="B68" s="20">
        <v>45512</v>
      </c>
      <c r="C68" s="33">
        <v>14439</v>
      </c>
      <c r="D68" s="20">
        <v>45658</v>
      </c>
      <c r="E68" s="20">
        <v>45687</v>
      </c>
      <c r="F68" s="21">
        <f>(E68-D68)+1</f>
        <v>30</v>
      </c>
      <c r="G68" s="22">
        <v>147</v>
      </c>
      <c r="H68" s="23">
        <v>1</v>
      </c>
      <c r="I68" s="24">
        <f t="shared" si="10"/>
        <v>147</v>
      </c>
      <c r="J68" s="25" t="s">
        <v>36</v>
      </c>
      <c r="K68" s="23">
        <v>67950</v>
      </c>
    </row>
    <row r="69" spans="1:11" ht="13.5" customHeight="1">
      <c r="A69" s="17" t="s">
        <v>25</v>
      </c>
      <c r="B69" s="20">
        <v>45512</v>
      </c>
      <c r="C69" s="33">
        <v>14411</v>
      </c>
      <c r="D69" s="20">
        <v>45658</v>
      </c>
      <c r="E69" s="20">
        <v>45687</v>
      </c>
      <c r="F69" s="21">
        <f>(E69-D69)+1</f>
        <v>30</v>
      </c>
      <c r="G69" s="22">
        <v>147</v>
      </c>
      <c r="H69" s="23">
        <v>1</v>
      </c>
      <c r="I69" s="24">
        <f t="shared" si="10"/>
        <v>147</v>
      </c>
      <c r="J69" s="25" t="s">
        <v>41</v>
      </c>
      <c r="K69" s="23">
        <v>67950</v>
      </c>
    </row>
    <row r="70" spans="1:11" ht="13.5" customHeight="1">
      <c r="A70" s="17" t="s">
        <v>25</v>
      </c>
      <c r="B70" s="20">
        <v>45512</v>
      </c>
      <c r="C70" s="33">
        <v>14414</v>
      </c>
      <c r="D70" s="20">
        <v>45658</v>
      </c>
      <c r="E70" s="20">
        <v>45687</v>
      </c>
      <c r="F70" s="21">
        <f t="shared" ref="F70:F73" si="11">(E70-D70)+1</f>
        <v>30</v>
      </c>
      <c r="G70" s="22">
        <v>147</v>
      </c>
      <c r="H70" s="23">
        <v>1</v>
      </c>
      <c r="I70" s="24">
        <f t="shared" si="10"/>
        <v>147</v>
      </c>
      <c r="J70" s="25" t="s">
        <v>29</v>
      </c>
      <c r="K70" s="23">
        <v>67951</v>
      </c>
    </row>
    <row r="71" spans="1:11" ht="13.5" customHeight="1">
      <c r="A71" s="17" t="s">
        <v>25</v>
      </c>
      <c r="B71" s="20">
        <v>45512</v>
      </c>
      <c r="C71" s="33">
        <v>14413</v>
      </c>
      <c r="D71" s="20">
        <v>45658</v>
      </c>
      <c r="E71" s="20">
        <v>45687</v>
      </c>
      <c r="F71" s="21">
        <f t="shared" si="11"/>
        <v>30</v>
      </c>
      <c r="G71" s="22">
        <v>147</v>
      </c>
      <c r="H71" s="23">
        <v>1</v>
      </c>
      <c r="I71" s="24">
        <f t="shared" si="10"/>
        <v>147</v>
      </c>
      <c r="J71" s="25" t="s">
        <v>47</v>
      </c>
      <c r="K71" s="23">
        <v>67951</v>
      </c>
    </row>
    <row r="72" spans="1:11" ht="13.5" customHeight="1">
      <c r="A72" s="17" t="s">
        <v>39</v>
      </c>
      <c r="B72" s="20">
        <v>45512</v>
      </c>
      <c r="C72" s="33">
        <v>14415</v>
      </c>
      <c r="D72" s="20">
        <v>45658</v>
      </c>
      <c r="E72" s="20">
        <v>45687</v>
      </c>
      <c r="F72" s="21">
        <f t="shared" si="11"/>
        <v>30</v>
      </c>
      <c r="G72" s="22">
        <v>238</v>
      </c>
      <c r="H72" s="23">
        <v>1</v>
      </c>
      <c r="I72" s="24">
        <f t="shared" si="10"/>
        <v>238</v>
      </c>
      <c r="J72" s="25" t="s">
        <v>47</v>
      </c>
      <c r="K72" s="23">
        <v>67951</v>
      </c>
    </row>
    <row r="73" spans="1:11" ht="13.5" customHeight="1">
      <c r="A73" s="17" t="s">
        <v>39</v>
      </c>
      <c r="B73" s="20">
        <v>45512</v>
      </c>
      <c r="C73" s="33">
        <v>5800</v>
      </c>
      <c r="D73" s="20">
        <v>45658</v>
      </c>
      <c r="E73" s="20">
        <v>45687</v>
      </c>
      <c r="F73" s="21">
        <f t="shared" si="11"/>
        <v>30</v>
      </c>
      <c r="G73" s="22">
        <v>238</v>
      </c>
      <c r="H73" s="23">
        <v>1</v>
      </c>
      <c r="I73" s="24">
        <f t="shared" si="10"/>
        <v>238</v>
      </c>
      <c r="J73" s="25"/>
      <c r="K73" s="23">
        <v>67952</v>
      </c>
    </row>
    <row r="74" spans="1:11" ht="13.5" customHeight="1">
      <c r="A74" s="26"/>
      <c r="B74" s="20"/>
      <c r="C74" s="34"/>
      <c r="D74" s="20"/>
      <c r="E74" s="20"/>
      <c r="F74" s="21"/>
      <c r="G74" s="22"/>
      <c r="H74" s="23"/>
      <c r="I74" s="24">
        <f t="shared" si="10"/>
        <v>0</v>
      </c>
      <c r="J74" s="25"/>
      <c r="K74" s="23"/>
    </row>
    <row r="75" spans="1:11" ht="13.5" customHeight="1">
      <c r="A75" s="9" t="s">
        <v>48</v>
      </c>
      <c r="B75" s="27"/>
      <c r="C75" s="35"/>
      <c r="D75" s="28"/>
      <c r="E75" s="28"/>
      <c r="F75" s="29"/>
      <c r="G75" s="28"/>
      <c r="H75" s="12">
        <f>SUM(H67:H74)</f>
        <v>7</v>
      </c>
      <c r="I75" s="30">
        <f>SUM(I67:I74)</f>
        <v>1211</v>
      </c>
      <c r="J75" s="31"/>
      <c r="K75" s="32"/>
    </row>
    <row r="76" spans="1:11" ht="13.5" customHeight="1">
      <c r="A76" s="37"/>
      <c r="B76" s="13"/>
      <c r="C76" s="38"/>
      <c r="F76" s="39"/>
      <c r="H76" s="13"/>
      <c r="I76" s="40"/>
      <c r="J76" s="1"/>
    </row>
    <row r="77" spans="1:11" ht="13.5" customHeight="1">
      <c r="A77" s="17" t="s">
        <v>25</v>
      </c>
      <c r="B77" s="20">
        <v>45512</v>
      </c>
      <c r="C77" s="33">
        <v>14890</v>
      </c>
      <c r="D77" s="20">
        <v>45658</v>
      </c>
      <c r="E77" s="20">
        <v>45687</v>
      </c>
      <c r="F77" s="21">
        <f>(E77-D77)+1</f>
        <v>30</v>
      </c>
      <c r="G77" s="22">
        <v>147</v>
      </c>
      <c r="H77" s="23">
        <v>1</v>
      </c>
      <c r="I77" s="24">
        <f t="shared" ref="I77:I84" si="12">G77/30*H77*F77</f>
        <v>147</v>
      </c>
      <c r="J77" s="25" t="s">
        <v>35</v>
      </c>
      <c r="K77" s="23">
        <v>68046</v>
      </c>
    </row>
    <row r="78" spans="1:11" ht="13.5" customHeight="1">
      <c r="A78" s="17" t="s">
        <v>25</v>
      </c>
      <c r="B78" s="20">
        <v>45512</v>
      </c>
      <c r="C78" s="33">
        <v>14889</v>
      </c>
      <c r="D78" s="20">
        <v>45658</v>
      </c>
      <c r="E78" s="20">
        <v>45687</v>
      </c>
      <c r="F78" s="21">
        <f>(E78-D78)+1</f>
        <v>30</v>
      </c>
      <c r="G78" s="22">
        <v>147</v>
      </c>
      <c r="H78" s="23">
        <v>1</v>
      </c>
      <c r="I78" s="24">
        <f t="shared" si="12"/>
        <v>147</v>
      </c>
      <c r="J78" s="25" t="s">
        <v>36</v>
      </c>
      <c r="K78" s="23">
        <v>68046</v>
      </c>
    </row>
    <row r="79" spans="1:11" ht="13.5" customHeight="1">
      <c r="A79" s="17" t="s">
        <v>25</v>
      </c>
      <c r="B79" s="20">
        <v>45512</v>
      </c>
      <c r="C79" s="33">
        <v>14873</v>
      </c>
      <c r="D79" s="20">
        <v>45658</v>
      </c>
      <c r="E79" s="20">
        <v>45687</v>
      </c>
      <c r="F79" s="21">
        <f>(E79-D79)+1</f>
        <v>30</v>
      </c>
      <c r="G79" s="22">
        <v>147</v>
      </c>
      <c r="H79" s="23">
        <v>1</v>
      </c>
      <c r="I79" s="24">
        <f t="shared" si="12"/>
        <v>147</v>
      </c>
      <c r="J79" s="25" t="s">
        <v>37</v>
      </c>
      <c r="K79" s="23">
        <v>68046</v>
      </c>
    </row>
    <row r="80" spans="1:11" ht="13.5" customHeight="1">
      <c r="A80" s="17" t="s">
        <v>25</v>
      </c>
      <c r="B80" s="20">
        <v>45512</v>
      </c>
      <c r="C80" s="33">
        <v>11922</v>
      </c>
      <c r="D80" s="20">
        <v>45658</v>
      </c>
      <c r="E80" s="20">
        <v>45687</v>
      </c>
      <c r="F80" s="21">
        <f t="shared" ref="F80:F83" si="13">(E80-D80)+1</f>
        <v>30</v>
      </c>
      <c r="G80" s="22">
        <v>147</v>
      </c>
      <c r="H80" s="23">
        <v>1</v>
      </c>
      <c r="I80" s="24">
        <f t="shared" si="12"/>
        <v>147</v>
      </c>
      <c r="J80" s="25" t="s">
        <v>41</v>
      </c>
      <c r="K80" s="23">
        <v>68047</v>
      </c>
    </row>
    <row r="81" spans="1:11" ht="13.5" customHeight="1">
      <c r="A81" s="17" t="s">
        <v>31</v>
      </c>
      <c r="B81" s="20">
        <v>45512</v>
      </c>
      <c r="C81" s="33">
        <v>10854</v>
      </c>
      <c r="D81" s="20">
        <v>45658</v>
      </c>
      <c r="E81" s="20">
        <v>45687</v>
      </c>
      <c r="F81" s="21">
        <f t="shared" si="13"/>
        <v>30</v>
      </c>
      <c r="G81" s="22">
        <v>242</v>
      </c>
      <c r="H81" s="23">
        <v>1</v>
      </c>
      <c r="I81" s="24">
        <f t="shared" si="12"/>
        <v>242</v>
      </c>
      <c r="J81" s="25"/>
      <c r="K81" s="23"/>
    </row>
    <row r="82" spans="1:11" ht="13.5" customHeight="1">
      <c r="A82" s="17" t="s">
        <v>31</v>
      </c>
      <c r="B82" s="20">
        <v>45512</v>
      </c>
      <c r="C82" s="33">
        <v>1054</v>
      </c>
      <c r="D82" s="20">
        <v>45658</v>
      </c>
      <c r="E82" s="20">
        <v>45687</v>
      </c>
      <c r="F82" s="21">
        <f t="shared" si="13"/>
        <v>30</v>
      </c>
      <c r="G82" s="22">
        <v>242</v>
      </c>
      <c r="H82" s="23">
        <v>1</v>
      </c>
      <c r="I82" s="24">
        <f t="shared" si="12"/>
        <v>242</v>
      </c>
      <c r="J82" s="25"/>
      <c r="K82" s="23"/>
    </row>
    <row r="83" spans="1:11" ht="13.5" customHeight="1">
      <c r="A83" s="17" t="s">
        <v>31</v>
      </c>
      <c r="B83" s="20">
        <v>45677</v>
      </c>
      <c r="C83" s="144">
        <v>17660</v>
      </c>
      <c r="D83" s="20">
        <v>45677</v>
      </c>
      <c r="E83" s="20">
        <v>45687</v>
      </c>
      <c r="F83" s="21">
        <f t="shared" si="13"/>
        <v>11</v>
      </c>
      <c r="G83" s="22">
        <v>242</v>
      </c>
      <c r="H83" s="142">
        <v>1</v>
      </c>
      <c r="I83" s="24">
        <f t="shared" si="12"/>
        <v>88.733333333333334</v>
      </c>
      <c r="J83" s="25" t="s">
        <v>168</v>
      </c>
      <c r="K83" s="142">
        <v>74174</v>
      </c>
    </row>
    <row r="84" spans="1:11" ht="13.5" customHeight="1">
      <c r="A84" s="26"/>
      <c r="B84" s="20"/>
      <c r="C84" s="34"/>
      <c r="D84" s="20"/>
      <c r="E84" s="20"/>
      <c r="F84" s="21"/>
      <c r="G84" s="22"/>
      <c r="H84" s="23"/>
      <c r="I84" s="24">
        <f t="shared" si="12"/>
        <v>0</v>
      </c>
      <c r="J84" s="25"/>
      <c r="K84" s="23"/>
    </row>
    <row r="85" spans="1:11" ht="13.5" customHeight="1">
      <c r="A85" s="9" t="s">
        <v>49</v>
      </c>
      <c r="B85" s="27"/>
      <c r="C85" s="35"/>
      <c r="D85" s="28"/>
      <c r="E85" s="28"/>
      <c r="F85" s="29"/>
      <c r="G85" s="28"/>
      <c r="H85" s="12">
        <f>SUM(H77:H84)</f>
        <v>7</v>
      </c>
      <c r="I85" s="30">
        <f>SUM(I77:I84)</f>
        <v>1160.7333333333333</v>
      </c>
      <c r="J85" s="31"/>
      <c r="K85" s="32"/>
    </row>
    <row r="86" spans="1:11" ht="13.5" customHeight="1">
      <c r="A86" s="37"/>
      <c r="B86" s="13"/>
      <c r="C86" s="38"/>
      <c r="F86" s="39"/>
      <c r="H86" s="13"/>
      <c r="I86" s="40"/>
      <c r="J86" s="1"/>
    </row>
    <row r="87" spans="1:11" ht="13.5" customHeight="1">
      <c r="A87" s="17" t="s">
        <v>25</v>
      </c>
      <c r="B87" s="20">
        <v>45512</v>
      </c>
      <c r="C87" s="33">
        <v>14879</v>
      </c>
      <c r="D87" s="20">
        <v>45658</v>
      </c>
      <c r="E87" s="20">
        <v>45687</v>
      </c>
      <c r="F87" s="21">
        <f>(E87-D87)+1</f>
        <v>30</v>
      </c>
      <c r="G87" s="22">
        <v>147</v>
      </c>
      <c r="H87" s="23">
        <v>1</v>
      </c>
      <c r="I87" s="24">
        <f t="shared" ref="I87:I94" si="14">G87/30*H87*F87</f>
        <v>147</v>
      </c>
      <c r="J87" s="25" t="s">
        <v>29</v>
      </c>
      <c r="K87" s="23">
        <v>68400</v>
      </c>
    </row>
    <row r="88" spans="1:11" ht="13.5" customHeight="1">
      <c r="A88" s="17" t="s">
        <v>25</v>
      </c>
      <c r="B88" s="20">
        <v>45512</v>
      </c>
      <c r="C88" s="33">
        <v>14886</v>
      </c>
      <c r="D88" s="20">
        <v>45658</v>
      </c>
      <c r="E88" s="20">
        <v>45687</v>
      </c>
      <c r="F88" s="21">
        <f>(E88-D88)+1</f>
        <v>30</v>
      </c>
      <c r="G88" s="22">
        <v>147</v>
      </c>
      <c r="H88" s="23">
        <v>1</v>
      </c>
      <c r="I88" s="24">
        <f t="shared" si="14"/>
        <v>147</v>
      </c>
      <c r="J88" s="25" t="s">
        <v>37</v>
      </c>
      <c r="K88" s="23">
        <v>68400</v>
      </c>
    </row>
    <row r="89" spans="1:11" ht="13.5" customHeight="1">
      <c r="A89" s="17" t="s">
        <v>25</v>
      </c>
      <c r="B89" s="20">
        <v>45512</v>
      </c>
      <c r="C89" s="33">
        <v>14871</v>
      </c>
      <c r="D89" s="20">
        <v>45658</v>
      </c>
      <c r="E89" s="20">
        <v>45687</v>
      </c>
      <c r="F89" s="21">
        <f t="shared" ref="F89:F91" si="15">(E89-D89)+1</f>
        <v>30</v>
      </c>
      <c r="G89" s="22">
        <v>147</v>
      </c>
      <c r="H89" s="23">
        <v>1</v>
      </c>
      <c r="I89" s="24">
        <f t="shared" si="14"/>
        <v>147</v>
      </c>
      <c r="J89" s="25" t="s">
        <v>36</v>
      </c>
      <c r="K89" s="23">
        <v>68399</v>
      </c>
    </row>
    <row r="90" spans="1:11" ht="13.5" customHeight="1">
      <c r="A90" s="17" t="s">
        <v>25</v>
      </c>
      <c r="B90" s="20">
        <v>45512</v>
      </c>
      <c r="C90" s="33">
        <v>14885</v>
      </c>
      <c r="D90" s="20">
        <v>45658</v>
      </c>
      <c r="E90" s="20">
        <v>45687</v>
      </c>
      <c r="F90" s="21">
        <f t="shared" si="15"/>
        <v>30</v>
      </c>
      <c r="G90" s="22">
        <v>147</v>
      </c>
      <c r="H90" s="23">
        <v>1</v>
      </c>
      <c r="I90" s="24">
        <f t="shared" si="14"/>
        <v>147</v>
      </c>
      <c r="J90" s="25" t="s">
        <v>35</v>
      </c>
      <c r="K90" s="23">
        <v>68399</v>
      </c>
    </row>
    <row r="91" spans="1:11" ht="13.5" customHeight="1">
      <c r="A91" s="17" t="s">
        <v>25</v>
      </c>
      <c r="B91" s="20">
        <v>45512</v>
      </c>
      <c r="C91" s="33">
        <v>14878</v>
      </c>
      <c r="D91" s="20">
        <v>45658</v>
      </c>
      <c r="E91" s="20">
        <v>45687</v>
      </c>
      <c r="F91" s="21">
        <f t="shared" si="15"/>
        <v>30</v>
      </c>
      <c r="G91" s="22">
        <v>147</v>
      </c>
      <c r="H91" s="23">
        <v>1</v>
      </c>
      <c r="I91" s="24">
        <f t="shared" si="14"/>
        <v>147</v>
      </c>
      <c r="J91" s="25" t="s">
        <v>41</v>
      </c>
      <c r="K91" s="23">
        <v>68399</v>
      </c>
    </row>
    <row r="92" spans="1:11" ht="13.5" customHeight="1">
      <c r="A92" s="17" t="s">
        <v>31</v>
      </c>
      <c r="B92" s="20">
        <v>45512</v>
      </c>
      <c r="C92" s="33">
        <v>13639</v>
      </c>
      <c r="D92" s="20">
        <v>45658</v>
      </c>
      <c r="E92" s="20">
        <v>45687</v>
      </c>
      <c r="F92" s="21">
        <f>(E92-D92)+1</f>
        <v>30</v>
      </c>
      <c r="G92" s="22">
        <v>242</v>
      </c>
      <c r="H92" s="23">
        <v>1</v>
      </c>
      <c r="I92" s="24">
        <f t="shared" si="14"/>
        <v>242</v>
      </c>
      <c r="J92" s="25" t="s">
        <v>32</v>
      </c>
      <c r="K92" s="23">
        <v>68401</v>
      </c>
    </row>
    <row r="93" spans="1:11" ht="13.5" customHeight="1">
      <c r="A93" s="17" t="s">
        <v>31</v>
      </c>
      <c r="B93" s="20">
        <v>45512</v>
      </c>
      <c r="C93" s="33">
        <v>14552</v>
      </c>
      <c r="D93" s="20">
        <v>45658</v>
      </c>
      <c r="E93" s="20">
        <v>45687</v>
      </c>
      <c r="F93" s="21">
        <f t="shared" ref="F93" si="16">(E93-D93)+1</f>
        <v>30</v>
      </c>
      <c r="G93" s="22">
        <v>242</v>
      </c>
      <c r="H93" s="23">
        <v>1</v>
      </c>
      <c r="I93" s="24">
        <f t="shared" si="14"/>
        <v>242</v>
      </c>
      <c r="J93" s="25" t="s">
        <v>33</v>
      </c>
      <c r="K93" s="23">
        <v>68401</v>
      </c>
    </row>
    <row r="94" spans="1:11" ht="13.5" customHeight="1">
      <c r="A94" s="26"/>
      <c r="B94" s="20"/>
      <c r="C94" s="34"/>
      <c r="D94" s="20"/>
      <c r="E94" s="20"/>
      <c r="F94" s="21"/>
      <c r="G94" s="22"/>
      <c r="H94" s="23"/>
      <c r="I94" s="24">
        <f t="shared" si="14"/>
        <v>0</v>
      </c>
      <c r="J94" s="25"/>
      <c r="K94" s="23"/>
    </row>
    <row r="95" spans="1:11" ht="13.5" customHeight="1">
      <c r="A95" s="9" t="s">
        <v>50</v>
      </c>
      <c r="B95" s="27"/>
      <c r="C95" s="35"/>
      <c r="D95" s="28"/>
      <c r="E95" s="28"/>
      <c r="F95" s="29"/>
      <c r="G95" s="28"/>
      <c r="H95" s="12">
        <f>SUM(H87:H94)</f>
        <v>7</v>
      </c>
      <c r="I95" s="30">
        <f>SUM(I87:I94)</f>
        <v>1219</v>
      </c>
      <c r="J95" s="31"/>
      <c r="K95" s="32"/>
    </row>
    <row r="96" spans="1:11" ht="13.5" customHeight="1">
      <c r="A96" s="3" t="s">
        <v>51</v>
      </c>
      <c r="C96" s="36"/>
      <c r="D96" s="14"/>
      <c r="E96" s="14"/>
      <c r="F96" s="15"/>
      <c r="G96" s="16"/>
      <c r="I96" s="16"/>
      <c r="J96" s="1"/>
    </row>
    <row r="97" spans="1:11" ht="13.5" customHeight="1">
      <c r="A97" s="17" t="s">
        <v>25</v>
      </c>
      <c r="B97" s="20">
        <v>45512</v>
      </c>
      <c r="C97" s="33">
        <v>14876</v>
      </c>
      <c r="D97" s="20">
        <v>45658</v>
      </c>
      <c r="E97" s="20">
        <v>45687</v>
      </c>
      <c r="F97" s="21">
        <f>(E97-D97)+1</f>
        <v>30</v>
      </c>
      <c r="G97" s="22">
        <v>147</v>
      </c>
      <c r="H97" s="23">
        <v>1</v>
      </c>
      <c r="I97" s="24">
        <f t="shared" ref="I97:I108" si="17">G97/30*H97*F97</f>
        <v>147</v>
      </c>
      <c r="J97" s="25" t="s">
        <v>35</v>
      </c>
      <c r="K97" s="23">
        <v>68036</v>
      </c>
    </row>
    <row r="98" spans="1:11" ht="13.5" customHeight="1">
      <c r="A98" s="17" t="s">
        <v>25</v>
      </c>
      <c r="B98" s="20">
        <v>45512</v>
      </c>
      <c r="C98" s="33">
        <v>14875</v>
      </c>
      <c r="D98" s="20">
        <v>45658</v>
      </c>
      <c r="E98" s="20">
        <v>45687</v>
      </c>
      <c r="F98" s="21">
        <f>(E98-D98)+1</f>
        <v>30</v>
      </c>
      <c r="G98" s="22">
        <v>147</v>
      </c>
      <c r="H98" s="23">
        <v>1</v>
      </c>
      <c r="I98" s="24">
        <f t="shared" si="17"/>
        <v>147</v>
      </c>
      <c r="J98" s="25" t="s">
        <v>36</v>
      </c>
      <c r="K98" s="23">
        <v>68036</v>
      </c>
    </row>
    <row r="99" spans="1:11" ht="13.5" customHeight="1">
      <c r="A99" s="17" t="s">
        <v>25</v>
      </c>
      <c r="B99" s="20">
        <v>45512</v>
      </c>
      <c r="C99" s="33">
        <v>14877</v>
      </c>
      <c r="D99" s="20">
        <v>45658</v>
      </c>
      <c r="E99" s="20">
        <v>45687</v>
      </c>
      <c r="F99" s="21">
        <f>(E99-D99)+1</f>
        <v>30</v>
      </c>
      <c r="G99" s="22">
        <v>147</v>
      </c>
      <c r="H99" s="23">
        <v>1</v>
      </c>
      <c r="I99" s="24">
        <f t="shared" si="17"/>
        <v>147</v>
      </c>
      <c r="J99" s="25" t="s">
        <v>41</v>
      </c>
      <c r="K99" s="23">
        <v>68036</v>
      </c>
    </row>
    <row r="100" spans="1:11" ht="13.5" customHeight="1">
      <c r="A100" s="17" t="s">
        <v>25</v>
      </c>
      <c r="B100" s="20">
        <v>45512</v>
      </c>
      <c r="C100" s="33">
        <v>14872</v>
      </c>
      <c r="D100" s="20">
        <v>45658</v>
      </c>
      <c r="E100" s="20">
        <v>45687</v>
      </c>
      <c r="F100" s="21">
        <f>(E100-D100)+1</f>
        <v>30</v>
      </c>
      <c r="G100" s="22">
        <v>147</v>
      </c>
      <c r="H100" s="23">
        <v>1</v>
      </c>
      <c r="I100" s="24">
        <f t="shared" si="17"/>
        <v>147</v>
      </c>
      <c r="J100" s="25" t="s">
        <v>52</v>
      </c>
      <c r="K100" s="23">
        <v>68038</v>
      </c>
    </row>
    <row r="101" spans="1:11" ht="13.5" customHeight="1">
      <c r="A101" s="17" t="s">
        <v>25</v>
      </c>
      <c r="B101" s="20">
        <v>45512</v>
      </c>
      <c r="C101" s="33">
        <v>14881</v>
      </c>
      <c r="D101" s="20">
        <v>45658</v>
      </c>
      <c r="E101" s="20">
        <v>45687</v>
      </c>
      <c r="F101" s="21">
        <f t="shared" ref="F101:F107" si="18">(E101-D101)+1</f>
        <v>30</v>
      </c>
      <c r="G101" s="22">
        <v>147</v>
      </c>
      <c r="H101" s="23">
        <v>1</v>
      </c>
      <c r="I101" s="24">
        <f t="shared" si="17"/>
        <v>147</v>
      </c>
      <c r="J101" s="25" t="s">
        <v>37</v>
      </c>
      <c r="K101" s="23">
        <v>68038</v>
      </c>
    </row>
    <row r="102" spans="1:11" ht="13.5" customHeight="1">
      <c r="A102" s="17" t="s">
        <v>39</v>
      </c>
      <c r="B102" s="20">
        <v>45512</v>
      </c>
      <c r="C102" s="33">
        <v>2875</v>
      </c>
      <c r="D102" s="20">
        <v>45658</v>
      </c>
      <c r="E102" s="20">
        <v>45687</v>
      </c>
      <c r="F102" s="21">
        <f t="shared" si="18"/>
        <v>30</v>
      </c>
      <c r="G102" s="22">
        <v>238</v>
      </c>
      <c r="H102" s="23">
        <v>1</v>
      </c>
      <c r="I102" s="24">
        <f t="shared" si="17"/>
        <v>238</v>
      </c>
      <c r="J102" s="25" t="s">
        <v>38</v>
      </c>
      <c r="K102" s="23"/>
    </row>
    <row r="103" spans="1:11" ht="13.5" customHeight="1">
      <c r="A103" s="17" t="s">
        <v>39</v>
      </c>
      <c r="B103" s="20">
        <v>45512</v>
      </c>
      <c r="C103" s="33">
        <v>2980</v>
      </c>
      <c r="D103" s="20">
        <v>45658</v>
      </c>
      <c r="E103" s="20">
        <v>45687</v>
      </c>
      <c r="F103" s="21">
        <f t="shared" si="18"/>
        <v>30</v>
      </c>
      <c r="G103" s="22">
        <v>238</v>
      </c>
      <c r="H103" s="23">
        <v>1</v>
      </c>
      <c r="I103" s="24">
        <f t="shared" si="17"/>
        <v>238</v>
      </c>
      <c r="J103" s="25" t="s">
        <v>53</v>
      </c>
      <c r="K103" s="23"/>
    </row>
    <row r="104" spans="1:11" ht="13.5" customHeight="1">
      <c r="A104" s="17" t="s">
        <v>39</v>
      </c>
      <c r="B104" s="20">
        <v>45512</v>
      </c>
      <c r="C104" s="33">
        <v>2872</v>
      </c>
      <c r="D104" s="20">
        <v>45658</v>
      </c>
      <c r="E104" s="20">
        <v>45687</v>
      </c>
      <c r="F104" s="21">
        <f t="shared" si="18"/>
        <v>30</v>
      </c>
      <c r="G104" s="22">
        <v>238</v>
      </c>
      <c r="H104" s="23">
        <v>1</v>
      </c>
      <c r="I104" s="24">
        <f t="shared" si="17"/>
        <v>238</v>
      </c>
      <c r="J104" s="25" t="s">
        <v>29</v>
      </c>
      <c r="K104" s="23"/>
    </row>
    <row r="105" spans="1:11" ht="13.5" customHeight="1">
      <c r="A105" s="17" t="s">
        <v>54</v>
      </c>
      <c r="B105" s="20">
        <v>45512</v>
      </c>
      <c r="C105" s="33">
        <v>2822</v>
      </c>
      <c r="D105" s="20">
        <v>45658</v>
      </c>
      <c r="E105" s="20">
        <v>45687</v>
      </c>
      <c r="F105" s="21">
        <f t="shared" si="18"/>
        <v>30</v>
      </c>
      <c r="G105" s="22">
        <v>447</v>
      </c>
      <c r="H105" s="23">
        <v>1</v>
      </c>
      <c r="I105" s="24">
        <f t="shared" si="17"/>
        <v>447</v>
      </c>
      <c r="J105" s="25" t="s">
        <v>32</v>
      </c>
      <c r="K105" s="23"/>
    </row>
    <row r="106" spans="1:11" ht="13.5" customHeight="1">
      <c r="A106" s="17" t="s">
        <v>54</v>
      </c>
      <c r="B106" s="20">
        <v>45512</v>
      </c>
      <c r="C106" s="33">
        <v>6459</v>
      </c>
      <c r="D106" s="20">
        <v>45658</v>
      </c>
      <c r="E106" s="20">
        <v>45687</v>
      </c>
      <c r="F106" s="21">
        <f t="shared" si="18"/>
        <v>30</v>
      </c>
      <c r="G106" s="22">
        <v>447</v>
      </c>
      <c r="H106" s="23">
        <v>1</v>
      </c>
      <c r="I106" s="24">
        <f t="shared" si="17"/>
        <v>447</v>
      </c>
      <c r="J106" s="25" t="s">
        <v>32</v>
      </c>
      <c r="K106" s="23"/>
    </row>
    <row r="107" spans="1:11" ht="13.5" customHeight="1">
      <c r="A107" s="17" t="s">
        <v>54</v>
      </c>
      <c r="B107" s="20">
        <v>45512</v>
      </c>
      <c r="C107" s="33">
        <v>8938</v>
      </c>
      <c r="D107" s="20">
        <v>45658</v>
      </c>
      <c r="E107" s="20">
        <v>45687</v>
      </c>
      <c r="F107" s="21">
        <f t="shared" si="18"/>
        <v>30</v>
      </c>
      <c r="G107" s="22">
        <v>447</v>
      </c>
      <c r="H107" s="23">
        <v>1</v>
      </c>
      <c r="I107" s="24">
        <f t="shared" si="17"/>
        <v>447</v>
      </c>
      <c r="J107" s="25" t="s">
        <v>33</v>
      </c>
      <c r="K107" s="23"/>
    </row>
    <row r="108" spans="1:11" ht="13.5" customHeight="1">
      <c r="A108" s="26"/>
      <c r="B108" s="20"/>
      <c r="C108" s="34"/>
      <c r="D108" s="20"/>
      <c r="E108" s="20"/>
      <c r="F108" s="21"/>
      <c r="G108" s="22"/>
      <c r="H108" s="23"/>
      <c r="I108" s="24">
        <f t="shared" si="17"/>
        <v>0</v>
      </c>
      <c r="J108" s="25"/>
      <c r="K108" s="23"/>
    </row>
    <row r="109" spans="1:11" ht="13.5" customHeight="1">
      <c r="A109" s="9" t="s">
        <v>55</v>
      </c>
      <c r="B109" s="27"/>
      <c r="C109" s="35"/>
      <c r="D109" s="28"/>
      <c r="E109" s="28"/>
      <c r="F109" s="29"/>
      <c r="G109" s="28"/>
      <c r="H109" s="12">
        <f>SUM(H97:H108)</f>
        <v>11</v>
      </c>
      <c r="I109" s="30">
        <f>SUM(I97:I108)</f>
        <v>2790</v>
      </c>
      <c r="J109" s="31"/>
      <c r="K109" s="32"/>
    </row>
    <row r="110" spans="1:11" ht="13.5" customHeight="1">
      <c r="C110" s="36"/>
      <c r="D110" s="14"/>
      <c r="E110" s="14"/>
      <c r="F110" s="15"/>
      <c r="G110" s="16"/>
      <c r="I110" s="16"/>
      <c r="J110" s="1"/>
    </row>
    <row r="111" spans="1:11" ht="13.5" customHeight="1">
      <c r="A111" s="17" t="s">
        <v>56</v>
      </c>
      <c r="B111" s="20">
        <v>45512</v>
      </c>
      <c r="C111" s="33">
        <v>6316</v>
      </c>
      <c r="D111" s="20">
        <v>45658</v>
      </c>
      <c r="E111" s="20">
        <v>45687</v>
      </c>
      <c r="F111" s="21">
        <f>(E111-D111)+1</f>
        <v>30</v>
      </c>
      <c r="G111" s="22">
        <v>235</v>
      </c>
      <c r="H111" s="23">
        <v>1</v>
      </c>
      <c r="I111" s="24">
        <f>G111/30*H111*F111</f>
        <v>235</v>
      </c>
      <c r="J111" s="25" t="s">
        <v>35</v>
      </c>
      <c r="K111" s="23"/>
    </row>
    <row r="112" spans="1:11" ht="13.5" customHeight="1">
      <c r="A112" s="17" t="s">
        <v>56</v>
      </c>
      <c r="B112" s="20">
        <v>45512</v>
      </c>
      <c r="C112" s="33">
        <v>6333</v>
      </c>
      <c r="D112" s="20">
        <v>45658</v>
      </c>
      <c r="E112" s="20">
        <v>45687</v>
      </c>
      <c r="F112" s="21">
        <f>(E112-D112)+1</f>
        <v>30</v>
      </c>
      <c r="G112" s="22">
        <v>235</v>
      </c>
      <c r="H112" s="23">
        <v>1</v>
      </c>
      <c r="I112" s="24">
        <f t="shared" ref="I112:I118" si="19">G112/30*H112*F112</f>
        <v>235</v>
      </c>
      <c r="J112" s="25" t="s">
        <v>36</v>
      </c>
      <c r="K112" s="23"/>
    </row>
    <row r="113" spans="1:11" ht="13.5" customHeight="1">
      <c r="A113" s="17" t="s">
        <v>56</v>
      </c>
      <c r="B113" s="20">
        <v>45512</v>
      </c>
      <c r="C113" s="33">
        <v>6330</v>
      </c>
      <c r="D113" s="20">
        <v>45658</v>
      </c>
      <c r="E113" s="20">
        <v>45687</v>
      </c>
      <c r="F113" s="21">
        <f>(E113-D113)+1</f>
        <v>30</v>
      </c>
      <c r="G113" s="22">
        <v>235</v>
      </c>
      <c r="H113" s="23">
        <v>1</v>
      </c>
      <c r="I113" s="24">
        <f t="shared" si="19"/>
        <v>235</v>
      </c>
      <c r="J113" s="25" t="s">
        <v>37</v>
      </c>
      <c r="K113" s="23"/>
    </row>
    <row r="114" spans="1:11" ht="13.5" customHeight="1">
      <c r="A114" s="17" t="s">
        <v>56</v>
      </c>
      <c r="B114" s="20">
        <v>45512</v>
      </c>
      <c r="C114" s="33">
        <v>6337</v>
      </c>
      <c r="D114" s="20">
        <v>45658</v>
      </c>
      <c r="E114" s="20">
        <v>45687</v>
      </c>
      <c r="F114" s="21">
        <f>(E114-D114)+1</f>
        <v>30</v>
      </c>
      <c r="G114" s="22">
        <v>235</v>
      </c>
      <c r="H114" s="23">
        <v>1</v>
      </c>
      <c r="I114" s="24">
        <f t="shared" si="19"/>
        <v>235</v>
      </c>
      <c r="J114" s="25" t="s">
        <v>29</v>
      </c>
      <c r="K114" s="23"/>
    </row>
    <row r="115" spans="1:11" ht="13.5" customHeight="1">
      <c r="A115" s="17" t="s">
        <v>56</v>
      </c>
      <c r="B115" s="20">
        <v>45512</v>
      </c>
      <c r="C115" s="33">
        <v>6335</v>
      </c>
      <c r="D115" s="20">
        <v>45658</v>
      </c>
      <c r="E115" s="20">
        <v>45687</v>
      </c>
      <c r="F115" s="21">
        <f t="shared" ref="F115:F117" si="20">(E115-D115)+1</f>
        <v>30</v>
      </c>
      <c r="G115" s="22">
        <v>235</v>
      </c>
      <c r="H115" s="23">
        <v>1</v>
      </c>
      <c r="I115" s="24">
        <f t="shared" si="19"/>
        <v>235</v>
      </c>
      <c r="J115" s="25" t="s">
        <v>30</v>
      </c>
      <c r="K115" s="23"/>
    </row>
    <row r="116" spans="1:11" ht="13.5" customHeight="1">
      <c r="A116" s="17" t="s">
        <v>31</v>
      </c>
      <c r="B116" s="20">
        <v>45512</v>
      </c>
      <c r="C116" s="33">
        <v>6451</v>
      </c>
      <c r="D116" s="20">
        <v>45658</v>
      </c>
      <c r="E116" s="20">
        <v>45687</v>
      </c>
      <c r="F116" s="21">
        <f t="shared" si="20"/>
        <v>30</v>
      </c>
      <c r="G116" s="22">
        <v>242</v>
      </c>
      <c r="H116" s="23">
        <v>1</v>
      </c>
      <c r="I116" s="24">
        <f t="shared" si="19"/>
        <v>242</v>
      </c>
      <c r="J116" s="25" t="s">
        <v>57</v>
      </c>
      <c r="K116" s="23"/>
    </row>
    <row r="117" spans="1:11" ht="13.5" customHeight="1">
      <c r="A117" s="17" t="s">
        <v>31</v>
      </c>
      <c r="B117" s="20">
        <v>45512</v>
      </c>
      <c r="C117" s="33">
        <v>6452</v>
      </c>
      <c r="D117" s="20">
        <v>45658</v>
      </c>
      <c r="E117" s="20">
        <v>45687</v>
      </c>
      <c r="F117" s="21">
        <f t="shared" si="20"/>
        <v>30</v>
      </c>
      <c r="G117" s="22">
        <v>242</v>
      </c>
      <c r="H117" s="23">
        <v>1</v>
      </c>
      <c r="I117" s="24">
        <f t="shared" si="19"/>
        <v>242</v>
      </c>
      <c r="J117" s="25" t="s">
        <v>58</v>
      </c>
      <c r="K117" s="23"/>
    </row>
    <row r="118" spans="1:11" ht="13.5" customHeight="1">
      <c r="A118" s="26"/>
      <c r="B118" s="20"/>
      <c r="C118" s="34"/>
      <c r="D118" s="20"/>
      <c r="E118" s="20"/>
      <c r="F118" s="21"/>
      <c r="G118" s="22"/>
      <c r="H118" s="23"/>
      <c r="I118" s="24">
        <f t="shared" si="19"/>
        <v>0</v>
      </c>
      <c r="J118" s="25"/>
      <c r="K118" s="23"/>
    </row>
    <row r="119" spans="1:11" ht="13.5" customHeight="1">
      <c r="A119" s="9" t="s">
        <v>59</v>
      </c>
      <c r="B119" s="27"/>
      <c r="C119" s="35"/>
      <c r="D119" s="28"/>
      <c r="E119" s="28"/>
      <c r="F119" s="29"/>
      <c r="G119" s="28"/>
      <c r="H119" s="12">
        <f>SUM(H111:H118)</f>
        <v>7</v>
      </c>
      <c r="I119" s="30">
        <f>SUM(I111:I118)</f>
        <v>1659</v>
      </c>
      <c r="J119" s="31"/>
      <c r="K119" s="32"/>
    </row>
    <row r="120" spans="1:11" ht="13.5" customHeight="1">
      <c r="C120" s="36"/>
      <c r="D120" s="14"/>
      <c r="E120" s="14"/>
      <c r="F120" s="15"/>
      <c r="G120" s="16"/>
      <c r="I120" s="16"/>
      <c r="J120" s="1"/>
    </row>
    <row r="121" spans="1:11" ht="13.5" customHeight="1">
      <c r="A121" s="17" t="s">
        <v>56</v>
      </c>
      <c r="B121" s="20">
        <v>45512</v>
      </c>
      <c r="C121" s="33">
        <v>6554</v>
      </c>
      <c r="D121" s="20">
        <v>45658</v>
      </c>
      <c r="E121" s="20">
        <v>45687</v>
      </c>
      <c r="F121" s="21">
        <f>(E121-D121)+1</f>
        <v>30</v>
      </c>
      <c r="G121" s="22">
        <v>235</v>
      </c>
      <c r="H121" s="23">
        <v>1</v>
      </c>
      <c r="I121" s="24">
        <f>G121/30*H121*F121</f>
        <v>235</v>
      </c>
      <c r="J121" s="25" t="s">
        <v>35</v>
      </c>
      <c r="K121" s="23"/>
    </row>
    <row r="122" spans="1:11" ht="13.5" customHeight="1">
      <c r="A122" s="17" t="s">
        <v>56</v>
      </c>
      <c r="B122" s="20">
        <v>45512</v>
      </c>
      <c r="C122" s="33">
        <v>6552</v>
      </c>
      <c r="D122" s="20">
        <v>45658</v>
      </c>
      <c r="E122" s="20">
        <v>45687</v>
      </c>
      <c r="F122" s="21">
        <f>(E122-D122)+1</f>
        <v>30</v>
      </c>
      <c r="G122" s="22">
        <v>235</v>
      </c>
      <c r="H122" s="23">
        <v>1</v>
      </c>
      <c r="I122" s="24">
        <f t="shared" ref="I122:I124" si="21">G122/30*H122*F122</f>
        <v>235</v>
      </c>
      <c r="J122" s="25" t="s">
        <v>36</v>
      </c>
      <c r="K122" s="23"/>
    </row>
    <row r="123" spans="1:11" ht="13.5" customHeight="1">
      <c r="A123" s="17" t="s">
        <v>31</v>
      </c>
      <c r="B123" s="20">
        <v>45512</v>
      </c>
      <c r="C123" s="33">
        <v>6618</v>
      </c>
      <c r="D123" s="20">
        <v>45658</v>
      </c>
      <c r="E123" s="20">
        <v>45687</v>
      </c>
      <c r="F123" s="21">
        <f>(E123-D123)+1</f>
        <v>30</v>
      </c>
      <c r="G123" s="22">
        <v>242</v>
      </c>
      <c r="H123" s="23">
        <v>1</v>
      </c>
      <c r="I123" s="24">
        <f t="shared" si="21"/>
        <v>242</v>
      </c>
      <c r="J123" s="25" t="s">
        <v>37</v>
      </c>
      <c r="K123" s="23"/>
    </row>
    <row r="124" spans="1:11" ht="13.5" customHeight="1">
      <c r="A124" s="26"/>
      <c r="B124" s="20"/>
      <c r="C124" s="34"/>
      <c r="D124" s="20"/>
      <c r="E124" s="20"/>
      <c r="F124" s="21"/>
      <c r="G124" s="22"/>
      <c r="H124" s="23"/>
      <c r="I124" s="24">
        <f t="shared" si="21"/>
        <v>0</v>
      </c>
      <c r="J124" s="25"/>
      <c r="K124" s="23"/>
    </row>
    <row r="125" spans="1:11" ht="13.5" customHeight="1">
      <c r="A125" s="9" t="s">
        <v>60</v>
      </c>
      <c r="B125" s="27"/>
      <c r="C125" s="35"/>
      <c r="D125" s="28"/>
      <c r="E125" s="28"/>
      <c r="F125" s="29"/>
      <c r="G125" s="28"/>
      <c r="H125" s="12">
        <f>SUM(H121:H124)</f>
        <v>3</v>
      </c>
      <c r="I125" s="30">
        <f>SUM(I121:I124)</f>
        <v>712</v>
      </c>
      <c r="J125" s="31"/>
      <c r="K125" s="32"/>
    </row>
    <row r="126" spans="1:11" ht="13.5" customHeight="1">
      <c r="C126" s="36"/>
      <c r="D126" s="14"/>
      <c r="E126" s="14"/>
      <c r="F126" s="15"/>
      <c r="G126" s="16"/>
      <c r="I126" s="16"/>
      <c r="J126" s="1"/>
    </row>
    <row r="127" spans="1:11" ht="13.5" customHeight="1">
      <c r="A127" s="17" t="s">
        <v>56</v>
      </c>
      <c r="B127" s="20">
        <v>45512</v>
      </c>
      <c r="C127" s="33">
        <v>6657</v>
      </c>
      <c r="D127" s="20">
        <v>45658</v>
      </c>
      <c r="E127" s="20">
        <v>45687</v>
      </c>
      <c r="F127" s="21">
        <f>(E127-D127)+1</f>
        <v>30</v>
      </c>
      <c r="G127" s="22">
        <v>235</v>
      </c>
      <c r="H127" s="23">
        <v>1</v>
      </c>
      <c r="I127" s="24">
        <f>G127/30*H127*F127</f>
        <v>235</v>
      </c>
      <c r="J127" s="25" t="s">
        <v>35</v>
      </c>
      <c r="K127" s="23"/>
    </row>
    <row r="128" spans="1:11" ht="13.5" customHeight="1">
      <c r="A128" s="17" t="s">
        <v>56</v>
      </c>
      <c r="B128" s="20">
        <v>45512</v>
      </c>
      <c r="C128" s="33">
        <v>6624</v>
      </c>
      <c r="D128" s="20">
        <v>45658</v>
      </c>
      <c r="E128" s="20">
        <v>45687</v>
      </c>
      <c r="F128" s="21">
        <f>(E128-D128)+1</f>
        <v>30</v>
      </c>
      <c r="G128" s="22">
        <v>235</v>
      </c>
      <c r="H128" s="23">
        <v>1</v>
      </c>
      <c r="I128" s="24">
        <f t="shared" ref="I128:I138" si="22">G128/30*H128*F128</f>
        <v>235</v>
      </c>
      <c r="J128" s="25" t="s">
        <v>36</v>
      </c>
      <c r="K128" s="23"/>
    </row>
    <row r="129" spans="1:11" ht="13.5" customHeight="1">
      <c r="A129" s="17" t="s">
        <v>56</v>
      </c>
      <c r="B129" s="20">
        <v>45512</v>
      </c>
      <c r="C129" s="33">
        <v>6632</v>
      </c>
      <c r="D129" s="20">
        <v>45658</v>
      </c>
      <c r="E129" s="20">
        <v>45687</v>
      </c>
      <c r="F129" s="21">
        <f>(E129-D129)+1</f>
        <v>30</v>
      </c>
      <c r="G129" s="22">
        <v>235</v>
      </c>
      <c r="H129" s="23">
        <v>1</v>
      </c>
      <c r="I129" s="24">
        <f t="shared" si="22"/>
        <v>235</v>
      </c>
      <c r="J129" s="25" t="s">
        <v>37</v>
      </c>
      <c r="K129" s="23"/>
    </row>
    <row r="130" spans="1:11" ht="13.5" customHeight="1">
      <c r="A130" s="17" t="s">
        <v>56</v>
      </c>
      <c r="B130" s="20">
        <v>45512</v>
      </c>
      <c r="C130" s="33">
        <v>6656</v>
      </c>
      <c r="D130" s="20">
        <v>45658</v>
      </c>
      <c r="E130" s="20">
        <v>45687</v>
      </c>
      <c r="F130" s="21">
        <f>(E130-D130)+1</f>
        <v>30</v>
      </c>
      <c r="G130" s="22">
        <v>235</v>
      </c>
      <c r="H130" s="23">
        <v>1</v>
      </c>
      <c r="I130" s="24">
        <f t="shared" si="22"/>
        <v>235</v>
      </c>
      <c r="J130" s="25" t="s">
        <v>38</v>
      </c>
      <c r="K130" s="23"/>
    </row>
    <row r="131" spans="1:11" ht="13.5" customHeight="1">
      <c r="A131" s="17" t="s">
        <v>56</v>
      </c>
      <c r="B131" s="20">
        <v>45512</v>
      </c>
      <c r="C131" s="33">
        <v>6631</v>
      </c>
      <c r="D131" s="20">
        <v>45658</v>
      </c>
      <c r="E131" s="20">
        <v>45687</v>
      </c>
      <c r="F131" s="21">
        <f t="shared" ref="F131:F137" si="23">(E131-D131)+1</f>
        <v>30</v>
      </c>
      <c r="G131" s="22">
        <v>235</v>
      </c>
      <c r="H131" s="23">
        <v>1</v>
      </c>
      <c r="I131" s="24">
        <f t="shared" si="22"/>
        <v>235</v>
      </c>
      <c r="J131" s="25" t="s">
        <v>30</v>
      </c>
      <c r="K131" s="23"/>
    </row>
    <row r="132" spans="1:11" ht="13.5" customHeight="1">
      <c r="A132" s="17" t="s">
        <v>56</v>
      </c>
      <c r="B132" s="20">
        <v>45512</v>
      </c>
      <c r="C132" s="33">
        <v>6329</v>
      </c>
      <c r="D132" s="20">
        <v>45658</v>
      </c>
      <c r="E132" s="20">
        <v>45687</v>
      </c>
      <c r="F132" s="21">
        <f t="shared" si="23"/>
        <v>30</v>
      </c>
      <c r="G132" s="22">
        <v>235</v>
      </c>
      <c r="H132" s="23">
        <v>1</v>
      </c>
      <c r="I132" s="24">
        <f t="shared" si="22"/>
        <v>235</v>
      </c>
      <c r="J132" s="25" t="s">
        <v>29</v>
      </c>
      <c r="K132" s="23"/>
    </row>
    <row r="133" spans="1:11" ht="13.5" customHeight="1">
      <c r="A133" s="17" t="s">
        <v>31</v>
      </c>
      <c r="B133" s="20">
        <v>45512</v>
      </c>
      <c r="C133" s="33">
        <v>6527</v>
      </c>
      <c r="D133" s="20">
        <v>45658</v>
      </c>
      <c r="E133" s="20">
        <v>45687</v>
      </c>
      <c r="F133" s="21">
        <f t="shared" si="23"/>
        <v>30</v>
      </c>
      <c r="G133" s="22">
        <v>242</v>
      </c>
      <c r="H133" s="23">
        <v>1</v>
      </c>
      <c r="I133" s="24">
        <f t="shared" si="22"/>
        <v>242</v>
      </c>
      <c r="J133" s="25" t="s">
        <v>52</v>
      </c>
      <c r="K133" s="23"/>
    </row>
    <row r="134" spans="1:11" ht="13.5" customHeight="1">
      <c r="A134" s="17" t="s">
        <v>31</v>
      </c>
      <c r="B134" s="20">
        <v>45512</v>
      </c>
      <c r="C134" s="33">
        <v>6623</v>
      </c>
      <c r="D134" s="20">
        <v>45658</v>
      </c>
      <c r="E134" s="20">
        <v>45687</v>
      </c>
      <c r="F134" s="21">
        <f t="shared" si="23"/>
        <v>30</v>
      </c>
      <c r="G134" s="22">
        <v>242</v>
      </c>
      <c r="H134" s="23">
        <v>1</v>
      </c>
      <c r="I134" s="24">
        <f t="shared" si="22"/>
        <v>242</v>
      </c>
      <c r="J134" s="25" t="s">
        <v>33</v>
      </c>
      <c r="K134" s="23"/>
    </row>
    <row r="135" spans="1:11" ht="13.5" customHeight="1">
      <c r="A135" s="17" t="s">
        <v>31</v>
      </c>
      <c r="B135" s="20">
        <v>45512</v>
      </c>
      <c r="C135" s="33">
        <v>6617</v>
      </c>
      <c r="D135" s="20">
        <v>45658</v>
      </c>
      <c r="E135" s="20">
        <v>45687</v>
      </c>
      <c r="F135" s="21">
        <f t="shared" si="23"/>
        <v>30</v>
      </c>
      <c r="G135" s="22">
        <v>242</v>
      </c>
      <c r="H135" s="23">
        <v>1</v>
      </c>
      <c r="I135" s="24">
        <f t="shared" si="22"/>
        <v>242</v>
      </c>
      <c r="J135" s="25" t="s">
        <v>33</v>
      </c>
      <c r="K135" s="23"/>
    </row>
    <row r="136" spans="1:11" ht="13.5" customHeight="1">
      <c r="A136" s="17" t="s">
        <v>31</v>
      </c>
      <c r="B136" s="20">
        <v>45512</v>
      </c>
      <c r="C136" s="33">
        <v>6622</v>
      </c>
      <c r="D136" s="20">
        <v>45658</v>
      </c>
      <c r="E136" s="20">
        <v>45687</v>
      </c>
      <c r="F136" s="21">
        <f t="shared" si="23"/>
        <v>30</v>
      </c>
      <c r="G136" s="22">
        <v>242</v>
      </c>
      <c r="H136" s="23">
        <v>1</v>
      </c>
      <c r="I136" s="24">
        <f t="shared" si="22"/>
        <v>242</v>
      </c>
      <c r="J136" s="25" t="s">
        <v>61</v>
      </c>
      <c r="K136" s="23"/>
    </row>
    <row r="137" spans="1:11" ht="13.5" customHeight="1">
      <c r="A137" s="17" t="s">
        <v>31</v>
      </c>
      <c r="B137" s="20">
        <v>45512</v>
      </c>
      <c r="C137" s="33">
        <v>6616</v>
      </c>
      <c r="D137" s="20">
        <v>45658</v>
      </c>
      <c r="E137" s="20">
        <v>45687</v>
      </c>
      <c r="F137" s="21">
        <f t="shared" si="23"/>
        <v>30</v>
      </c>
      <c r="G137" s="22">
        <v>242</v>
      </c>
      <c r="H137" s="23">
        <v>1</v>
      </c>
      <c r="I137" s="24">
        <f t="shared" si="22"/>
        <v>242</v>
      </c>
      <c r="J137" s="25" t="s">
        <v>61</v>
      </c>
      <c r="K137" s="23"/>
    </row>
    <row r="138" spans="1:11" ht="13.5" customHeight="1">
      <c r="A138" s="26"/>
      <c r="B138" s="20"/>
      <c r="C138" s="34"/>
      <c r="D138" s="20"/>
      <c r="E138" s="20"/>
      <c r="F138" s="21"/>
      <c r="G138" s="22"/>
      <c r="H138" s="23"/>
      <c r="I138" s="24">
        <f t="shared" si="22"/>
        <v>0</v>
      </c>
      <c r="J138" s="25"/>
      <c r="K138" s="23"/>
    </row>
    <row r="139" spans="1:11" ht="13.5" customHeight="1">
      <c r="A139" s="9" t="s">
        <v>62</v>
      </c>
      <c r="B139" s="27"/>
      <c r="C139" s="35"/>
      <c r="D139" s="28"/>
      <c r="E139" s="28"/>
      <c r="F139" s="29"/>
      <c r="G139" s="28"/>
      <c r="H139" s="12">
        <f>SUM(H127:H138)</f>
        <v>11</v>
      </c>
      <c r="I139" s="30">
        <f>SUM(I127:I138)</f>
        <v>2620</v>
      </c>
      <c r="J139" s="31"/>
      <c r="K139" s="32"/>
    </row>
    <row r="140" spans="1:11" ht="13.5" customHeight="1">
      <c r="C140" s="36"/>
      <c r="D140" s="14"/>
      <c r="E140" s="14"/>
      <c r="F140" s="15"/>
      <c r="G140" s="16"/>
      <c r="I140" s="16"/>
      <c r="J140" s="1"/>
    </row>
    <row r="141" spans="1:11" ht="13.5" customHeight="1">
      <c r="A141" s="17" t="s">
        <v>31</v>
      </c>
      <c r="B141" s="20">
        <v>45512</v>
      </c>
      <c r="C141" s="33">
        <v>6590</v>
      </c>
      <c r="D141" s="20">
        <v>45658</v>
      </c>
      <c r="E141" s="20">
        <v>45687</v>
      </c>
      <c r="F141" s="21">
        <f>(E141-D141)+1</f>
        <v>30</v>
      </c>
      <c r="G141" s="22">
        <v>242</v>
      </c>
      <c r="H141" s="23">
        <v>1</v>
      </c>
      <c r="I141" s="24">
        <f>G141/30*H141*F141</f>
        <v>242</v>
      </c>
      <c r="J141" s="25" t="s">
        <v>63</v>
      </c>
      <c r="K141" s="23"/>
    </row>
    <row r="142" spans="1:11" ht="13.5" customHeight="1">
      <c r="A142" s="17" t="s">
        <v>31</v>
      </c>
      <c r="B142" s="20">
        <v>45512</v>
      </c>
      <c r="C142" s="33">
        <v>6594</v>
      </c>
      <c r="D142" s="20">
        <v>45658</v>
      </c>
      <c r="E142" s="20">
        <v>45687</v>
      </c>
      <c r="F142" s="21">
        <f>(E142-D142)+1</f>
        <v>30</v>
      </c>
      <c r="G142" s="22">
        <v>242</v>
      </c>
      <c r="H142" s="23">
        <v>1</v>
      </c>
      <c r="I142" s="24">
        <f>G142/30*H142*F142</f>
        <v>242</v>
      </c>
      <c r="J142" s="25" t="s">
        <v>32</v>
      </c>
      <c r="K142" s="23"/>
    </row>
    <row r="143" spans="1:11" ht="13.5" customHeight="1">
      <c r="A143" s="26"/>
      <c r="B143" s="20"/>
      <c r="C143" s="34"/>
      <c r="D143" s="20"/>
      <c r="E143" s="20"/>
      <c r="F143" s="21"/>
      <c r="G143" s="22"/>
      <c r="H143" s="23"/>
      <c r="I143" s="24">
        <f t="shared" ref="I143" si="24">G143/24*H143*F143</f>
        <v>0</v>
      </c>
      <c r="J143" s="25"/>
      <c r="K143" s="23"/>
    </row>
    <row r="144" spans="1:11" ht="13.5" customHeight="1">
      <c r="A144" s="9" t="s">
        <v>64</v>
      </c>
      <c r="B144" s="27"/>
      <c r="C144" s="35"/>
      <c r="D144" s="28"/>
      <c r="E144" s="28"/>
      <c r="F144" s="29"/>
      <c r="G144" s="28"/>
      <c r="H144" s="12">
        <f>SUM(H141:H143)</f>
        <v>2</v>
      </c>
      <c r="I144" s="30">
        <f>SUM(I141:I143)</f>
        <v>484</v>
      </c>
      <c r="J144" s="31"/>
      <c r="K144" s="32"/>
    </row>
    <row r="145" spans="1:11" ht="13.5" customHeight="1">
      <c r="C145" s="36"/>
      <c r="D145" s="14"/>
      <c r="E145" s="14"/>
      <c r="F145" s="15"/>
      <c r="G145" s="16"/>
      <c r="I145" s="16"/>
      <c r="J145" s="1"/>
    </row>
    <row r="146" spans="1:11" ht="13.5" customHeight="1">
      <c r="A146" s="17" t="s">
        <v>56</v>
      </c>
      <c r="B146" s="20">
        <v>45629</v>
      </c>
      <c r="C146" s="126">
        <v>15268</v>
      </c>
      <c r="D146" s="20">
        <v>45658</v>
      </c>
      <c r="E146" s="20">
        <v>45687</v>
      </c>
      <c r="F146" s="21">
        <f t="shared" ref="F146:F149" si="25">(E146-D146)+1</f>
        <v>30</v>
      </c>
      <c r="G146" s="22">
        <v>235</v>
      </c>
      <c r="H146" s="128">
        <v>1</v>
      </c>
      <c r="I146" s="24">
        <f>G146/30*H146*F146</f>
        <v>235</v>
      </c>
      <c r="J146" s="25" t="s">
        <v>156</v>
      </c>
      <c r="K146" s="128">
        <v>72339</v>
      </c>
    </row>
    <row r="147" spans="1:11" ht="13.5" customHeight="1">
      <c r="A147" s="17" t="s">
        <v>56</v>
      </c>
      <c r="B147" s="20">
        <v>45629</v>
      </c>
      <c r="C147" s="126">
        <v>16179</v>
      </c>
      <c r="D147" s="20">
        <v>45658</v>
      </c>
      <c r="E147" s="20">
        <v>45687</v>
      </c>
      <c r="F147" s="21">
        <f t="shared" si="25"/>
        <v>30</v>
      </c>
      <c r="G147" s="22">
        <v>235</v>
      </c>
      <c r="H147" s="128">
        <v>1</v>
      </c>
      <c r="I147" s="24">
        <f t="shared" ref="I147:I153" si="26">G147/30*H147*F147</f>
        <v>235</v>
      </c>
      <c r="J147" s="25" t="s">
        <v>157</v>
      </c>
      <c r="K147" s="128">
        <v>72339</v>
      </c>
    </row>
    <row r="148" spans="1:11" ht="13.5" customHeight="1">
      <c r="A148" s="17" t="s">
        <v>56</v>
      </c>
      <c r="B148" s="20">
        <v>45629</v>
      </c>
      <c r="C148" s="126">
        <v>15267</v>
      </c>
      <c r="D148" s="20">
        <v>45658</v>
      </c>
      <c r="E148" s="20">
        <v>45687</v>
      </c>
      <c r="F148" s="21">
        <f t="shared" si="25"/>
        <v>30</v>
      </c>
      <c r="G148" s="22">
        <v>235</v>
      </c>
      <c r="H148" s="128">
        <v>1</v>
      </c>
      <c r="I148" s="24">
        <f t="shared" si="26"/>
        <v>235</v>
      </c>
      <c r="J148" s="25" t="s">
        <v>158</v>
      </c>
      <c r="K148" s="128">
        <v>72339</v>
      </c>
    </row>
    <row r="149" spans="1:11" ht="13.5" customHeight="1">
      <c r="A149" s="17" t="s">
        <v>56</v>
      </c>
      <c r="B149" s="20">
        <v>45629</v>
      </c>
      <c r="C149" s="126">
        <v>15291</v>
      </c>
      <c r="D149" s="20">
        <v>45658</v>
      </c>
      <c r="E149" s="20">
        <v>45687</v>
      </c>
      <c r="F149" s="21">
        <f t="shared" si="25"/>
        <v>30</v>
      </c>
      <c r="G149" s="22">
        <v>235</v>
      </c>
      <c r="H149" s="128">
        <v>1</v>
      </c>
      <c r="I149" s="24">
        <f t="shared" si="26"/>
        <v>235</v>
      </c>
      <c r="J149" s="25" t="s">
        <v>159</v>
      </c>
      <c r="K149" s="128">
        <v>72339</v>
      </c>
    </row>
    <row r="150" spans="1:11" ht="13.5" customHeight="1">
      <c r="A150" s="17" t="s">
        <v>56</v>
      </c>
      <c r="B150" s="20">
        <v>45629</v>
      </c>
      <c r="C150" s="126">
        <v>15285</v>
      </c>
      <c r="D150" s="20">
        <v>45658</v>
      </c>
      <c r="E150" s="20">
        <v>45687</v>
      </c>
      <c r="F150" s="21">
        <f t="shared" ref="F150:F152" si="27">(E150-D150)+1</f>
        <v>30</v>
      </c>
      <c r="G150" s="22">
        <v>235</v>
      </c>
      <c r="H150" s="128">
        <v>1</v>
      </c>
      <c r="I150" s="24">
        <f t="shared" si="26"/>
        <v>235</v>
      </c>
      <c r="J150" s="25" t="s">
        <v>160</v>
      </c>
      <c r="K150" s="128">
        <v>72339</v>
      </c>
    </row>
    <row r="151" spans="1:11" ht="13.5" customHeight="1">
      <c r="A151" s="17" t="s">
        <v>56</v>
      </c>
      <c r="B151" s="20">
        <v>45629</v>
      </c>
      <c r="C151" s="126">
        <v>16194</v>
      </c>
      <c r="D151" s="20">
        <v>45658</v>
      </c>
      <c r="E151" s="20">
        <v>45687</v>
      </c>
      <c r="F151" s="21">
        <f t="shared" si="27"/>
        <v>30</v>
      </c>
      <c r="G151" s="22">
        <v>235</v>
      </c>
      <c r="H151" s="128">
        <v>1</v>
      </c>
      <c r="I151" s="24">
        <f t="shared" si="26"/>
        <v>235</v>
      </c>
      <c r="J151" s="25" t="s">
        <v>161</v>
      </c>
      <c r="K151" s="128">
        <v>72339</v>
      </c>
    </row>
    <row r="152" spans="1:11" ht="13.5" customHeight="1">
      <c r="A152" s="17" t="s">
        <v>56</v>
      </c>
      <c r="B152" s="20">
        <v>45629</v>
      </c>
      <c r="C152" s="126">
        <v>15310</v>
      </c>
      <c r="D152" s="20">
        <v>45658</v>
      </c>
      <c r="E152" s="20">
        <v>45687</v>
      </c>
      <c r="F152" s="21">
        <f t="shared" si="27"/>
        <v>30</v>
      </c>
      <c r="G152" s="22">
        <v>235</v>
      </c>
      <c r="H152" s="128">
        <v>1</v>
      </c>
      <c r="I152" s="24">
        <f t="shared" si="26"/>
        <v>235</v>
      </c>
      <c r="J152" s="25" t="s">
        <v>162</v>
      </c>
      <c r="K152" s="128">
        <v>72339</v>
      </c>
    </row>
    <row r="153" spans="1:11" ht="13.5" customHeight="1">
      <c r="A153" s="26"/>
      <c r="B153" s="20"/>
      <c r="C153" s="34"/>
      <c r="D153" s="20"/>
      <c r="E153" s="20"/>
      <c r="F153" s="21"/>
      <c r="G153" s="22"/>
      <c r="H153" s="23"/>
      <c r="I153" s="24">
        <f t="shared" si="26"/>
        <v>0</v>
      </c>
      <c r="J153" s="25"/>
      <c r="K153" s="23"/>
    </row>
    <row r="154" spans="1:11" ht="13.5" customHeight="1">
      <c r="A154" s="9" t="s">
        <v>65</v>
      </c>
      <c r="B154" s="27"/>
      <c r="C154" s="35"/>
      <c r="D154" s="28"/>
      <c r="E154" s="28"/>
      <c r="F154" s="29"/>
      <c r="G154" s="28"/>
      <c r="H154" s="12">
        <f>SUM(H146:H153)</f>
        <v>7</v>
      </c>
      <c r="I154" s="30">
        <f>SUM(I146:I153)</f>
        <v>1645</v>
      </c>
      <c r="J154" s="31"/>
      <c r="K154" s="32"/>
    </row>
    <row r="155" spans="1:11" ht="13.5" customHeight="1">
      <c r="C155" s="36"/>
      <c r="D155" s="14"/>
      <c r="E155" s="14"/>
      <c r="F155" s="15"/>
      <c r="G155" s="16"/>
      <c r="I155" s="16"/>
      <c r="J155" s="1"/>
    </row>
    <row r="156" spans="1:11" ht="13.5" customHeight="1">
      <c r="A156" s="17" t="s">
        <v>56</v>
      </c>
      <c r="B156" s="20">
        <v>45512</v>
      </c>
      <c r="C156" s="33">
        <v>14895</v>
      </c>
      <c r="D156" s="20">
        <v>45658</v>
      </c>
      <c r="E156" s="20">
        <v>45687</v>
      </c>
      <c r="F156" s="21">
        <f>(E156-D156)+1</f>
        <v>30</v>
      </c>
      <c r="G156" s="22">
        <v>235</v>
      </c>
      <c r="H156" s="23">
        <v>1</v>
      </c>
      <c r="I156" s="24">
        <f>G156/30*H156*F156</f>
        <v>235</v>
      </c>
      <c r="J156" s="25"/>
      <c r="K156" s="23">
        <v>68468</v>
      </c>
    </row>
    <row r="157" spans="1:11" ht="13.5" customHeight="1">
      <c r="A157" s="17" t="s">
        <v>56</v>
      </c>
      <c r="B157" s="20">
        <v>45512</v>
      </c>
      <c r="C157" s="33">
        <v>14880</v>
      </c>
      <c r="D157" s="20">
        <v>45658</v>
      </c>
      <c r="E157" s="20">
        <v>45687</v>
      </c>
      <c r="F157" s="21">
        <f>(E157-D157)+1</f>
        <v>30</v>
      </c>
      <c r="G157" s="22">
        <v>235</v>
      </c>
      <c r="H157" s="23">
        <v>1</v>
      </c>
      <c r="I157" s="24">
        <f t="shared" ref="I157:I165" si="28">G157/30*H157*F157</f>
        <v>235</v>
      </c>
      <c r="J157" s="25"/>
      <c r="K157" s="23">
        <v>68468</v>
      </c>
    </row>
    <row r="158" spans="1:11" ht="13.5" customHeight="1">
      <c r="A158" s="17" t="s">
        <v>56</v>
      </c>
      <c r="B158" s="20">
        <v>45512</v>
      </c>
      <c r="C158" s="33">
        <v>14883</v>
      </c>
      <c r="D158" s="20">
        <v>45658</v>
      </c>
      <c r="E158" s="20">
        <v>45687</v>
      </c>
      <c r="F158" s="21">
        <f>(E158-D158)+1</f>
        <v>30</v>
      </c>
      <c r="G158" s="22">
        <v>235</v>
      </c>
      <c r="H158" s="23">
        <v>1</v>
      </c>
      <c r="I158" s="24">
        <f t="shared" si="28"/>
        <v>235</v>
      </c>
      <c r="J158" s="25"/>
      <c r="K158" s="23">
        <v>68468</v>
      </c>
    </row>
    <row r="159" spans="1:11" ht="13.5" customHeight="1">
      <c r="A159" s="17" t="s">
        <v>56</v>
      </c>
      <c r="B159" s="20">
        <v>45512</v>
      </c>
      <c r="C159" s="33">
        <v>14417</v>
      </c>
      <c r="D159" s="20">
        <v>45658</v>
      </c>
      <c r="E159" s="20">
        <v>45687</v>
      </c>
      <c r="F159" s="21">
        <f>(E159-D159)+1</f>
        <v>30</v>
      </c>
      <c r="G159" s="22">
        <v>235</v>
      </c>
      <c r="H159" s="23">
        <v>1</v>
      </c>
      <c r="I159" s="24">
        <f t="shared" si="28"/>
        <v>235</v>
      </c>
      <c r="J159" s="25"/>
      <c r="K159" s="23">
        <v>68466</v>
      </c>
    </row>
    <row r="160" spans="1:11" ht="13.5" customHeight="1">
      <c r="A160" s="17" t="s">
        <v>56</v>
      </c>
      <c r="B160" s="20">
        <v>45512</v>
      </c>
      <c r="C160" s="33">
        <v>14432</v>
      </c>
      <c r="D160" s="20">
        <v>45658</v>
      </c>
      <c r="E160" s="20">
        <v>45687</v>
      </c>
      <c r="F160" s="21">
        <f t="shared" ref="F160:F164" si="29">(E160-D160)+1</f>
        <v>30</v>
      </c>
      <c r="G160" s="22">
        <v>235</v>
      </c>
      <c r="H160" s="23">
        <v>1</v>
      </c>
      <c r="I160" s="24">
        <f t="shared" si="28"/>
        <v>235</v>
      </c>
      <c r="J160" s="25"/>
      <c r="K160" s="23">
        <v>68466</v>
      </c>
    </row>
    <row r="161" spans="1:11" ht="13.5" customHeight="1">
      <c r="A161" s="17" t="s">
        <v>56</v>
      </c>
      <c r="B161" s="20">
        <v>45512</v>
      </c>
      <c r="C161" s="33">
        <v>14887</v>
      </c>
      <c r="D161" s="20">
        <v>45658</v>
      </c>
      <c r="E161" s="20">
        <v>45687</v>
      </c>
      <c r="F161" s="21">
        <f t="shared" si="29"/>
        <v>30</v>
      </c>
      <c r="G161" s="22">
        <v>235</v>
      </c>
      <c r="H161" s="23">
        <v>1</v>
      </c>
      <c r="I161" s="24">
        <f t="shared" si="28"/>
        <v>235</v>
      </c>
      <c r="J161" s="25"/>
      <c r="K161" s="23">
        <v>68466</v>
      </c>
    </row>
    <row r="162" spans="1:11" ht="13.5" customHeight="1">
      <c r="A162" s="17" t="s">
        <v>31</v>
      </c>
      <c r="B162" s="20">
        <v>45512</v>
      </c>
      <c r="C162" s="33">
        <v>8984</v>
      </c>
      <c r="D162" s="20">
        <v>45658</v>
      </c>
      <c r="E162" s="20">
        <v>45687</v>
      </c>
      <c r="F162" s="21">
        <f t="shared" si="29"/>
        <v>30</v>
      </c>
      <c r="G162" s="22">
        <v>242</v>
      </c>
      <c r="H162" s="23">
        <v>1</v>
      </c>
      <c r="I162" s="24">
        <f t="shared" si="28"/>
        <v>242</v>
      </c>
      <c r="J162" s="25"/>
      <c r="K162" s="23"/>
    </row>
    <row r="163" spans="1:11" ht="13.5" customHeight="1">
      <c r="A163" s="17" t="s">
        <v>31</v>
      </c>
      <c r="B163" s="20">
        <v>45512</v>
      </c>
      <c r="C163" s="33">
        <v>7973</v>
      </c>
      <c r="D163" s="20">
        <v>45658</v>
      </c>
      <c r="E163" s="20">
        <v>45687</v>
      </c>
      <c r="F163" s="21">
        <f t="shared" si="29"/>
        <v>30</v>
      </c>
      <c r="G163" s="22">
        <v>242</v>
      </c>
      <c r="H163" s="23">
        <v>1</v>
      </c>
      <c r="I163" s="24">
        <f t="shared" si="28"/>
        <v>242</v>
      </c>
      <c r="J163" s="25"/>
      <c r="K163" s="23"/>
    </row>
    <row r="164" spans="1:11" ht="13.5" customHeight="1">
      <c r="A164" s="17" t="s">
        <v>54</v>
      </c>
      <c r="B164" s="20">
        <v>45512</v>
      </c>
      <c r="C164" s="33">
        <v>2295</v>
      </c>
      <c r="D164" s="20">
        <v>45658</v>
      </c>
      <c r="E164" s="20">
        <v>45687</v>
      </c>
      <c r="F164" s="21">
        <f t="shared" si="29"/>
        <v>30</v>
      </c>
      <c r="G164" s="22">
        <v>447</v>
      </c>
      <c r="H164" s="23">
        <v>1</v>
      </c>
      <c r="I164" s="24">
        <f t="shared" si="28"/>
        <v>447</v>
      </c>
      <c r="J164" s="25"/>
      <c r="K164" s="23"/>
    </row>
    <row r="165" spans="1:11" ht="13.5" customHeight="1">
      <c r="A165" s="26"/>
      <c r="B165" s="20"/>
      <c r="C165" s="34"/>
      <c r="D165" s="20"/>
      <c r="E165" s="20"/>
      <c r="F165" s="21"/>
      <c r="G165" s="22"/>
      <c r="H165" s="23"/>
      <c r="I165" s="24">
        <f t="shared" si="28"/>
        <v>0</v>
      </c>
      <c r="J165" s="25"/>
      <c r="K165" s="23"/>
    </row>
    <row r="166" spans="1:11" ht="13.5" customHeight="1">
      <c r="A166" s="9" t="s">
        <v>66</v>
      </c>
      <c r="B166" s="27"/>
      <c r="C166" s="35"/>
      <c r="D166" s="28"/>
      <c r="E166" s="28"/>
      <c r="F166" s="29"/>
      <c r="G166" s="28"/>
      <c r="H166" s="12">
        <f>SUM(H156:H165)</f>
        <v>9</v>
      </c>
      <c r="I166" s="30">
        <f>SUM(I156:I165)</f>
        <v>2341</v>
      </c>
      <c r="J166" s="31"/>
      <c r="K166" s="32"/>
    </row>
    <row r="167" spans="1:11" ht="13.5" customHeight="1">
      <c r="C167" s="36"/>
      <c r="D167" s="14"/>
      <c r="E167" s="14"/>
      <c r="F167" s="15"/>
      <c r="G167" s="16"/>
      <c r="I167" s="16"/>
      <c r="J167" s="1"/>
    </row>
    <row r="168" spans="1:11" ht="13.5" customHeight="1">
      <c r="A168" s="17" t="s">
        <v>56</v>
      </c>
      <c r="B168" s="20">
        <v>45566</v>
      </c>
      <c r="C168" s="126">
        <v>2104</v>
      </c>
      <c r="D168" s="20">
        <v>45658</v>
      </c>
      <c r="E168" s="20">
        <v>45687</v>
      </c>
      <c r="F168" s="21">
        <f t="shared" ref="F168:F174" si="30">(E168-D168)+1</f>
        <v>30</v>
      </c>
      <c r="G168" s="22">
        <v>235</v>
      </c>
      <c r="H168" s="82">
        <v>1</v>
      </c>
      <c r="I168" s="24">
        <f>G168/30*H168*F168</f>
        <v>235</v>
      </c>
      <c r="J168" s="25"/>
      <c r="K168" s="124"/>
    </row>
    <row r="169" spans="1:11" ht="13.5" customHeight="1">
      <c r="A169" s="17" t="s">
        <v>56</v>
      </c>
      <c r="B169" s="20">
        <v>45566</v>
      </c>
      <c r="C169" s="126">
        <v>2191</v>
      </c>
      <c r="D169" s="20">
        <v>45658</v>
      </c>
      <c r="E169" s="20">
        <v>45687</v>
      </c>
      <c r="F169" s="21">
        <f t="shared" si="30"/>
        <v>30</v>
      </c>
      <c r="G169" s="22">
        <v>235</v>
      </c>
      <c r="H169" s="82">
        <v>1</v>
      </c>
      <c r="I169" s="24">
        <f t="shared" ref="I169:I172" si="31">G169/30*H169*F169</f>
        <v>235</v>
      </c>
      <c r="J169" s="25"/>
      <c r="K169" s="124"/>
    </row>
    <row r="170" spans="1:11" ht="13.5" customHeight="1">
      <c r="A170" s="17" t="s">
        <v>56</v>
      </c>
      <c r="B170" s="20">
        <v>45566</v>
      </c>
      <c r="C170" s="126">
        <v>1884</v>
      </c>
      <c r="D170" s="20">
        <v>45658</v>
      </c>
      <c r="E170" s="20">
        <v>45687</v>
      </c>
      <c r="F170" s="21">
        <f t="shared" si="30"/>
        <v>30</v>
      </c>
      <c r="G170" s="22">
        <v>235</v>
      </c>
      <c r="H170" s="82">
        <v>1</v>
      </c>
      <c r="I170" s="24">
        <f t="shared" si="31"/>
        <v>235</v>
      </c>
      <c r="J170" s="25"/>
      <c r="K170" s="124"/>
    </row>
    <row r="171" spans="1:11" ht="13.5" customHeight="1">
      <c r="A171" s="17" t="s">
        <v>56</v>
      </c>
      <c r="B171" s="20">
        <v>45566</v>
      </c>
      <c r="C171" s="126">
        <v>1903</v>
      </c>
      <c r="D171" s="20">
        <v>45658</v>
      </c>
      <c r="E171" s="20">
        <v>45687</v>
      </c>
      <c r="F171" s="21">
        <f t="shared" si="30"/>
        <v>30</v>
      </c>
      <c r="G171" s="22">
        <v>235</v>
      </c>
      <c r="H171" s="82">
        <v>1</v>
      </c>
      <c r="I171" s="24">
        <f t="shared" si="31"/>
        <v>235</v>
      </c>
      <c r="J171" s="25"/>
      <c r="K171" s="124"/>
    </row>
    <row r="172" spans="1:11" ht="13.5" customHeight="1">
      <c r="A172" s="17" t="s">
        <v>31</v>
      </c>
      <c r="B172" s="20">
        <v>45566</v>
      </c>
      <c r="C172" s="126">
        <v>2002</v>
      </c>
      <c r="D172" s="20">
        <v>45658</v>
      </c>
      <c r="E172" s="20">
        <v>45687</v>
      </c>
      <c r="F172" s="21">
        <f t="shared" si="30"/>
        <v>30</v>
      </c>
      <c r="G172" s="22">
        <v>242</v>
      </c>
      <c r="H172" s="82">
        <v>1</v>
      </c>
      <c r="I172" s="24">
        <f t="shared" si="31"/>
        <v>242</v>
      </c>
      <c r="J172" s="25"/>
      <c r="K172" s="124"/>
    </row>
    <row r="173" spans="1:11" ht="13.5" customHeight="1">
      <c r="A173" s="17" t="s">
        <v>54</v>
      </c>
      <c r="B173" s="20">
        <v>45566</v>
      </c>
      <c r="C173" s="126">
        <v>4190</v>
      </c>
      <c r="D173" s="20">
        <v>45658</v>
      </c>
      <c r="E173" s="20">
        <v>45687</v>
      </c>
      <c r="F173" s="21">
        <f t="shared" si="30"/>
        <v>30</v>
      </c>
      <c r="G173" s="22">
        <v>447</v>
      </c>
      <c r="H173" s="82">
        <v>1</v>
      </c>
      <c r="I173" s="24">
        <v>447</v>
      </c>
      <c r="J173" s="25"/>
      <c r="K173" s="124"/>
    </row>
    <row r="174" spans="1:11" ht="13.5" customHeight="1">
      <c r="A174" s="17" t="s">
        <v>54</v>
      </c>
      <c r="B174" s="20">
        <v>45566</v>
      </c>
      <c r="C174" s="126">
        <v>2275</v>
      </c>
      <c r="D174" s="20">
        <v>45658</v>
      </c>
      <c r="E174" s="20">
        <v>45687</v>
      </c>
      <c r="F174" s="21">
        <f t="shared" si="30"/>
        <v>30</v>
      </c>
      <c r="G174" s="22">
        <v>447</v>
      </c>
      <c r="H174" s="116">
        <v>1</v>
      </c>
      <c r="I174" s="24">
        <v>447</v>
      </c>
      <c r="J174" s="25"/>
      <c r="K174" s="124"/>
    </row>
    <row r="175" spans="1:11" ht="13.5" customHeight="1">
      <c r="A175" s="26"/>
      <c r="B175" s="20"/>
      <c r="C175" s="26"/>
      <c r="D175" s="20"/>
      <c r="E175" s="20"/>
      <c r="F175" s="21"/>
      <c r="G175" s="22"/>
      <c r="H175" s="82"/>
      <c r="I175" s="24">
        <f t="shared" ref="I175" si="32">G175/24*H175*F175</f>
        <v>0</v>
      </c>
      <c r="J175" s="25"/>
      <c r="K175" s="124"/>
    </row>
    <row r="176" spans="1:11" ht="13.5" customHeight="1">
      <c r="A176" s="83" t="s">
        <v>144</v>
      </c>
      <c r="B176" s="27"/>
      <c r="C176" s="27"/>
      <c r="D176" s="28"/>
      <c r="E176" s="28"/>
      <c r="F176" s="29"/>
      <c r="G176" s="28"/>
      <c r="H176" s="81">
        <f>SUM(H168:H175)</f>
        <v>7</v>
      </c>
      <c r="I176" s="30">
        <f>SUM(I168:I175)</f>
        <v>2076</v>
      </c>
      <c r="J176" s="31"/>
      <c r="K176" s="32"/>
    </row>
    <row r="177" spans="1:11" ht="13.5" customHeight="1">
      <c r="C177" s="36"/>
      <c r="D177" s="14"/>
      <c r="E177" s="14"/>
      <c r="F177" s="15"/>
      <c r="G177" s="16"/>
      <c r="I177" s="16"/>
      <c r="J177" s="1"/>
    </row>
    <row r="178" spans="1:11" ht="13.5" customHeight="1">
      <c r="A178" s="17" t="s">
        <v>56</v>
      </c>
      <c r="B178" s="20">
        <v>45512</v>
      </c>
      <c r="C178" s="33">
        <v>1904</v>
      </c>
      <c r="D178" s="20">
        <v>45658</v>
      </c>
      <c r="E178" s="20">
        <v>45687</v>
      </c>
      <c r="F178" s="21">
        <f t="shared" ref="F178:F183" si="33">(E178-D178)+1</f>
        <v>30</v>
      </c>
      <c r="G178" s="22">
        <v>235</v>
      </c>
      <c r="H178" s="23">
        <v>1</v>
      </c>
      <c r="I178" s="24">
        <f>G178/30*H178*F178</f>
        <v>235</v>
      </c>
      <c r="J178" s="25" t="s">
        <v>35</v>
      </c>
      <c r="K178" s="23"/>
    </row>
    <row r="179" spans="1:11" ht="13.5" customHeight="1">
      <c r="A179" s="17" t="s">
        <v>56</v>
      </c>
      <c r="B179" s="20">
        <v>45512</v>
      </c>
      <c r="C179" s="33">
        <v>214</v>
      </c>
      <c r="D179" s="20">
        <v>45658</v>
      </c>
      <c r="E179" s="20">
        <v>45687</v>
      </c>
      <c r="F179" s="21">
        <f t="shared" si="33"/>
        <v>30</v>
      </c>
      <c r="G179" s="22">
        <v>235</v>
      </c>
      <c r="H179" s="23">
        <v>1</v>
      </c>
      <c r="I179" s="24">
        <f t="shared" ref="I179:I183" si="34">G179/30*H179*F179</f>
        <v>235</v>
      </c>
      <c r="J179" s="25" t="s">
        <v>36</v>
      </c>
      <c r="K179" s="23"/>
    </row>
    <row r="180" spans="1:11" ht="13.5" customHeight="1">
      <c r="A180" s="17" t="s">
        <v>56</v>
      </c>
      <c r="B180" s="20">
        <v>45512</v>
      </c>
      <c r="C180" s="33">
        <v>217</v>
      </c>
      <c r="D180" s="20">
        <v>45658</v>
      </c>
      <c r="E180" s="20">
        <v>45687</v>
      </c>
      <c r="F180" s="21">
        <f t="shared" si="33"/>
        <v>30</v>
      </c>
      <c r="G180" s="22">
        <v>235</v>
      </c>
      <c r="H180" s="23">
        <v>1</v>
      </c>
      <c r="I180" s="24">
        <f t="shared" si="34"/>
        <v>235</v>
      </c>
      <c r="J180" s="25" t="s">
        <v>41</v>
      </c>
      <c r="K180" s="23"/>
    </row>
    <row r="181" spans="1:11" ht="13.5" customHeight="1">
      <c r="A181" s="17" t="s">
        <v>56</v>
      </c>
      <c r="B181" s="20">
        <v>45512</v>
      </c>
      <c r="C181" s="33">
        <v>2106</v>
      </c>
      <c r="D181" s="20">
        <v>45658</v>
      </c>
      <c r="E181" s="20">
        <v>45687</v>
      </c>
      <c r="F181" s="21">
        <f t="shared" si="33"/>
        <v>30</v>
      </c>
      <c r="G181" s="22">
        <v>235</v>
      </c>
      <c r="H181" s="23">
        <v>1</v>
      </c>
      <c r="I181" s="24">
        <f t="shared" si="34"/>
        <v>235</v>
      </c>
      <c r="J181" s="25" t="s">
        <v>29</v>
      </c>
      <c r="K181" s="23"/>
    </row>
    <row r="182" spans="1:11" ht="13.5" customHeight="1">
      <c r="A182" s="17" t="s">
        <v>31</v>
      </c>
      <c r="B182" s="20">
        <v>45512</v>
      </c>
      <c r="C182" s="33">
        <v>1860</v>
      </c>
      <c r="D182" s="20">
        <v>45658</v>
      </c>
      <c r="E182" s="20">
        <v>45687</v>
      </c>
      <c r="F182" s="21">
        <f t="shared" si="33"/>
        <v>30</v>
      </c>
      <c r="G182" s="22">
        <v>242</v>
      </c>
      <c r="H182" s="23">
        <v>1</v>
      </c>
      <c r="I182" s="24">
        <f t="shared" si="34"/>
        <v>242</v>
      </c>
      <c r="J182" s="25" t="s">
        <v>32</v>
      </c>
      <c r="K182" s="23"/>
    </row>
    <row r="183" spans="1:11" ht="13.5" customHeight="1">
      <c r="A183" s="17" t="s">
        <v>31</v>
      </c>
      <c r="B183" s="20">
        <v>45512</v>
      </c>
      <c r="C183" s="33">
        <v>3644</v>
      </c>
      <c r="D183" s="20">
        <v>45658</v>
      </c>
      <c r="E183" s="20">
        <v>45687</v>
      </c>
      <c r="F183" s="21">
        <f t="shared" si="33"/>
        <v>30</v>
      </c>
      <c r="G183" s="22">
        <v>242</v>
      </c>
      <c r="H183" s="23">
        <v>1</v>
      </c>
      <c r="I183" s="24">
        <f t="shared" si="34"/>
        <v>242</v>
      </c>
      <c r="J183" s="25" t="s">
        <v>33</v>
      </c>
      <c r="K183" s="23"/>
    </row>
    <row r="184" spans="1:11" ht="13.5" customHeight="1">
      <c r="A184" s="26"/>
      <c r="B184" s="20"/>
      <c r="C184" s="26"/>
      <c r="D184" s="20"/>
      <c r="E184" s="20"/>
      <c r="F184" s="21"/>
      <c r="G184" s="22"/>
      <c r="H184" s="23"/>
      <c r="I184" s="24">
        <f t="shared" ref="I184" si="35">G184/24*H184*F184</f>
        <v>0</v>
      </c>
      <c r="J184" s="25"/>
      <c r="K184" s="23"/>
    </row>
    <row r="185" spans="1:11" ht="13.5" customHeight="1">
      <c r="A185" s="9" t="s">
        <v>67</v>
      </c>
      <c r="B185" s="27"/>
      <c r="C185" s="27"/>
      <c r="D185" s="28"/>
      <c r="E185" s="28"/>
      <c r="F185" s="29"/>
      <c r="G185" s="28"/>
      <c r="H185" s="12">
        <f>SUM(H178:H184)</f>
        <v>6</v>
      </c>
      <c r="I185" s="30">
        <f>SUM(I178:I184)</f>
        <v>1424</v>
      </c>
      <c r="J185" s="31"/>
      <c r="K185" s="32"/>
    </row>
    <row r="186" spans="1:11" ht="13.5" customHeight="1">
      <c r="D186" s="14"/>
      <c r="E186" s="14"/>
      <c r="F186" s="15"/>
      <c r="G186" s="16"/>
      <c r="I186" s="16"/>
      <c r="J186" s="1"/>
    </row>
    <row r="187" spans="1:11" ht="13.5" customHeight="1">
      <c r="A187" s="17" t="s">
        <v>56</v>
      </c>
      <c r="B187" s="20">
        <v>45512</v>
      </c>
      <c r="C187" s="33">
        <v>8960</v>
      </c>
      <c r="D187" s="20">
        <v>45658</v>
      </c>
      <c r="E187" s="20">
        <v>45687</v>
      </c>
      <c r="F187" s="21">
        <f>(E187-D187)+1</f>
        <v>30</v>
      </c>
      <c r="G187" s="22">
        <v>235</v>
      </c>
      <c r="H187" s="23">
        <v>1</v>
      </c>
      <c r="I187" s="24">
        <f>G187/30*H187*F187</f>
        <v>235</v>
      </c>
      <c r="J187" s="25" t="s">
        <v>35</v>
      </c>
      <c r="K187" s="23"/>
    </row>
    <row r="188" spans="1:11" ht="13.5" customHeight="1">
      <c r="A188" s="17" t="s">
        <v>56</v>
      </c>
      <c r="B188" s="20">
        <v>45512</v>
      </c>
      <c r="C188" s="33">
        <v>8958</v>
      </c>
      <c r="D188" s="20">
        <v>45658</v>
      </c>
      <c r="E188" s="20">
        <v>45687</v>
      </c>
      <c r="F188" s="21">
        <f>(E188-D188)+1</f>
        <v>30</v>
      </c>
      <c r="G188" s="22">
        <v>235</v>
      </c>
      <c r="H188" s="23">
        <v>1</v>
      </c>
      <c r="I188" s="24">
        <f t="shared" ref="I188:I199" si="36">G188/30*H188*F188</f>
        <v>235</v>
      </c>
      <c r="J188" s="25" t="s">
        <v>41</v>
      </c>
      <c r="K188" s="23"/>
    </row>
    <row r="189" spans="1:11" ht="13.5" customHeight="1">
      <c r="A189" s="17" t="s">
        <v>56</v>
      </c>
      <c r="B189" s="20">
        <v>45512</v>
      </c>
      <c r="C189" s="33">
        <v>8956</v>
      </c>
      <c r="D189" s="20">
        <v>45658</v>
      </c>
      <c r="E189" s="20">
        <v>45687</v>
      </c>
      <c r="F189" s="21">
        <f t="shared" ref="F189:F199" si="37">(E189-D189)+1</f>
        <v>30</v>
      </c>
      <c r="G189" s="22">
        <v>235</v>
      </c>
      <c r="H189" s="23">
        <v>1</v>
      </c>
      <c r="I189" s="24">
        <f t="shared" si="36"/>
        <v>235</v>
      </c>
      <c r="J189" s="25" t="s">
        <v>36</v>
      </c>
      <c r="K189" s="23"/>
    </row>
    <row r="190" spans="1:11" ht="13.5" customHeight="1">
      <c r="A190" s="17" t="s">
        <v>56</v>
      </c>
      <c r="B190" s="20">
        <v>45512</v>
      </c>
      <c r="C190" s="33">
        <v>8955</v>
      </c>
      <c r="D190" s="20">
        <v>45658</v>
      </c>
      <c r="E190" s="20">
        <v>45687</v>
      </c>
      <c r="F190" s="21">
        <f t="shared" si="37"/>
        <v>30</v>
      </c>
      <c r="G190" s="22">
        <v>235</v>
      </c>
      <c r="H190" s="23">
        <v>1</v>
      </c>
      <c r="I190" s="24">
        <f t="shared" si="36"/>
        <v>235</v>
      </c>
      <c r="J190" s="25" t="s">
        <v>37</v>
      </c>
      <c r="K190" s="23"/>
    </row>
    <row r="191" spans="1:11" ht="13.5" customHeight="1">
      <c r="A191" s="17" t="s">
        <v>56</v>
      </c>
      <c r="B191" s="20">
        <v>45512</v>
      </c>
      <c r="C191" s="33">
        <v>8957</v>
      </c>
      <c r="D191" s="20">
        <v>45658</v>
      </c>
      <c r="E191" s="20">
        <v>45687</v>
      </c>
      <c r="F191" s="21">
        <f t="shared" si="37"/>
        <v>30</v>
      </c>
      <c r="G191" s="22">
        <v>235</v>
      </c>
      <c r="H191" s="23">
        <v>1</v>
      </c>
      <c r="I191" s="24">
        <f t="shared" si="36"/>
        <v>235</v>
      </c>
      <c r="J191" s="25" t="s">
        <v>52</v>
      </c>
      <c r="K191" s="23"/>
    </row>
    <row r="192" spans="1:11" ht="13.5" customHeight="1">
      <c r="A192" s="17" t="s">
        <v>56</v>
      </c>
      <c r="B192" s="20">
        <v>45512</v>
      </c>
      <c r="C192" s="33">
        <v>8174</v>
      </c>
      <c r="D192" s="20">
        <v>45658</v>
      </c>
      <c r="E192" s="20">
        <v>45687</v>
      </c>
      <c r="F192" s="21">
        <f t="shared" si="37"/>
        <v>30</v>
      </c>
      <c r="G192" s="22">
        <v>235</v>
      </c>
      <c r="H192" s="23">
        <v>1</v>
      </c>
      <c r="I192" s="24">
        <f t="shared" si="36"/>
        <v>235</v>
      </c>
      <c r="J192" s="25" t="s">
        <v>68</v>
      </c>
      <c r="K192" s="23"/>
    </row>
    <row r="193" spans="1:11" ht="13.5" customHeight="1">
      <c r="A193" s="17" t="s">
        <v>56</v>
      </c>
      <c r="B193" s="20">
        <v>45512</v>
      </c>
      <c r="C193" s="33">
        <v>8346</v>
      </c>
      <c r="D193" s="20">
        <v>45658</v>
      </c>
      <c r="E193" s="20">
        <v>45687</v>
      </c>
      <c r="F193" s="21">
        <f t="shared" si="37"/>
        <v>30</v>
      </c>
      <c r="G193" s="22">
        <v>235</v>
      </c>
      <c r="H193" s="23">
        <v>1</v>
      </c>
      <c r="I193" s="24">
        <f t="shared" si="36"/>
        <v>235</v>
      </c>
      <c r="J193" s="25" t="s">
        <v>69</v>
      </c>
      <c r="K193" s="23"/>
    </row>
    <row r="194" spans="1:11" ht="13.5" customHeight="1">
      <c r="A194" s="17" t="s">
        <v>39</v>
      </c>
      <c r="B194" s="20">
        <v>45512</v>
      </c>
      <c r="C194" s="33">
        <v>8485</v>
      </c>
      <c r="D194" s="20">
        <v>45658</v>
      </c>
      <c r="E194" s="20">
        <v>45687</v>
      </c>
      <c r="F194" s="21">
        <f t="shared" si="37"/>
        <v>30</v>
      </c>
      <c r="G194" s="22">
        <v>238</v>
      </c>
      <c r="H194" s="23">
        <v>1</v>
      </c>
      <c r="I194" s="24">
        <f t="shared" si="36"/>
        <v>238</v>
      </c>
      <c r="J194" s="25" t="s">
        <v>70</v>
      </c>
      <c r="K194" s="23"/>
    </row>
    <row r="195" spans="1:11" ht="13.5" customHeight="1">
      <c r="A195" s="17" t="s">
        <v>39</v>
      </c>
      <c r="B195" s="20">
        <v>45512</v>
      </c>
      <c r="C195" s="33">
        <v>8467</v>
      </c>
      <c r="D195" s="20">
        <v>45658</v>
      </c>
      <c r="E195" s="20">
        <v>45687</v>
      </c>
      <c r="F195" s="21">
        <f t="shared" si="37"/>
        <v>30</v>
      </c>
      <c r="G195" s="22">
        <v>238</v>
      </c>
      <c r="H195" s="23">
        <v>1</v>
      </c>
      <c r="I195" s="24">
        <f t="shared" si="36"/>
        <v>238</v>
      </c>
      <c r="J195" s="25" t="s">
        <v>38</v>
      </c>
      <c r="K195" s="23"/>
    </row>
    <row r="196" spans="1:11" ht="13.5" customHeight="1">
      <c r="A196" s="17" t="s">
        <v>39</v>
      </c>
      <c r="B196" s="20">
        <v>45512</v>
      </c>
      <c r="C196" s="33">
        <v>8495</v>
      </c>
      <c r="D196" s="20">
        <v>45658</v>
      </c>
      <c r="E196" s="20">
        <v>45687</v>
      </c>
      <c r="F196" s="21">
        <f t="shared" si="37"/>
        <v>30</v>
      </c>
      <c r="G196" s="22">
        <v>238</v>
      </c>
      <c r="H196" s="23">
        <v>1</v>
      </c>
      <c r="I196" s="24">
        <f t="shared" si="36"/>
        <v>238</v>
      </c>
      <c r="J196" s="25" t="s">
        <v>29</v>
      </c>
      <c r="K196" s="23"/>
    </row>
    <row r="197" spans="1:11" ht="13.5" customHeight="1">
      <c r="A197" s="17" t="s">
        <v>39</v>
      </c>
      <c r="B197" s="20">
        <v>45512</v>
      </c>
      <c r="C197" s="33">
        <v>8473</v>
      </c>
      <c r="D197" s="20">
        <v>45658</v>
      </c>
      <c r="E197" s="20">
        <v>45687</v>
      </c>
      <c r="F197" s="21">
        <f t="shared" si="37"/>
        <v>30</v>
      </c>
      <c r="G197" s="22">
        <v>238</v>
      </c>
      <c r="H197" s="23">
        <v>1</v>
      </c>
      <c r="I197" s="24">
        <f t="shared" si="36"/>
        <v>238</v>
      </c>
      <c r="J197" s="25" t="s">
        <v>71</v>
      </c>
      <c r="K197" s="23"/>
    </row>
    <row r="198" spans="1:11" ht="13.5" customHeight="1">
      <c r="A198" s="17" t="s">
        <v>54</v>
      </c>
      <c r="B198" s="20">
        <v>45512</v>
      </c>
      <c r="C198" s="33">
        <v>8948</v>
      </c>
      <c r="D198" s="20">
        <v>45658</v>
      </c>
      <c r="E198" s="20">
        <v>45687</v>
      </c>
      <c r="F198" s="21">
        <f t="shared" si="37"/>
        <v>30</v>
      </c>
      <c r="G198" s="22">
        <v>447</v>
      </c>
      <c r="H198" s="23">
        <v>1</v>
      </c>
      <c r="I198" s="24">
        <f t="shared" si="36"/>
        <v>447</v>
      </c>
      <c r="J198" s="25" t="s">
        <v>72</v>
      </c>
      <c r="K198" s="23"/>
    </row>
    <row r="199" spans="1:11" ht="13.5" customHeight="1">
      <c r="A199" s="17" t="s">
        <v>54</v>
      </c>
      <c r="B199" s="20">
        <v>45512</v>
      </c>
      <c r="C199" s="33">
        <v>8947</v>
      </c>
      <c r="D199" s="20">
        <v>45658</v>
      </c>
      <c r="E199" s="20">
        <v>45687</v>
      </c>
      <c r="F199" s="21">
        <f t="shared" si="37"/>
        <v>30</v>
      </c>
      <c r="G199" s="22">
        <v>447</v>
      </c>
      <c r="H199" s="23">
        <v>1</v>
      </c>
      <c r="I199" s="24">
        <f t="shared" si="36"/>
        <v>447</v>
      </c>
      <c r="J199" s="25" t="s">
        <v>33</v>
      </c>
      <c r="K199" s="23"/>
    </row>
    <row r="200" spans="1:11" ht="13.5" customHeight="1">
      <c r="A200" s="17"/>
      <c r="B200" s="18"/>
      <c r="C200" s="33"/>
      <c r="D200" s="20"/>
      <c r="E200" s="20"/>
      <c r="F200" s="21"/>
      <c r="G200" s="22"/>
      <c r="H200" s="23"/>
      <c r="I200" s="24"/>
      <c r="J200" s="25"/>
      <c r="K200" s="23"/>
    </row>
    <row r="201" spans="1:11" ht="13.5" customHeight="1">
      <c r="A201" s="9" t="s">
        <v>73</v>
      </c>
      <c r="B201" s="27"/>
      <c r="C201" s="35"/>
      <c r="D201" s="28"/>
      <c r="E201" s="28"/>
      <c r="F201" s="29"/>
      <c r="G201" s="28"/>
      <c r="H201" s="12">
        <f>SUM(H187:H200)</f>
        <v>13</v>
      </c>
      <c r="I201" s="30">
        <f>SUM(I187:I200)</f>
        <v>3491</v>
      </c>
      <c r="J201" s="31"/>
      <c r="K201" s="32"/>
    </row>
    <row r="202" spans="1:11" ht="13.5" customHeight="1">
      <c r="C202" s="36"/>
      <c r="D202" s="14"/>
      <c r="E202" s="14"/>
      <c r="F202" s="15"/>
      <c r="G202" s="16"/>
      <c r="I202" s="16"/>
      <c r="J202" s="1"/>
    </row>
    <row r="203" spans="1:11" ht="13.5" customHeight="1">
      <c r="A203" s="17" t="s">
        <v>56</v>
      </c>
      <c r="B203" s="20">
        <v>45512</v>
      </c>
      <c r="C203" s="33">
        <v>9868</v>
      </c>
      <c r="D203" s="20">
        <v>45658</v>
      </c>
      <c r="E203" s="20">
        <v>45687</v>
      </c>
      <c r="F203" s="21">
        <f>(E203-D203)+1</f>
        <v>30</v>
      </c>
      <c r="G203" s="22">
        <v>235</v>
      </c>
      <c r="H203" s="23">
        <v>1</v>
      </c>
      <c r="I203" s="24">
        <f>G203/30*H203*F203</f>
        <v>235</v>
      </c>
      <c r="J203" s="25" t="s">
        <v>35</v>
      </c>
      <c r="K203" s="124"/>
    </row>
    <row r="204" spans="1:11" ht="13.5" customHeight="1">
      <c r="A204" s="17" t="s">
        <v>56</v>
      </c>
      <c r="B204" s="20">
        <v>45512</v>
      </c>
      <c r="C204" s="33">
        <v>9869</v>
      </c>
      <c r="D204" s="20">
        <v>45658</v>
      </c>
      <c r="E204" s="20">
        <v>45687</v>
      </c>
      <c r="F204" s="21">
        <f>(E204-D204)+1</f>
        <v>30</v>
      </c>
      <c r="G204" s="22">
        <v>235</v>
      </c>
      <c r="H204" s="23">
        <v>1</v>
      </c>
      <c r="I204" s="24">
        <f t="shared" ref="I204:I211" si="38">G204/30*H204*F204</f>
        <v>235</v>
      </c>
      <c r="J204" s="25" t="s">
        <v>36</v>
      </c>
      <c r="K204" s="124"/>
    </row>
    <row r="205" spans="1:11" ht="13.5" customHeight="1">
      <c r="A205" s="17" t="s">
        <v>56</v>
      </c>
      <c r="B205" s="20">
        <v>45512</v>
      </c>
      <c r="C205" s="33">
        <v>9867</v>
      </c>
      <c r="D205" s="20">
        <v>45658</v>
      </c>
      <c r="E205" s="20">
        <v>45687</v>
      </c>
      <c r="F205" s="21">
        <f t="shared" ref="F205:F211" si="39">(E205-D205)+1</f>
        <v>30</v>
      </c>
      <c r="G205" s="22">
        <v>235</v>
      </c>
      <c r="H205" s="23">
        <v>1</v>
      </c>
      <c r="I205" s="24">
        <f t="shared" si="38"/>
        <v>235</v>
      </c>
      <c r="J205" s="25" t="s">
        <v>38</v>
      </c>
      <c r="K205" s="124"/>
    </row>
    <row r="206" spans="1:11" ht="13.5" customHeight="1">
      <c r="A206" s="17" t="s">
        <v>56</v>
      </c>
      <c r="B206" s="20">
        <v>45512</v>
      </c>
      <c r="C206" s="33">
        <v>9870</v>
      </c>
      <c r="D206" s="20">
        <v>45658</v>
      </c>
      <c r="E206" s="20">
        <v>45687</v>
      </c>
      <c r="F206" s="21">
        <f t="shared" si="39"/>
        <v>30</v>
      </c>
      <c r="G206" s="22">
        <v>235</v>
      </c>
      <c r="H206" s="23">
        <v>1</v>
      </c>
      <c r="I206" s="24">
        <f t="shared" si="38"/>
        <v>235</v>
      </c>
      <c r="J206" s="25" t="s">
        <v>30</v>
      </c>
      <c r="K206" s="124"/>
    </row>
    <row r="207" spans="1:11" ht="13.5" customHeight="1">
      <c r="A207" s="17" t="s">
        <v>56</v>
      </c>
      <c r="B207" s="20">
        <v>45512</v>
      </c>
      <c r="C207" s="33">
        <v>9872</v>
      </c>
      <c r="D207" s="20">
        <v>45658</v>
      </c>
      <c r="E207" s="20">
        <v>45687</v>
      </c>
      <c r="F207" s="21">
        <f t="shared" si="39"/>
        <v>30</v>
      </c>
      <c r="G207" s="22">
        <v>235</v>
      </c>
      <c r="H207" s="23">
        <v>1</v>
      </c>
      <c r="I207" s="24">
        <f t="shared" si="38"/>
        <v>235</v>
      </c>
      <c r="J207" s="25" t="s">
        <v>74</v>
      </c>
      <c r="K207" s="124"/>
    </row>
    <row r="208" spans="1:11" ht="13.5" customHeight="1">
      <c r="A208" s="17" t="s">
        <v>56</v>
      </c>
      <c r="B208" s="20">
        <v>45512</v>
      </c>
      <c r="C208" s="33">
        <v>9871</v>
      </c>
      <c r="D208" s="20">
        <v>45658</v>
      </c>
      <c r="E208" s="20">
        <v>45687</v>
      </c>
      <c r="F208" s="21">
        <f t="shared" si="39"/>
        <v>30</v>
      </c>
      <c r="G208" s="22">
        <v>235</v>
      </c>
      <c r="H208" s="23">
        <v>1</v>
      </c>
      <c r="I208" s="24">
        <f t="shared" si="38"/>
        <v>235</v>
      </c>
      <c r="J208" s="25" t="s">
        <v>75</v>
      </c>
      <c r="K208" s="124"/>
    </row>
    <row r="209" spans="1:11" ht="13.5" customHeight="1">
      <c r="A209" s="17" t="s">
        <v>39</v>
      </c>
      <c r="B209" s="20">
        <v>45512</v>
      </c>
      <c r="C209" s="33">
        <v>5657</v>
      </c>
      <c r="D209" s="20">
        <v>45658</v>
      </c>
      <c r="E209" s="20">
        <v>45687</v>
      </c>
      <c r="F209" s="21">
        <f t="shared" si="39"/>
        <v>30</v>
      </c>
      <c r="G209" s="22">
        <v>238</v>
      </c>
      <c r="H209" s="23">
        <v>1</v>
      </c>
      <c r="I209" s="24">
        <f t="shared" si="38"/>
        <v>238</v>
      </c>
      <c r="J209" s="25" t="s">
        <v>37</v>
      </c>
      <c r="K209" s="124"/>
    </row>
    <row r="210" spans="1:11" ht="13.5" customHeight="1">
      <c r="A210" s="17" t="s">
        <v>54</v>
      </c>
      <c r="B210" s="20">
        <v>45512</v>
      </c>
      <c r="C210" s="33">
        <v>9805</v>
      </c>
      <c r="D210" s="20">
        <v>45658</v>
      </c>
      <c r="E210" s="20">
        <v>45687</v>
      </c>
      <c r="F210" s="21">
        <f t="shared" si="39"/>
        <v>30</v>
      </c>
      <c r="G210" s="22">
        <v>447</v>
      </c>
      <c r="H210" s="23">
        <v>1</v>
      </c>
      <c r="I210" s="24">
        <f t="shared" si="38"/>
        <v>447</v>
      </c>
      <c r="J210" s="25" t="s">
        <v>32</v>
      </c>
      <c r="K210" s="124"/>
    </row>
    <row r="211" spans="1:11" ht="13.5" customHeight="1">
      <c r="A211" s="17" t="s">
        <v>54</v>
      </c>
      <c r="B211" s="20">
        <v>45512</v>
      </c>
      <c r="C211" s="33">
        <v>9949</v>
      </c>
      <c r="D211" s="20">
        <v>45658</v>
      </c>
      <c r="E211" s="20">
        <v>45687</v>
      </c>
      <c r="F211" s="21">
        <f t="shared" si="39"/>
        <v>30</v>
      </c>
      <c r="G211" s="22">
        <v>447</v>
      </c>
      <c r="H211" s="23">
        <v>1</v>
      </c>
      <c r="I211" s="24">
        <f t="shared" si="38"/>
        <v>447</v>
      </c>
      <c r="J211" s="25" t="s">
        <v>33</v>
      </c>
      <c r="K211" s="124"/>
    </row>
    <row r="212" spans="1:11" ht="13.5" customHeight="1">
      <c r="A212" s="17"/>
      <c r="B212" s="20"/>
      <c r="C212" s="23"/>
      <c r="D212" s="20"/>
      <c r="E212" s="20"/>
      <c r="F212" s="21"/>
      <c r="G212" s="22"/>
      <c r="H212" s="23"/>
      <c r="I212" s="24"/>
      <c r="J212" s="25"/>
      <c r="K212" s="124"/>
    </row>
    <row r="213" spans="1:11" ht="13.5" customHeight="1">
      <c r="A213" s="9" t="s">
        <v>76</v>
      </c>
      <c r="B213" s="27"/>
      <c r="C213" s="27"/>
      <c r="D213" s="28"/>
      <c r="E213" s="28"/>
      <c r="F213" s="29"/>
      <c r="G213" s="28"/>
      <c r="H213" s="12">
        <f>SUM(H203:H212)</f>
        <v>9</v>
      </c>
      <c r="I213" s="30">
        <f>SUM(I203:I212)</f>
        <v>2542</v>
      </c>
      <c r="J213" s="31"/>
      <c r="K213" s="32"/>
    </row>
    <row r="214" spans="1:11" ht="13.5" customHeight="1">
      <c r="D214" s="14"/>
      <c r="E214" s="14"/>
      <c r="F214" s="15"/>
      <c r="G214" s="16"/>
      <c r="I214" s="16"/>
      <c r="J214" s="1"/>
    </row>
    <row r="215" spans="1:11" ht="13.5" customHeight="1">
      <c r="A215" s="17" t="s">
        <v>31</v>
      </c>
      <c r="B215" s="20">
        <v>45588</v>
      </c>
      <c r="C215" s="126">
        <v>16060</v>
      </c>
      <c r="D215" s="20">
        <v>45658</v>
      </c>
      <c r="E215" s="20">
        <v>45687</v>
      </c>
      <c r="F215" s="21">
        <v>30</v>
      </c>
      <c r="G215" s="22">
        <v>242</v>
      </c>
      <c r="H215" s="74">
        <v>1</v>
      </c>
      <c r="I215" s="24">
        <f t="shared" ref="I215:I216" si="40">G215/30*H215*F215</f>
        <v>242</v>
      </c>
      <c r="J215" s="25"/>
      <c r="K215" s="124"/>
    </row>
    <row r="216" spans="1:11" ht="13.5" customHeight="1">
      <c r="A216" s="26"/>
      <c r="B216" s="20"/>
      <c r="C216" s="34"/>
      <c r="D216" s="20"/>
      <c r="E216" s="20"/>
      <c r="F216" s="21"/>
      <c r="G216" s="22"/>
      <c r="H216" s="74"/>
      <c r="I216" s="24">
        <f t="shared" si="40"/>
        <v>0</v>
      </c>
      <c r="J216" s="25"/>
      <c r="K216" s="124"/>
    </row>
    <row r="217" spans="1:11" ht="13.5" customHeight="1">
      <c r="A217" s="75" t="s">
        <v>123</v>
      </c>
      <c r="B217" s="27"/>
      <c r="C217" s="35"/>
      <c r="D217" s="28"/>
      <c r="E217" s="28"/>
      <c r="F217" s="29"/>
      <c r="G217" s="28"/>
      <c r="H217" s="73">
        <f>SUM(H215:H216)</f>
        <v>1</v>
      </c>
      <c r="I217" s="30">
        <f>SUM(I215:I216)</f>
        <v>242</v>
      </c>
      <c r="J217" s="31"/>
      <c r="K217" s="32"/>
    </row>
    <row r="218" spans="1:11" ht="13.5" customHeight="1">
      <c r="D218" s="14"/>
      <c r="E218" s="14"/>
      <c r="F218" s="15"/>
      <c r="G218" s="16"/>
      <c r="I218" s="16"/>
      <c r="J218" s="1"/>
    </row>
    <row r="219" spans="1:11" ht="13.5" customHeight="1">
      <c r="A219" s="17" t="s">
        <v>56</v>
      </c>
      <c r="B219" s="20">
        <v>45609</v>
      </c>
      <c r="C219" s="126">
        <v>16844</v>
      </c>
      <c r="D219" s="20">
        <v>45658</v>
      </c>
      <c r="E219" s="20">
        <v>45687</v>
      </c>
      <c r="F219" s="21">
        <f t="shared" ref="F219:F228" si="41">(E219-D219)+1</f>
        <v>30</v>
      </c>
      <c r="G219" s="22">
        <v>235</v>
      </c>
      <c r="H219" s="124">
        <v>1</v>
      </c>
      <c r="I219" s="24">
        <f>G219/30*H219*F219</f>
        <v>235</v>
      </c>
      <c r="J219" s="25" t="s">
        <v>146</v>
      </c>
      <c r="K219" s="124">
        <v>67563</v>
      </c>
    </row>
    <row r="220" spans="1:11" ht="13.5" customHeight="1">
      <c r="A220" s="17" t="s">
        <v>56</v>
      </c>
      <c r="B220" s="20">
        <v>45609</v>
      </c>
      <c r="C220" s="126">
        <v>16173</v>
      </c>
      <c r="D220" s="20">
        <v>45658</v>
      </c>
      <c r="E220" s="20">
        <v>45687</v>
      </c>
      <c r="F220" s="21">
        <f t="shared" si="41"/>
        <v>30</v>
      </c>
      <c r="G220" s="22">
        <v>235</v>
      </c>
      <c r="H220" s="124">
        <v>1</v>
      </c>
      <c r="I220" s="24">
        <f t="shared" ref="I220:I228" si="42">G220/30*H220*F220</f>
        <v>235</v>
      </c>
      <c r="J220" s="25" t="s">
        <v>29</v>
      </c>
      <c r="K220" s="124">
        <v>67563</v>
      </c>
    </row>
    <row r="221" spans="1:11" ht="13.5" customHeight="1">
      <c r="A221" s="17" t="s">
        <v>56</v>
      </c>
      <c r="B221" s="20">
        <v>45609</v>
      </c>
      <c r="C221" s="126">
        <v>16152</v>
      </c>
      <c r="D221" s="20">
        <v>45658</v>
      </c>
      <c r="E221" s="20">
        <v>45687</v>
      </c>
      <c r="F221" s="21">
        <f t="shared" si="41"/>
        <v>30</v>
      </c>
      <c r="G221" s="22">
        <v>235</v>
      </c>
      <c r="H221" s="124">
        <v>1</v>
      </c>
      <c r="I221" s="24">
        <f t="shared" si="42"/>
        <v>235</v>
      </c>
      <c r="J221" s="25" t="s">
        <v>147</v>
      </c>
      <c r="K221" s="124">
        <v>67563</v>
      </c>
    </row>
    <row r="222" spans="1:11" ht="13.5" customHeight="1">
      <c r="A222" s="17" t="s">
        <v>56</v>
      </c>
      <c r="B222" s="20">
        <v>45609</v>
      </c>
      <c r="C222" s="126">
        <v>16124</v>
      </c>
      <c r="D222" s="20">
        <v>45658</v>
      </c>
      <c r="E222" s="20">
        <v>45687</v>
      </c>
      <c r="F222" s="21">
        <f t="shared" si="41"/>
        <v>30</v>
      </c>
      <c r="G222" s="22">
        <v>235</v>
      </c>
      <c r="H222" s="124">
        <v>1</v>
      </c>
      <c r="I222" s="24">
        <f t="shared" si="42"/>
        <v>235</v>
      </c>
      <c r="J222" s="25" t="s">
        <v>148</v>
      </c>
      <c r="K222" s="124">
        <v>71531</v>
      </c>
    </row>
    <row r="223" spans="1:11" ht="13.5" customHeight="1">
      <c r="A223" s="17" t="s">
        <v>56</v>
      </c>
      <c r="B223" s="20">
        <v>45609</v>
      </c>
      <c r="C223" s="126">
        <v>16174</v>
      </c>
      <c r="D223" s="20">
        <v>45658</v>
      </c>
      <c r="E223" s="20">
        <v>45687</v>
      </c>
      <c r="F223" s="21">
        <f t="shared" si="41"/>
        <v>30</v>
      </c>
      <c r="G223" s="22">
        <v>235</v>
      </c>
      <c r="H223" s="124">
        <v>1</v>
      </c>
      <c r="I223" s="24">
        <f t="shared" si="42"/>
        <v>235</v>
      </c>
      <c r="J223" s="25" t="s">
        <v>149</v>
      </c>
      <c r="K223" s="124">
        <v>71531</v>
      </c>
    </row>
    <row r="224" spans="1:11" ht="13.5" customHeight="1">
      <c r="A224" s="17" t="s">
        <v>56</v>
      </c>
      <c r="B224" s="20">
        <v>45609</v>
      </c>
      <c r="C224" s="126">
        <v>16146</v>
      </c>
      <c r="D224" s="20">
        <v>45658</v>
      </c>
      <c r="E224" s="20">
        <v>45687</v>
      </c>
      <c r="F224" s="21">
        <f t="shared" si="41"/>
        <v>30</v>
      </c>
      <c r="G224" s="22">
        <v>235</v>
      </c>
      <c r="H224" s="124">
        <v>1</v>
      </c>
      <c r="I224" s="24">
        <f t="shared" si="42"/>
        <v>235</v>
      </c>
      <c r="J224" s="25" t="s">
        <v>151</v>
      </c>
      <c r="K224" s="124">
        <v>71533</v>
      </c>
    </row>
    <row r="225" spans="1:14" ht="13.5" customHeight="1">
      <c r="A225" s="17" t="s">
        <v>39</v>
      </c>
      <c r="B225" s="20">
        <v>45609</v>
      </c>
      <c r="C225" s="126">
        <v>16650</v>
      </c>
      <c r="D225" s="20">
        <v>45658</v>
      </c>
      <c r="E225" s="20">
        <v>45687</v>
      </c>
      <c r="F225" s="21">
        <f t="shared" si="41"/>
        <v>30</v>
      </c>
      <c r="G225" s="22">
        <v>238</v>
      </c>
      <c r="H225" s="124">
        <v>1</v>
      </c>
      <c r="I225" s="24">
        <f t="shared" si="42"/>
        <v>238</v>
      </c>
      <c r="J225" s="25" t="s">
        <v>152</v>
      </c>
      <c r="K225" s="124">
        <v>71533</v>
      </c>
    </row>
    <row r="226" spans="1:14" ht="13.5" customHeight="1">
      <c r="A226" s="17" t="s">
        <v>39</v>
      </c>
      <c r="B226" s="20">
        <v>45609</v>
      </c>
      <c r="C226" s="126">
        <v>16651</v>
      </c>
      <c r="D226" s="20">
        <v>45658</v>
      </c>
      <c r="E226" s="20">
        <v>45687</v>
      </c>
      <c r="F226" s="21">
        <f t="shared" si="41"/>
        <v>30</v>
      </c>
      <c r="G226" s="22">
        <v>238</v>
      </c>
      <c r="H226" s="124">
        <v>1</v>
      </c>
      <c r="I226" s="24">
        <f t="shared" si="42"/>
        <v>238</v>
      </c>
      <c r="J226" s="25" t="s">
        <v>154</v>
      </c>
      <c r="K226" s="124">
        <v>71533</v>
      </c>
    </row>
    <row r="227" spans="1:14" ht="13.5" customHeight="1">
      <c r="A227" s="17" t="s">
        <v>39</v>
      </c>
      <c r="B227" s="20">
        <v>45609</v>
      </c>
      <c r="C227" s="126">
        <v>16603</v>
      </c>
      <c r="D227" s="20">
        <v>45658</v>
      </c>
      <c r="E227" s="20">
        <v>45687</v>
      </c>
      <c r="F227" s="21">
        <f t="shared" si="41"/>
        <v>30</v>
      </c>
      <c r="G227" s="22">
        <v>238</v>
      </c>
      <c r="H227" s="124">
        <v>1</v>
      </c>
      <c r="I227" s="24">
        <f t="shared" si="42"/>
        <v>238</v>
      </c>
      <c r="J227" s="25" t="s">
        <v>153</v>
      </c>
      <c r="K227" s="124">
        <v>71524</v>
      </c>
    </row>
    <row r="228" spans="1:14" ht="13.5" customHeight="1">
      <c r="A228" s="17" t="s">
        <v>106</v>
      </c>
      <c r="B228" s="20">
        <v>45609</v>
      </c>
      <c r="C228" s="126">
        <v>16405</v>
      </c>
      <c r="D228" s="20">
        <v>45658</v>
      </c>
      <c r="E228" s="20">
        <v>45687</v>
      </c>
      <c r="F228" s="21">
        <f t="shared" si="41"/>
        <v>30</v>
      </c>
      <c r="G228" s="22">
        <v>347</v>
      </c>
      <c r="H228" s="124">
        <v>1</v>
      </c>
      <c r="I228" s="24">
        <f t="shared" si="42"/>
        <v>347</v>
      </c>
      <c r="J228" s="25" t="s">
        <v>150</v>
      </c>
      <c r="K228" s="124">
        <v>71531</v>
      </c>
    </row>
    <row r="229" spans="1:14" ht="13.5" customHeight="1">
      <c r="A229" s="26"/>
      <c r="B229" s="20"/>
      <c r="C229" s="26"/>
      <c r="D229" s="20"/>
      <c r="E229" s="20"/>
      <c r="F229" s="21"/>
      <c r="G229" s="22"/>
      <c r="H229" s="124"/>
      <c r="I229" s="24">
        <f t="shared" ref="I229" si="43">G229/24*H229*F229</f>
        <v>0</v>
      </c>
      <c r="J229" s="25"/>
      <c r="K229" s="124"/>
    </row>
    <row r="230" spans="1:14" ht="13.5" customHeight="1">
      <c r="A230" s="123" t="s">
        <v>145</v>
      </c>
      <c r="B230" s="27"/>
      <c r="C230" s="27"/>
      <c r="D230" s="28"/>
      <c r="E230" s="28"/>
      <c r="F230" s="29"/>
      <c r="G230" s="28"/>
      <c r="H230" s="125">
        <f>SUM(H219:H229)</f>
        <v>10</v>
      </c>
      <c r="I230" s="30">
        <f>SUM(I219:I229)</f>
        <v>2471</v>
      </c>
      <c r="J230" s="31"/>
      <c r="K230" s="32"/>
    </row>
    <row r="231" spans="1:14" ht="13.5" customHeight="1">
      <c r="D231" s="14"/>
      <c r="E231" s="14"/>
      <c r="F231" s="15"/>
      <c r="G231" s="16"/>
      <c r="I231" s="16"/>
      <c r="J231" s="1"/>
    </row>
    <row r="232" spans="1:14" ht="13.5" customHeight="1">
      <c r="D232" s="14"/>
      <c r="E232" s="14"/>
      <c r="F232" s="15"/>
      <c r="G232" s="16"/>
      <c r="I232" s="16"/>
      <c r="J232" s="1"/>
    </row>
    <row r="233" spans="1:14" ht="13.5" customHeight="1">
      <c r="D233" s="14"/>
      <c r="E233" s="14"/>
      <c r="F233" s="15"/>
      <c r="G233" s="86"/>
      <c r="H233" s="80">
        <f>H24+H35+H45+H54+H65+H75+H85+H95+H109+H119+H139+H144+H154+H166+H185+H201+H213+H217+H125+H176+H230</f>
        <v>154</v>
      </c>
      <c r="I233" s="84">
        <f>I213+I201+I185+I166+I154+I144+I139+I125+I119+I109+I95+I85+I75+I65+I54+I45+I35+I24+I217+I176+I230</f>
        <v>34578.733333333337</v>
      </c>
      <c r="J233" s="1"/>
    </row>
    <row r="234" spans="1:14" ht="12" customHeight="1">
      <c r="D234" s="14"/>
      <c r="E234" s="14"/>
      <c r="F234" s="15"/>
      <c r="G234" s="16"/>
      <c r="I234" s="138"/>
      <c r="J234" s="3"/>
    </row>
    <row r="235" spans="1:14" ht="13.5" customHeight="1">
      <c r="A235" s="182" t="s">
        <v>93</v>
      </c>
      <c r="B235" s="182"/>
      <c r="C235" s="182"/>
      <c r="D235" s="182"/>
      <c r="E235" s="182"/>
      <c r="F235" s="182"/>
      <c r="G235" s="182"/>
      <c r="H235" s="182"/>
      <c r="I235" s="182"/>
      <c r="J235" s="3"/>
    </row>
    <row r="236" spans="1:14" s="2" customFormat="1" ht="13.5" customHeight="1">
      <c r="A236" s="3"/>
      <c r="C236" s="3"/>
      <c r="D236" s="3"/>
      <c r="E236" s="3"/>
      <c r="F236" s="3"/>
      <c r="G236" s="3"/>
      <c r="H236" s="3"/>
      <c r="I236" s="3"/>
      <c r="J236" s="3"/>
      <c r="L236" s="3"/>
      <c r="M236" s="3"/>
      <c r="N236" s="3"/>
    </row>
    <row r="237" spans="1:14" s="2" customFormat="1" ht="13.5" customHeight="1">
      <c r="A237" s="4" t="s">
        <v>94</v>
      </c>
      <c r="B237" s="3"/>
      <c r="C237" s="3"/>
      <c r="D237" s="3"/>
      <c r="E237" s="3"/>
      <c r="F237" s="43"/>
      <c r="G237" s="16"/>
      <c r="H237" s="3"/>
      <c r="I237" s="44"/>
      <c r="J237" s="3"/>
      <c r="L237" s="3"/>
      <c r="M237" s="3"/>
      <c r="N237" s="3"/>
    </row>
    <row r="238" spans="1:14" s="2" customFormat="1" ht="60" customHeight="1">
      <c r="A238" s="183"/>
      <c r="B238" s="178"/>
      <c r="C238" s="184"/>
      <c r="D238" s="185"/>
      <c r="E238" s="185"/>
      <c r="F238" s="185"/>
      <c r="G238" s="185"/>
      <c r="H238" s="185"/>
      <c r="I238" s="185"/>
      <c r="J238" s="3"/>
      <c r="L238" s="3"/>
      <c r="M238" s="3"/>
      <c r="N238" s="3"/>
    </row>
    <row r="239" spans="1:14" s="2" customFormat="1" ht="13.5" customHeight="1">
      <c r="A239" s="193" t="s">
        <v>95</v>
      </c>
      <c r="B239" s="193"/>
      <c r="C239" s="193"/>
      <c r="D239" s="193" t="s">
        <v>96</v>
      </c>
      <c r="E239" s="193"/>
      <c r="F239" s="193"/>
      <c r="G239" s="193"/>
      <c r="H239" s="193"/>
      <c r="I239" s="193"/>
      <c r="J239" s="3"/>
      <c r="L239" s="3"/>
      <c r="M239" s="3"/>
      <c r="N239" s="3"/>
    </row>
    <row r="240" spans="1:14" s="2" customFormat="1" ht="13.5" customHeight="1">
      <c r="A240" s="3"/>
      <c r="C240" s="3"/>
      <c r="D240" s="14"/>
      <c r="E240" s="14"/>
      <c r="F240" s="15"/>
      <c r="G240" s="16"/>
      <c r="H240" s="3"/>
      <c r="I240" s="16"/>
      <c r="J240" s="3"/>
      <c r="L240" s="3"/>
      <c r="M240" s="3"/>
      <c r="N240" s="3"/>
    </row>
    <row r="241" spans="1:14" s="2" customFormat="1" ht="13.5" customHeight="1">
      <c r="A241" s="3"/>
      <c r="C241" s="3"/>
      <c r="D241" s="14"/>
      <c r="E241" s="14"/>
      <c r="F241" s="15"/>
      <c r="G241" s="16"/>
      <c r="H241" s="3"/>
      <c r="I241" s="16"/>
      <c r="J241" s="3"/>
      <c r="L241" s="3"/>
      <c r="M241" s="3"/>
      <c r="N241" s="3"/>
    </row>
    <row r="242" spans="1:14" s="2" customFormat="1" ht="13.5" customHeight="1">
      <c r="A242" s="3"/>
      <c r="C242" s="3"/>
      <c r="D242" s="14"/>
      <c r="E242" s="14"/>
      <c r="F242" s="15"/>
      <c r="G242" s="16"/>
      <c r="H242" s="3"/>
      <c r="I242" s="16"/>
      <c r="J242" s="3"/>
      <c r="L242" s="3"/>
      <c r="M242" s="3"/>
      <c r="N242" s="3"/>
    </row>
    <row r="243" spans="1:14" s="2" customFormat="1" ht="13.5" customHeight="1">
      <c r="A243" s="194" t="s">
        <v>97</v>
      </c>
      <c r="B243" s="194"/>
      <c r="C243" s="194"/>
      <c r="D243" s="194"/>
      <c r="E243" s="194"/>
      <c r="F243" s="194"/>
      <c r="G243" s="45"/>
      <c r="H243" s="3"/>
      <c r="I243" s="16"/>
      <c r="J243" s="42"/>
      <c r="L243" s="3"/>
      <c r="M243" s="3"/>
      <c r="N243" s="3"/>
    </row>
    <row r="244" spans="1:14" s="2" customFormat="1" ht="13.5" customHeight="1">
      <c r="A244" s="195" t="s">
        <v>98</v>
      </c>
      <c r="B244" s="195"/>
      <c r="C244" s="195"/>
      <c r="D244" s="195"/>
      <c r="E244" s="196" t="s">
        <v>99</v>
      </c>
      <c r="F244" s="192" t="s">
        <v>100</v>
      </c>
      <c r="G244" s="46"/>
      <c r="H244" s="3"/>
      <c r="I244" s="16"/>
      <c r="J244" s="42"/>
      <c r="L244" s="3"/>
      <c r="M244" s="3"/>
      <c r="N244" s="3"/>
    </row>
    <row r="245" spans="1:14" s="2" customFormat="1" ht="13.5" customHeight="1">
      <c r="A245" s="47" t="s">
        <v>15</v>
      </c>
      <c r="B245" s="47" t="s">
        <v>21</v>
      </c>
      <c r="C245" s="47" t="s">
        <v>20</v>
      </c>
      <c r="D245" s="47" t="s">
        <v>22</v>
      </c>
      <c r="E245" s="197"/>
      <c r="F245" s="192"/>
      <c r="G245" s="48"/>
      <c r="H245" s="3"/>
      <c r="I245" s="3"/>
      <c r="L245" s="3"/>
      <c r="M245" s="3"/>
      <c r="N245" s="3"/>
    </row>
    <row r="246" spans="1:14" s="2" customFormat="1" ht="13.5" customHeight="1">
      <c r="A246" s="17" t="s">
        <v>101</v>
      </c>
      <c r="B246" s="49"/>
      <c r="C246" s="50">
        <v>37</v>
      </c>
      <c r="D246" s="50">
        <v>0</v>
      </c>
      <c r="E246" s="23">
        <f>COUNTIFS($A$12:$A$233,"Cond Ar Janela 7.500 BTU/h")</f>
        <v>0</v>
      </c>
      <c r="F246" s="51">
        <f>B246-E246</f>
        <v>0</v>
      </c>
      <c r="G246" s="52"/>
      <c r="H246" s="3"/>
      <c r="I246" s="3"/>
      <c r="L246" s="3"/>
      <c r="M246" s="3"/>
      <c r="N246" s="3"/>
    </row>
    <row r="247" spans="1:14" s="2" customFormat="1" ht="13.5" customHeight="1">
      <c r="A247" s="17" t="s">
        <v>102</v>
      </c>
      <c r="B247" s="49"/>
      <c r="C247" s="53">
        <v>210</v>
      </c>
      <c r="D247" s="53">
        <f t="shared" ref="D247:D256" si="44">B247*C247</f>
        <v>0</v>
      </c>
      <c r="E247" s="23">
        <f>COUNTIFS($A$12:$A$233,"Cond Ar Janela 10.000 BTU/h")</f>
        <v>0</v>
      </c>
      <c r="F247" s="51">
        <f t="shared" ref="F247:F268" si="45">B247-E247</f>
        <v>0</v>
      </c>
      <c r="G247" s="52"/>
      <c r="H247" s="3"/>
      <c r="I247" s="3"/>
      <c r="L247" s="3"/>
      <c r="M247" s="3"/>
      <c r="N247" s="3"/>
    </row>
    <row r="248" spans="1:14" s="2" customFormat="1" ht="13.5" customHeight="1">
      <c r="A248" s="17" t="s">
        <v>103</v>
      </c>
      <c r="B248" s="49"/>
      <c r="C248" s="53">
        <v>208</v>
      </c>
      <c r="D248" s="53">
        <f t="shared" si="44"/>
        <v>0</v>
      </c>
      <c r="E248" s="23">
        <f>COUNTIFS($A$12:$A$233,"Cond Ar Janela 18.000 BTU/h")</f>
        <v>0</v>
      </c>
      <c r="F248" s="51">
        <f t="shared" si="45"/>
        <v>0</v>
      </c>
      <c r="G248" s="52"/>
      <c r="H248" s="3"/>
      <c r="I248" s="3"/>
      <c r="L248" s="3"/>
      <c r="M248" s="3"/>
      <c r="N248" s="3"/>
    </row>
    <row r="249" spans="1:14" s="2" customFormat="1" ht="13.5" customHeight="1">
      <c r="A249" s="17" t="s">
        <v>104</v>
      </c>
      <c r="B249" s="49"/>
      <c r="C249" s="53">
        <v>57</v>
      </c>
      <c r="D249" s="53">
        <f t="shared" si="44"/>
        <v>0</v>
      </c>
      <c r="E249" s="23">
        <f>COUNTIFS($A$12:$A$233,"Cond Ar Janela 21.000 BTU/h")</f>
        <v>0</v>
      </c>
      <c r="F249" s="51">
        <f t="shared" si="45"/>
        <v>0</v>
      </c>
      <c r="G249" s="52"/>
      <c r="H249" s="3"/>
      <c r="I249" s="3"/>
      <c r="L249" s="3"/>
      <c r="M249" s="3"/>
      <c r="N249" s="3"/>
    </row>
    <row r="250" spans="1:14" s="2" customFormat="1" ht="13.5" customHeight="1">
      <c r="A250" s="17" t="s">
        <v>25</v>
      </c>
      <c r="B250" s="49">
        <v>87</v>
      </c>
      <c r="C250" s="53">
        <v>147</v>
      </c>
      <c r="D250" s="53">
        <f t="shared" si="44"/>
        <v>12789</v>
      </c>
      <c r="E250" s="23">
        <f>COUNTIFS($A$12:$A$233,"Cond Ar Split 9.000 BTU/h Hi Wall")</f>
        <v>47</v>
      </c>
      <c r="F250" s="51">
        <f t="shared" si="45"/>
        <v>40</v>
      </c>
      <c r="G250" s="52"/>
      <c r="H250" s="3"/>
      <c r="I250" s="3"/>
      <c r="L250" s="3"/>
      <c r="M250" s="3"/>
      <c r="N250" s="3"/>
    </row>
    <row r="251" spans="1:14" s="2" customFormat="1" ht="13.5" customHeight="1">
      <c r="A251" s="17" t="s">
        <v>56</v>
      </c>
      <c r="B251" s="49">
        <v>160</v>
      </c>
      <c r="C251" s="53">
        <v>235</v>
      </c>
      <c r="D251" s="53">
        <f t="shared" si="44"/>
        <v>37600</v>
      </c>
      <c r="E251" s="23">
        <f>COUNTIFS($A$12:$A$233,"Cond Ar Split 12.000 BTU/h Hi Wall")</f>
        <v>53</v>
      </c>
      <c r="F251" s="51">
        <f t="shared" si="45"/>
        <v>107</v>
      </c>
      <c r="G251" s="52"/>
      <c r="H251" s="3"/>
      <c r="I251" s="3"/>
      <c r="L251" s="3"/>
      <c r="M251" s="3"/>
      <c r="N251" s="3"/>
    </row>
    <row r="252" spans="1:14" s="2" customFormat="1" ht="13.5" customHeight="1">
      <c r="A252" s="17" t="s">
        <v>39</v>
      </c>
      <c r="B252" s="49">
        <v>59</v>
      </c>
      <c r="C252" s="53">
        <v>238</v>
      </c>
      <c r="D252" s="53">
        <f t="shared" si="44"/>
        <v>14042</v>
      </c>
      <c r="E252" s="23">
        <f>COUNTIFS($A$12:$A$233,"Cond Ar Split 18.000 BTU/h Hi Wall")</f>
        <v>15</v>
      </c>
      <c r="F252" s="51">
        <f t="shared" si="45"/>
        <v>44</v>
      </c>
      <c r="G252" s="52"/>
      <c r="H252" s="3"/>
      <c r="I252" s="3"/>
      <c r="L252" s="3"/>
      <c r="M252" s="3"/>
      <c r="N252" s="3"/>
    </row>
    <row r="253" spans="1:14" s="2" customFormat="1" ht="13.5" customHeight="1">
      <c r="A253" s="17" t="s">
        <v>31</v>
      </c>
      <c r="B253" s="49">
        <v>51</v>
      </c>
      <c r="C253" s="53">
        <v>242</v>
      </c>
      <c r="D253" s="53">
        <f t="shared" si="44"/>
        <v>12342</v>
      </c>
      <c r="E253" s="23">
        <f>COUNTIFS($A$12:$A$233,"Cond Ar Split 22.000 BTU/h Hi Wall")</f>
        <v>27</v>
      </c>
      <c r="F253" s="51">
        <f t="shared" si="45"/>
        <v>24</v>
      </c>
      <c r="G253" s="52"/>
      <c r="H253" s="3"/>
      <c r="I253" s="3"/>
      <c r="L253" s="3"/>
      <c r="M253" s="3"/>
      <c r="N253" s="3"/>
    </row>
    <row r="254" spans="1:14" s="2" customFormat="1" ht="13.5" customHeight="1">
      <c r="A254" s="17" t="s">
        <v>105</v>
      </c>
      <c r="B254" s="49">
        <v>2</v>
      </c>
      <c r="C254" s="53">
        <v>260</v>
      </c>
      <c r="D254" s="53">
        <f t="shared" si="44"/>
        <v>520</v>
      </c>
      <c r="E254" s="23">
        <f>COUNTIFS($A$12:$A$233,"Cond Ar Split 24.000 BTU/h Hi Wall")</f>
        <v>0</v>
      </c>
      <c r="F254" s="51">
        <f t="shared" si="45"/>
        <v>2</v>
      </c>
      <c r="G254" s="52"/>
      <c r="H254" s="3"/>
      <c r="I254" s="3"/>
      <c r="L254" s="3"/>
      <c r="M254" s="3"/>
      <c r="N254" s="3"/>
    </row>
    <row r="255" spans="1:14" s="2" customFormat="1" ht="13.5" customHeight="1">
      <c r="A255" s="17" t="s">
        <v>106</v>
      </c>
      <c r="B255" s="49">
        <v>1</v>
      </c>
      <c r="C255" s="53">
        <v>347</v>
      </c>
      <c r="D255" s="53">
        <f t="shared" si="44"/>
        <v>347</v>
      </c>
      <c r="E255" s="23">
        <f>COUNTIFS($A$12:$A$233,"Cond Ar Split 30.000 BTU/h Hi Wall")</f>
        <v>1</v>
      </c>
      <c r="F255" s="51">
        <f t="shared" si="45"/>
        <v>0</v>
      </c>
      <c r="G255" s="52"/>
      <c r="H255" s="3"/>
      <c r="I255" s="3"/>
      <c r="L255" s="3"/>
      <c r="M255" s="3"/>
      <c r="N255" s="3"/>
    </row>
    <row r="256" spans="1:14" s="2" customFormat="1" ht="13.5" customHeight="1">
      <c r="A256" s="17" t="s">
        <v>107</v>
      </c>
      <c r="B256" s="49"/>
      <c r="C256" s="53">
        <v>367</v>
      </c>
      <c r="D256" s="53">
        <f t="shared" si="44"/>
        <v>0</v>
      </c>
      <c r="E256" s="23">
        <f>COUNTIFS($A$12:$A$233,"Cond Ar Split 24.000 BTU/h Piso/Teto")</f>
        <v>0</v>
      </c>
      <c r="F256" s="51">
        <f t="shared" si="45"/>
        <v>0</v>
      </c>
      <c r="G256" s="52"/>
      <c r="H256" s="3"/>
      <c r="I256" s="3"/>
      <c r="L256" s="3"/>
      <c r="M256" s="3"/>
      <c r="N256" s="3"/>
    </row>
    <row r="257" spans="1:14" s="2" customFormat="1" ht="13.5" customHeight="1">
      <c r="A257" s="17" t="s">
        <v>108</v>
      </c>
      <c r="B257" s="49"/>
      <c r="C257" s="53">
        <v>367</v>
      </c>
      <c r="D257" s="53">
        <f>B257*C257</f>
        <v>0</v>
      </c>
      <c r="E257" s="23">
        <f>COUNTIFS($A$12:$A$233,"Cond Ar Split 30.000 BTU/h Piso/Teto")</f>
        <v>0</v>
      </c>
      <c r="F257" s="51">
        <f t="shared" si="45"/>
        <v>0</v>
      </c>
      <c r="G257" s="52"/>
      <c r="H257" s="3"/>
      <c r="I257" s="3"/>
      <c r="L257" s="3"/>
      <c r="M257" s="3"/>
      <c r="N257" s="3"/>
    </row>
    <row r="258" spans="1:14" s="2" customFormat="1" ht="13.5" customHeight="1">
      <c r="A258" s="17" t="s">
        <v>54</v>
      </c>
      <c r="B258" s="49">
        <v>64</v>
      </c>
      <c r="C258" s="53">
        <v>447</v>
      </c>
      <c r="D258" s="53">
        <f>B258*C258</f>
        <v>28608</v>
      </c>
      <c r="E258" s="23">
        <f>COUNTIFS($A$12:$A$233,"Cond Ar Split 36.000 BTU/h Piso/Teto")</f>
        <v>11</v>
      </c>
      <c r="F258" s="51">
        <f t="shared" si="45"/>
        <v>53</v>
      </c>
      <c r="G258" s="52"/>
      <c r="H258" s="3"/>
      <c r="I258" s="3"/>
      <c r="L258" s="3"/>
      <c r="M258" s="3"/>
      <c r="N258" s="3"/>
    </row>
    <row r="259" spans="1:14" s="2" customFormat="1" ht="13.5" customHeight="1">
      <c r="A259" s="17" t="s">
        <v>109</v>
      </c>
      <c r="B259" s="49">
        <v>2</v>
      </c>
      <c r="C259" s="53">
        <v>497</v>
      </c>
      <c r="D259" s="53">
        <f>B259*C259</f>
        <v>994</v>
      </c>
      <c r="E259" s="23">
        <f>COUNTIFS($A$12:$A$233,"Cond Ar Split 48.000 BTU/h Piso/Teto")</f>
        <v>0</v>
      </c>
      <c r="F259" s="51">
        <f t="shared" si="45"/>
        <v>2</v>
      </c>
      <c r="G259" s="52"/>
      <c r="H259" s="3"/>
      <c r="I259" s="3"/>
      <c r="L259" s="3"/>
      <c r="M259" s="3"/>
      <c r="N259" s="3"/>
    </row>
    <row r="260" spans="1:14" s="2" customFormat="1" ht="13.5" customHeight="1">
      <c r="A260" s="17" t="s">
        <v>110</v>
      </c>
      <c r="B260" s="49"/>
      <c r="C260" s="53">
        <v>597</v>
      </c>
      <c r="D260" s="53">
        <f t="shared" ref="D260:D268" si="46">B260*C260</f>
        <v>0</v>
      </c>
      <c r="E260" s="23">
        <f>COUNTIFS($A$12:$A$233,"Cond Ar Split 60.000 BTU/h Piso/Teto")</f>
        <v>0</v>
      </c>
      <c r="F260" s="51">
        <f t="shared" si="45"/>
        <v>0</v>
      </c>
      <c r="G260" s="52"/>
      <c r="H260" s="3"/>
      <c r="I260" s="3"/>
      <c r="L260" s="3"/>
      <c r="M260" s="3"/>
      <c r="N260" s="3"/>
    </row>
    <row r="261" spans="1:14" s="2" customFormat="1" ht="13.5" customHeight="1">
      <c r="A261" s="17" t="s">
        <v>111</v>
      </c>
      <c r="B261" s="49"/>
      <c r="C261" s="53">
        <v>395</v>
      </c>
      <c r="D261" s="53">
        <f t="shared" si="46"/>
        <v>0</v>
      </c>
      <c r="E261" s="23">
        <f>COUNTIFS($A$12:$A$233,"Cond Ar Split 18.000 BTU/h Cassete")</f>
        <v>0</v>
      </c>
      <c r="F261" s="51">
        <f t="shared" si="45"/>
        <v>0</v>
      </c>
      <c r="G261" s="52"/>
      <c r="H261" s="3"/>
      <c r="I261" s="3"/>
    </row>
    <row r="262" spans="1:14" s="2" customFormat="1" ht="13.5" customHeight="1">
      <c r="A262" s="17" t="s">
        <v>112</v>
      </c>
      <c r="B262" s="49"/>
      <c r="C262" s="53">
        <v>442.75</v>
      </c>
      <c r="D262" s="53">
        <f t="shared" si="46"/>
        <v>0</v>
      </c>
      <c r="E262" s="23">
        <f>COUNTIFS($A$12:$A$233,"Cond Ar Split 24.000 BTU/h Cassete")</f>
        <v>0</v>
      </c>
      <c r="F262" s="51">
        <f t="shared" si="45"/>
        <v>0</v>
      </c>
      <c r="G262" s="52"/>
      <c r="H262" s="3"/>
      <c r="I262" s="3"/>
    </row>
    <row r="263" spans="1:14" s="2" customFormat="1" ht="13.5" customHeight="1">
      <c r="A263" s="17" t="s">
        <v>113</v>
      </c>
      <c r="B263" s="49"/>
      <c r="C263" s="53">
        <v>430</v>
      </c>
      <c r="D263" s="53">
        <f t="shared" si="46"/>
        <v>0</v>
      </c>
      <c r="E263" s="23">
        <f>COUNTIFS($A$12:$A$233,"Cond Ar Split 30.000 BTU/h Cassete")</f>
        <v>0</v>
      </c>
      <c r="F263" s="51">
        <f t="shared" si="45"/>
        <v>0</v>
      </c>
      <c r="G263" s="52"/>
      <c r="H263" s="3"/>
      <c r="I263" s="3"/>
    </row>
    <row r="264" spans="1:14" s="2" customFormat="1" ht="13.5" customHeight="1">
      <c r="A264" s="17" t="s">
        <v>114</v>
      </c>
      <c r="B264" s="49"/>
      <c r="C264" s="53">
        <v>478</v>
      </c>
      <c r="D264" s="53">
        <f t="shared" si="46"/>
        <v>0</v>
      </c>
      <c r="E264" s="23">
        <f>COUNTIFS($A$12:$A$233,"Cond Ar Split 36.000 BTU/h Cassete")</f>
        <v>0</v>
      </c>
      <c r="F264" s="51">
        <f t="shared" si="45"/>
        <v>0</v>
      </c>
      <c r="G264" s="52"/>
      <c r="H264" s="3"/>
      <c r="I264" s="3"/>
    </row>
    <row r="265" spans="1:14" s="2" customFormat="1" ht="13.5" customHeight="1">
      <c r="A265" s="17" t="s">
        <v>115</v>
      </c>
      <c r="B265" s="49"/>
      <c r="C265" s="53">
        <v>577</v>
      </c>
      <c r="D265" s="53">
        <f t="shared" si="46"/>
        <v>0</v>
      </c>
      <c r="E265" s="23">
        <f>COUNTIFS($A$12:$A$233,"Cond Ar Split 48.000 BTU/h Cassete")</f>
        <v>0</v>
      </c>
      <c r="F265" s="51">
        <f t="shared" si="45"/>
        <v>0</v>
      </c>
      <c r="G265" s="52"/>
      <c r="H265" s="3"/>
      <c r="I265" s="3"/>
    </row>
    <row r="266" spans="1:14" s="2" customFormat="1" ht="13.5" customHeight="1">
      <c r="A266" s="17" t="s">
        <v>116</v>
      </c>
      <c r="B266" s="49"/>
      <c r="C266" s="53">
        <v>645</v>
      </c>
      <c r="D266" s="53">
        <f t="shared" si="46"/>
        <v>0</v>
      </c>
      <c r="E266" s="23">
        <f>COUNTIFS($A$12:$A$233,"Cond Ar Split 60.000 BTU/h Cassete")</f>
        <v>0</v>
      </c>
      <c r="F266" s="51">
        <f t="shared" si="45"/>
        <v>0</v>
      </c>
      <c r="G266" s="52"/>
      <c r="H266" s="3"/>
      <c r="I266" s="3"/>
    </row>
    <row r="267" spans="1:14" s="2" customFormat="1" ht="13.5" customHeight="1">
      <c r="A267" s="17" t="s">
        <v>117</v>
      </c>
      <c r="B267" s="49"/>
      <c r="C267" s="53">
        <v>147</v>
      </c>
      <c r="D267" s="53">
        <f t="shared" si="46"/>
        <v>0</v>
      </c>
      <c r="E267" s="23">
        <f>COUNTIFS($A$12:$A$233,"Cond Ar Tri Split 36.000 BTU/h (3x12.000)")</f>
        <v>0</v>
      </c>
      <c r="F267" s="51">
        <f t="shared" si="45"/>
        <v>0</v>
      </c>
      <c r="G267" s="52"/>
      <c r="H267" s="3"/>
      <c r="I267" s="3"/>
    </row>
    <row r="268" spans="1:14" s="2" customFormat="1" ht="13.5" customHeight="1">
      <c r="A268" s="17" t="s">
        <v>118</v>
      </c>
      <c r="B268" s="49"/>
      <c r="C268" s="53">
        <v>100</v>
      </c>
      <c r="D268" s="53">
        <f t="shared" si="46"/>
        <v>0</v>
      </c>
      <c r="E268" s="23">
        <f>COUNTIFS($A$12:$A$233,"Cond Ar Portátil 12.000 BTU/h")</f>
        <v>0</v>
      </c>
      <c r="F268" s="51">
        <f t="shared" si="45"/>
        <v>0</v>
      </c>
      <c r="G268" s="52"/>
      <c r="H268" s="3"/>
      <c r="I268" s="3"/>
    </row>
    <row r="269" spans="1:14" s="2" customFormat="1" ht="13.5" customHeight="1">
      <c r="A269" s="54" t="s">
        <v>119</v>
      </c>
      <c r="B269" s="12">
        <f>SUM(B246:B268)</f>
        <v>426</v>
      </c>
      <c r="C269" s="55"/>
      <c r="D269" s="56">
        <f>SUM(D246:D268)</f>
        <v>107242</v>
      </c>
      <c r="E269" s="12">
        <f>SUM(E246:E268)</f>
        <v>154</v>
      </c>
      <c r="F269" s="57">
        <f>SUM(F246:F268)</f>
        <v>272</v>
      </c>
      <c r="G269" s="58"/>
      <c r="H269" s="3"/>
      <c r="I269" s="3"/>
    </row>
    <row r="270" spans="1:14" s="2" customFormat="1" ht="13.5" customHeight="1">
      <c r="A270" s="3"/>
      <c r="C270" s="3"/>
      <c r="D270" s="3"/>
      <c r="E270" s="3"/>
      <c r="F270" s="3"/>
      <c r="G270" s="3"/>
      <c r="H270" s="3"/>
      <c r="I270" s="3"/>
      <c r="L270" s="3"/>
      <c r="M270" s="3"/>
      <c r="N270" s="3"/>
    </row>
    <row r="271" spans="1:14" s="2" customFormat="1" ht="13.5" customHeight="1">
      <c r="A271" s="3"/>
      <c r="C271" s="3"/>
      <c r="D271" s="3"/>
      <c r="E271" s="3"/>
      <c r="F271" s="3"/>
      <c r="G271" s="3"/>
      <c r="H271" s="3"/>
      <c r="I271" s="3"/>
      <c r="L271" s="3"/>
      <c r="M271" s="3"/>
      <c r="N271" s="3"/>
    </row>
    <row r="272" spans="1:14" s="2" customFormat="1" ht="13.5" customHeight="1">
      <c r="A272" s="3"/>
      <c r="C272" s="3"/>
      <c r="D272" s="3"/>
      <c r="E272" s="3"/>
      <c r="F272" s="3"/>
      <c r="G272" s="3"/>
      <c r="H272" s="3"/>
      <c r="I272" s="3"/>
      <c r="L272" s="3"/>
      <c r="M272" s="3"/>
      <c r="N272" s="3"/>
    </row>
    <row r="273" spans="1:10" s="2" customFormat="1" ht="13.5" customHeight="1">
      <c r="A273" s="3"/>
      <c r="C273" s="3"/>
      <c r="D273" s="3"/>
      <c r="E273" s="3"/>
      <c r="F273" s="59"/>
      <c r="G273" s="3"/>
      <c r="H273" s="3"/>
      <c r="I273" s="3"/>
      <c r="J273" s="42"/>
    </row>
  </sheetData>
  <mergeCells count="28">
    <mergeCell ref="A239:C239"/>
    <mergeCell ref="D239:I239"/>
    <mergeCell ref="A243:F243"/>
    <mergeCell ref="A244:D244"/>
    <mergeCell ref="E244:E245"/>
    <mergeCell ref="F244:F245"/>
    <mergeCell ref="A235:I235"/>
    <mergeCell ref="A238:C238"/>
    <mergeCell ref="D238:I238"/>
    <mergeCell ref="A10:I10"/>
    <mergeCell ref="C11:E11"/>
    <mergeCell ref="G11:I11"/>
    <mergeCell ref="D13:E13"/>
    <mergeCell ref="A6:I6"/>
    <mergeCell ref="A7:I7"/>
    <mergeCell ref="A9:B9"/>
    <mergeCell ref="C9:F9"/>
    <mergeCell ref="G9:I9"/>
    <mergeCell ref="G8:I8"/>
    <mergeCell ref="A8:F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N60"/>
  <sheetViews>
    <sheetView showGridLines="0" workbookViewId="0">
      <pane ySplit="13" topLeftCell="A14" activePane="bottomLeft" state="frozen"/>
      <selection activeCell="H242" sqref="H242"/>
      <selection pane="bottomLeft" activeCell="C18" sqref="C18"/>
    </sheetView>
  </sheetViews>
  <sheetFormatPr defaultRowHeight="13.5" customHeight="1"/>
  <cols>
    <col min="1" max="1" width="39.42578125" style="3" customWidth="1"/>
    <col min="2" max="2" width="12.5703125" style="2" bestFit="1" customWidth="1"/>
    <col min="3" max="3" width="11.28515625" style="3" bestFit="1" customWidth="1"/>
    <col min="4" max="4" width="14.140625" style="3" bestFit="1" customWidth="1"/>
    <col min="5" max="5" width="12.7109375" style="3" bestFit="1" customWidth="1"/>
    <col min="6" max="6" width="10.140625" style="3" bestFit="1" customWidth="1"/>
    <col min="7" max="7" width="11.140625" style="3" bestFit="1" customWidth="1"/>
    <col min="8" max="8" width="11.7109375" style="3" bestFit="1" customWidth="1"/>
    <col min="9" max="9" width="17.7109375" style="3" bestFit="1" customWidth="1"/>
    <col min="10" max="10" width="24.7109375" style="2" hidden="1" customWidth="1"/>
    <col min="11" max="11" width="10.42578125" style="2" hidden="1" customWidth="1"/>
    <col min="12" max="12" width="10" style="3" bestFit="1" customWidth="1"/>
    <col min="13" max="16384" width="9.140625" style="3"/>
  </cols>
  <sheetData>
    <row r="1" spans="1:11" ht="23.2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</row>
    <row r="2" spans="1:11" ht="13.5" customHeight="1">
      <c r="J2" s="1"/>
    </row>
    <row r="3" spans="1:11" ht="15" customHeight="1" thickBot="1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4"/>
    </row>
    <row r="4" spans="1:11" ht="13.5" customHeight="1" thickTop="1">
      <c r="A4" s="174" t="s">
        <v>2</v>
      </c>
      <c r="B4" s="174"/>
      <c r="C4" s="174"/>
      <c r="D4" s="175" t="s">
        <v>3</v>
      </c>
      <c r="E4" s="176"/>
      <c r="F4" s="177"/>
      <c r="G4" s="174" t="s">
        <v>4</v>
      </c>
      <c r="H4" s="174"/>
      <c r="I4" s="174"/>
      <c r="J4" s="4"/>
    </row>
    <row r="5" spans="1:11" ht="13.5" customHeight="1">
      <c r="A5" s="168" t="s">
        <v>5</v>
      </c>
      <c r="B5" s="169"/>
      <c r="C5" s="170"/>
      <c r="D5" s="168" t="s">
        <v>6</v>
      </c>
      <c r="E5" s="169"/>
      <c r="F5" s="170"/>
      <c r="G5" s="171" t="s">
        <v>7</v>
      </c>
      <c r="H5" s="171"/>
      <c r="I5" s="171"/>
      <c r="J5" s="4"/>
    </row>
    <row r="6" spans="1:11" ht="13.5" customHeight="1">
      <c r="A6" s="178"/>
      <c r="B6" s="178"/>
      <c r="C6" s="178"/>
      <c r="D6" s="178"/>
      <c r="E6" s="178"/>
      <c r="F6" s="178"/>
      <c r="G6" s="178"/>
      <c r="H6" s="178"/>
      <c r="I6" s="178"/>
      <c r="J6" s="1"/>
    </row>
    <row r="7" spans="1:11" ht="15" customHeight="1" thickBot="1">
      <c r="A7" s="173" t="s">
        <v>128</v>
      </c>
      <c r="B7" s="173"/>
      <c r="C7" s="173"/>
      <c r="D7" s="173"/>
      <c r="E7" s="173"/>
      <c r="F7" s="173"/>
      <c r="G7" s="173"/>
      <c r="H7" s="173"/>
      <c r="I7" s="173"/>
      <c r="J7" s="5"/>
    </row>
    <row r="8" spans="1:11" s="8" customFormat="1" ht="13.5" customHeight="1" thickTop="1">
      <c r="A8" s="179" t="s">
        <v>9</v>
      </c>
      <c r="B8" s="180"/>
      <c r="C8" s="180"/>
      <c r="D8" s="180"/>
      <c r="E8" s="180"/>
      <c r="F8" s="181"/>
      <c r="G8" s="179" t="s">
        <v>130</v>
      </c>
      <c r="H8" s="180"/>
      <c r="I8" s="181"/>
      <c r="J8" s="6"/>
      <c r="K8" s="7"/>
    </row>
    <row r="9" spans="1:11" s="8" customFormat="1" ht="13.5" customHeight="1">
      <c r="A9" s="171" t="s">
        <v>10</v>
      </c>
      <c r="B9" s="171"/>
      <c r="C9" s="168" t="s">
        <v>11</v>
      </c>
      <c r="D9" s="169"/>
      <c r="E9" s="169"/>
      <c r="F9" s="170"/>
      <c r="G9" s="168" t="s">
        <v>164</v>
      </c>
      <c r="H9" s="169"/>
      <c r="I9" s="170"/>
      <c r="J9" s="6"/>
      <c r="K9" s="7"/>
    </row>
    <row r="10" spans="1:11" ht="13.5" customHeight="1">
      <c r="A10" s="178"/>
      <c r="B10" s="178"/>
      <c r="C10" s="178"/>
      <c r="D10" s="178"/>
      <c r="E10" s="178"/>
      <c r="F10" s="178"/>
      <c r="G10" s="178"/>
      <c r="H10" s="178"/>
      <c r="I10" s="178"/>
      <c r="J10" s="1"/>
    </row>
    <row r="11" spans="1:11" ht="13.5" customHeight="1">
      <c r="A11" s="9" t="s">
        <v>12</v>
      </c>
      <c r="B11" s="10"/>
      <c r="C11" s="186" t="s">
        <v>13</v>
      </c>
      <c r="D11" s="187"/>
      <c r="E11" s="188"/>
      <c r="F11" s="11"/>
      <c r="G11" s="189" t="s">
        <v>14</v>
      </c>
      <c r="H11" s="190"/>
      <c r="I11" s="191"/>
      <c r="J11" s="3"/>
    </row>
    <row r="12" spans="1:11" ht="13.5" customHeight="1">
      <c r="J12" s="1"/>
    </row>
    <row r="13" spans="1:11" s="13" customFormat="1" ht="13.5" customHeight="1">
      <c r="A13" s="12" t="s">
        <v>15</v>
      </c>
      <c r="B13" s="12" t="s">
        <v>16</v>
      </c>
      <c r="C13" s="12" t="s">
        <v>17</v>
      </c>
      <c r="D13" s="192" t="s">
        <v>18</v>
      </c>
      <c r="E13" s="192"/>
      <c r="F13" s="12" t="s">
        <v>19</v>
      </c>
      <c r="G13" s="12" t="s">
        <v>20</v>
      </c>
      <c r="H13" s="12" t="s">
        <v>21</v>
      </c>
      <c r="I13" s="12" t="s">
        <v>22</v>
      </c>
      <c r="J13" s="12" t="s">
        <v>23</v>
      </c>
      <c r="K13" s="12" t="s">
        <v>24</v>
      </c>
    </row>
    <row r="14" spans="1:11" ht="13.5" customHeight="1">
      <c r="D14" s="14"/>
      <c r="E14" s="14"/>
      <c r="F14" s="15"/>
      <c r="G14" s="16"/>
      <c r="I14" s="16"/>
      <c r="J14" s="1"/>
    </row>
    <row r="15" spans="1:11" ht="13.5" customHeight="1">
      <c r="A15" s="17" t="s">
        <v>56</v>
      </c>
      <c r="B15" s="20">
        <v>45512</v>
      </c>
      <c r="C15" s="33">
        <v>6816</v>
      </c>
      <c r="D15" s="20">
        <v>45658</v>
      </c>
      <c r="E15" s="20">
        <v>45687</v>
      </c>
      <c r="F15" s="21">
        <f>(E15-D15)+1</f>
        <v>30</v>
      </c>
      <c r="G15" s="22">
        <v>235</v>
      </c>
      <c r="H15" s="23">
        <v>1</v>
      </c>
      <c r="I15" s="24">
        <f>G15/30*H15*F15</f>
        <v>235</v>
      </c>
      <c r="J15" s="25"/>
      <c r="K15" s="23"/>
    </row>
    <row r="16" spans="1:11" ht="13.5" customHeight="1">
      <c r="A16" s="17" t="s">
        <v>56</v>
      </c>
      <c r="B16" s="20">
        <v>45512</v>
      </c>
      <c r="C16" s="33">
        <v>7182</v>
      </c>
      <c r="D16" s="20">
        <v>45658</v>
      </c>
      <c r="E16" s="20">
        <v>45687</v>
      </c>
      <c r="F16" s="21">
        <f>(E16-D16)+1</f>
        <v>30</v>
      </c>
      <c r="G16" s="22">
        <v>235</v>
      </c>
      <c r="H16" s="23">
        <v>1</v>
      </c>
      <c r="I16" s="24">
        <f t="shared" ref="I16:I19" si="0">G16/30*H16*F16</f>
        <v>235</v>
      </c>
      <c r="J16" s="25"/>
      <c r="K16" s="23"/>
    </row>
    <row r="17" spans="1:14" ht="13.5" customHeight="1">
      <c r="A17" s="17" t="s">
        <v>56</v>
      </c>
      <c r="B17" s="20">
        <v>45512</v>
      </c>
      <c r="C17" s="33">
        <v>5008</v>
      </c>
      <c r="D17" s="20">
        <v>45658</v>
      </c>
      <c r="E17" s="20">
        <v>45687</v>
      </c>
      <c r="F17" s="21">
        <f t="shared" ref="F17:F18" si="1">(E17-D17)+1</f>
        <v>30</v>
      </c>
      <c r="G17" s="22">
        <v>235</v>
      </c>
      <c r="H17" s="23">
        <v>1</v>
      </c>
      <c r="I17" s="24">
        <f t="shared" si="0"/>
        <v>235</v>
      </c>
      <c r="J17" s="25"/>
      <c r="K17" s="23"/>
    </row>
    <row r="18" spans="1:14" ht="13.5" customHeight="1">
      <c r="A18" s="17" t="s">
        <v>31</v>
      </c>
      <c r="B18" s="20">
        <v>45512</v>
      </c>
      <c r="C18" s="23">
        <v>5403</v>
      </c>
      <c r="D18" s="20">
        <v>45658</v>
      </c>
      <c r="E18" s="20">
        <v>45687</v>
      </c>
      <c r="F18" s="21">
        <f t="shared" si="1"/>
        <v>30</v>
      </c>
      <c r="G18" s="22">
        <v>242</v>
      </c>
      <c r="H18" s="23">
        <v>1</v>
      </c>
      <c r="I18" s="24">
        <f t="shared" si="0"/>
        <v>242</v>
      </c>
      <c r="J18" s="25"/>
      <c r="K18" s="23"/>
    </row>
    <row r="19" spans="1:14" ht="13.5" customHeight="1">
      <c r="A19" s="26"/>
      <c r="B19" s="20"/>
      <c r="C19" s="26"/>
      <c r="D19" s="20"/>
      <c r="E19" s="20"/>
      <c r="F19" s="21"/>
      <c r="G19" s="22"/>
      <c r="H19" s="23"/>
      <c r="I19" s="24">
        <f t="shared" si="0"/>
        <v>0</v>
      </c>
      <c r="J19" s="25"/>
      <c r="K19" s="23"/>
    </row>
    <row r="20" spans="1:14" ht="13.5" customHeight="1">
      <c r="A20" s="9" t="s">
        <v>77</v>
      </c>
      <c r="B20" s="27"/>
      <c r="C20" s="27"/>
      <c r="D20" s="28"/>
      <c r="E20" s="28"/>
      <c r="F20" s="29"/>
      <c r="G20" s="28"/>
      <c r="H20" s="12">
        <f>SUM(H15:H19)</f>
        <v>4</v>
      </c>
      <c r="I20" s="30">
        <f>SUM(I15:I19)</f>
        <v>947</v>
      </c>
      <c r="J20" s="31"/>
      <c r="K20" s="32"/>
    </row>
    <row r="21" spans="1:14" ht="13.5" customHeight="1">
      <c r="D21" s="14"/>
      <c r="E21" s="14"/>
      <c r="F21" s="15"/>
      <c r="G21" s="16"/>
      <c r="I21" s="16"/>
      <c r="J21" s="1"/>
    </row>
    <row r="22" spans="1:14" ht="13.5" customHeight="1">
      <c r="D22" s="14"/>
      <c r="E22" s="14"/>
      <c r="F22" s="15"/>
      <c r="G22" s="86"/>
      <c r="H22" s="80">
        <f>H20</f>
        <v>4</v>
      </c>
      <c r="I22" s="85">
        <f>I20</f>
        <v>947</v>
      </c>
      <c r="J22" s="1"/>
    </row>
    <row r="23" spans="1:14" ht="12" customHeight="1">
      <c r="D23" s="14"/>
      <c r="E23" s="14"/>
      <c r="F23" s="15"/>
      <c r="G23" s="86"/>
      <c r="H23" s="135"/>
      <c r="I23" s="136"/>
      <c r="J23" s="1"/>
    </row>
    <row r="24" spans="1:14" ht="12" customHeight="1">
      <c r="A24" s="130"/>
      <c r="B24" s="130"/>
      <c r="C24" s="130"/>
      <c r="D24" s="130"/>
      <c r="E24" s="130"/>
      <c r="F24" s="130"/>
      <c r="G24" s="131"/>
      <c r="H24" s="134"/>
      <c r="I24" s="139"/>
      <c r="J24" s="3"/>
    </row>
    <row r="25" spans="1:14" s="2" customFormat="1" ht="60" customHeight="1">
      <c r="A25" s="183"/>
      <c r="B25" s="178"/>
      <c r="C25" s="184"/>
      <c r="D25" s="185"/>
      <c r="E25" s="185"/>
      <c r="F25" s="185"/>
      <c r="G25" s="185"/>
      <c r="H25" s="185"/>
      <c r="I25" s="185"/>
      <c r="J25" s="3"/>
      <c r="L25" s="3"/>
      <c r="M25" s="3"/>
      <c r="N25" s="3"/>
    </row>
    <row r="26" spans="1:14" s="2" customFormat="1" ht="13.5" customHeight="1">
      <c r="A26" s="193" t="s">
        <v>95</v>
      </c>
      <c r="B26" s="193"/>
      <c r="C26" s="193"/>
      <c r="D26" s="193" t="s">
        <v>96</v>
      </c>
      <c r="E26" s="193"/>
      <c r="F26" s="193"/>
      <c r="G26" s="193"/>
      <c r="H26" s="193"/>
      <c r="I26" s="193"/>
      <c r="J26" s="3"/>
      <c r="L26" s="3"/>
      <c r="M26" s="3"/>
      <c r="N26" s="3"/>
    </row>
    <row r="27" spans="1:14" s="2" customFormat="1" ht="13.5" customHeight="1">
      <c r="A27" s="3"/>
      <c r="C27" s="3"/>
      <c r="D27" s="14"/>
      <c r="E27" s="14"/>
      <c r="F27" s="15"/>
      <c r="G27" s="16"/>
      <c r="H27" s="3"/>
      <c r="I27" s="16"/>
      <c r="J27" s="3"/>
      <c r="L27" s="3"/>
      <c r="M27" s="3"/>
      <c r="N27" s="3"/>
    </row>
    <row r="28" spans="1:14" s="2" customFormat="1" ht="13.5" customHeight="1">
      <c r="A28" s="3"/>
      <c r="C28" s="3"/>
      <c r="D28" s="14"/>
      <c r="E28" s="14"/>
      <c r="F28" s="15"/>
      <c r="G28" s="16"/>
      <c r="H28" s="3"/>
      <c r="I28" s="16"/>
      <c r="J28" s="3"/>
      <c r="L28" s="3"/>
      <c r="M28" s="3"/>
      <c r="N28" s="3"/>
    </row>
    <row r="29" spans="1:14" s="2" customFormat="1" ht="13.5" customHeight="1">
      <c r="A29" s="3"/>
      <c r="C29" s="3"/>
      <c r="D29" s="14"/>
      <c r="E29" s="14"/>
      <c r="F29" s="15"/>
      <c r="G29" s="16"/>
      <c r="H29" s="3"/>
      <c r="I29" s="16"/>
      <c r="J29" s="3"/>
      <c r="L29" s="3"/>
      <c r="M29" s="3"/>
      <c r="N29" s="3"/>
    </row>
    <row r="30" spans="1:14" s="2" customFormat="1" ht="13.5" customHeight="1">
      <c r="A30" s="194" t="s">
        <v>97</v>
      </c>
      <c r="B30" s="194"/>
      <c r="C30" s="194"/>
      <c r="D30" s="194"/>
      <c r="E30" s="194"/>
      <c r="F30" s="194"/>
      <c r="G30" s="45"/>
      <c r="H30" s="3"/>
      <c r="I30" s="16"/>
      <c r="J30" s="42"/>
      <c r="L30" s="3"/>
      <c r="M30" s="3"/>
      <c r="N30" s="3"/>
    </row>
    <row r="31" spans="1:14" s="2" customFormat="1" ht="13.5" customHeight="1">
      <c r="A31" s="195" t="s">
        <v>98</v>
      </c>
      <c r="B31" s="195"/>
      <c r="C31" s="195"/>
      <c r="D31" s="195"/>
      <c r="E31" s="196" t="s">
        <v>99</v>
      </c>
      <c r="F31" s="192" t="s">
        <v>100</v>
      </c>
      <c r="G31" s="46"/>
      <c r="H31" s="3"/>
      <c r="I31" s="16"/>
      <c r="J31" s="42"/>
      <c r="L31" s="3"/>
      <c r="M31" s="3"/>
      <c r="N31" s="3"/>
    </row>
    <row r="32" spans="1:14" s="2" customFormat="1" ht="13.5" customHeight="1">
      <c r="A32" s="47" t="s">
        <v>15</v>
      </c>
      <c r="B32" s="47" t="s">
        <v>21</v>
      </c>
      <c r="C32" s="47" t="s">
        <v>20</v>
      </c>
      <c r="D32" s="47" t="s">
        <v>22</v>
      </c>
      <c r="E32" s="197"/>
      <c r="F32" s="192"/>
      <c r="G32" s="48"/>
      <c r="H32" s="3"/>
      <c r="I32" s="3">
        <f>SUM(I25:I31)</f>
        <v>0</v>
      </c>
      <c r="L32" s="3"/>
      <c r="M32" s="3"/>
      <c r="N32" s="3"/>
    </row>
    <row r="33" spans="1:14" s="2" customFormat="1" ht="13.5" customHeight="1">
      <c r="A33" s="17" t="s">
        <v>101</v>
      </c>
      <c r="B33" s="49"/>
      <c r="C33" s="50">
        <v>37</v>
      </c>
      <c r="D33" s="50">
        <v>0</v>
      </c>
      <c r="E33" s="23">
        <f>COUNTIFS($A$12:$A$22,"Cond Ar Janela 7.500 BTU/h")</f>
        <v>0</v>
      </c>
      <c r="F33" s="51">
        <f>B33-E33</f>
        <v>0</v>
      </c>
      <c r="G33" s="52"/>
      <c r="H33" s="3"/>
      <c r="I33" s="3"/>
      <c r="L33" s="3"/>
      <c r="M33" s="3"/>
      <c r="N33" s="3"/>
    </row>
    <row r="34" spans="1:14" s="2" customFormat="1" ht="13.5" customHeight="1">
      <c r="A34" s="17" t="s">
        <v>102</v>
      </c>
      <c r="B34" s="49"/>
      <c r="C34" s="53">
        <v>210</v>
      </c>
      <c r="D34" s="53">
        <f t="shared" ref="D34:D43" si="2">B34*C34</f>
        <v>0</v>
      </c>
      <c r="E34" s="23">
        <f>COUNTIFS($A$12:$A$22,"Cond Ar Janela 10.000 BTU/h")</f>
        <v>0</v>
      </c>
      <c r="F34" s="51">
        <f t="shared" ref="F34:F55" si="3">B34-E34</f>
        <v>0</v>
      </c>
      <c r="G34" s="52"/>
      <c r="H34" s="3"/>
      <c r="I34" s="3"/>
      <c r="L34" s="3"/>
      <c r="M34" s="3"/>
      <c r="N34" s="3"/>
    </row>
    <row r="35" spans="1:14" s="2" customFormat="1" ht="13.5" customHeight="1">
      <c r="A35" s="17" t="s">
        <v>103</v>
      </c>
      <c r="B35" s="49"/>
      <c r="C35" s="53">
        <v>208</v>
      </c>
      <c r="D35" s="53">
        <f t="shared" si="2"/>
        <v>0</v>
      </c>
      <c r="E35" s="23">
        <f>COUNTIFS($A$12:$A$22,"Cond Ar Janela 18.000 BTU/h")</f>
        <v>0</v>
      </c>
      <c r="F35" s="51">
        <f t="shared" si="3"/>
        <v>0</v>
      </c>
      <c r="G35" s="52"/>
      <c r="H35" s="3"/>
      <c r="I35" s="3"/>
      <c r="L35" s="3"/>
      <c r="M35" s="3"/>
      <c r="N35" s="3"/>
    </row>
    <row r="36" spans="1:14" s="2" customFormat="1" ht="13.5" customHeight="1">
      <c r="A36" s="17" t="s">
        <v>104</v>
      </c>
      <c r="B36" s="49"/>
      <c r="C36" s="53">
        <v>57</v>
      </c>
      <c r="D36" s="53">
        <f t="shared" si="2"/>
        <v>0</v>
      </c>
      <c r="E36" s="23">
        <f>COUNTIFS($A$12:$A$22,"Cond Ar Janela 21.000 BTU/h")</f>
        <v>0</v>
      </c>
      <c r="F36" s="51">
        <f t="shared" si="3"/>
        <v>0</v>
      </c>
      <c r="G36" s="52"/>
      <c r="H36" s="3"/>
      <c r="I36" s="3"/>
      <c r="L36" s="3"/>
      <c r="M36" s="3"/>
      <c r="N36" s="3"/>
    </row>
    <row r="37" spans="1:14" s="2" customFormat="1" ht="13.5" customHeight="1">
      <c r="A37" s="17" t="s">
        <v>25</v>
      </c>
      <c r="B37" s="49">
        <v>87</v>
      </c>
      <c r="C37" s="53">
        <v>147</v>
      </c>
      <c r="D37" s="53">
        <f t="shared" si="2"/>
        <v>12789</v>
      </c>
      <c r="E37" s="23">
        <f>COUNTIFS($A$12:$A$22,"Cond Ar Split 9.000 BTU/h Hi Wall")</f>
        <v>0</v>
      </c>
      <c r="F37" s="51">
        <f t="shared" si="3"/>
        <v>87</v>
      </c>
      <c r="G37" s="52"/>
      <c r="H37" s="3"/>
      <c r="I37" s="3"/>
      <c r="L37" s="3"/>
      <c r="M37" s="3"/>
      <c r="N37" s="3"/>
    </row>
    <row r="38" spans="1:14" s="2" customFormat="1" ht="13.5" customHeight="1">
      <c r="A38" s="17" t="s">
        <v>56</v>
      </c>
      <c r="B38" s="49">
        <v>160</v>
      </c>
      <c r="C38" s="53">
        <v>235</v>
      </c>
      <c r="D38" s="53">
        <f t="shared" si="2"/>
        <v>37600</v>
      </c>
      <c r="E38" s="23">
        <f>COUNTIFS($A$12:$A$22,"Cond Ar Split 12.000 BTU/h Hi Wall")</f>
        <v>3</v>
      </c>
      <c r="F38" s="51">
        <f t="shared" si="3"/>
        <v>157</v>
      </c>
      <c r="G38" s="52"/>
      <c r="H38" s="3"/>
      <c r="I38" s="3"/>
      <c r="L38" s="3"/>
      <c r="M38" s="3"/>
      <c r="N38" s="3"/>
    </row>
    <row r="39" spans="1:14" s="2" customFormat="1" ht="13.5" customHeight="1">
      <c r="A39" s="17" t="s">
        <v>39</v>
      </c>
      <c r="B39" s="49">
        <v>59</v>
      </c>
      <c r="C39" s="53">
        <v>238</v>
      </c>
      <c r="D39" s="53">
        <f t="shared" si="2"/>
        <v>14042</v>
      </c>
      <c r="E39" s="23">
        <f>COUNTIFS($A$12:$A$22,"Cond Ar Split 18.000 BTU/h Hi Wall")</f>
        <v>0</v>
      </c>
      <c r="F39" s="51">
        <f t="shared" si="3"/>
        <v>59</v>
      </c>
      <c r="G39" s="52"/>
      <c r="H39" s="3"/>
      <c r="I39" s="3"/>
      <c r="L39" s="3"/>
      <c r="M39" s="3"/>
      <c r="N39" s="3"/>
    </row>
    <row r="40" spans="1:14" s="2" customFormat="1" ht="13.5" customHeight="1">
      <c r="A40" s="17" t="s">
        <v>31</v>
      </c>
      <c r="B40" s="49">
        <v>51</v>
      </c>
      <c r="C40" s="53">
        <v>242</v>
      </c>
      <c r="D40" s="53">
        <f t="shared" si="2"/>
        <v>12342</v>
      </c>
      <c r="E40" s="23">
        <f>COUNTIFS($A$12:$A$22,"Cond Ar Split 22.000 BTU/h Hi Wall")</f>
        <v>1</v>
      </c>
      <c r="F40" s="51">
        <f t="shared" si="3"/>
        <v>50</v>
      </c>
      <c r="G40" s="52"/>
      <c r="H40" s="3"/>
      <c r="I40" s="3"/>
      <c r="L40" s="3"/>
      <c r="M40" s="3"/>
      <c r="N40" s="3"/>
    </row>
    <row r="41" spans="1:14" s="2" customFormat="1" ht="13.5" customHeight="1">
      <c r="A41" s="17" t="s">
        <v>105</v>
      </c>
      <c r="B41" s="49">
        <v>2</v>
      </c>
      <c r="C41" s="53">
        <v>260</v>
      </c>
      <c r="D41" s="53">
        <f t="shared" si="2"/>
        <v>520</v>
      </c>
      <c r="E41" s="23">
        <f>COUNTIFS($A$12:$A$22,"Cond Ar Split 24.000 BTU/h Hi Wall")</f>
        <v>0</v>
      </c>
      <c r="F41" s="51">
        <f t="shared" si="3"/>
        <v>2</v>
      </c>
      <c r="G41" s="52"/>
      <c r="H41" s="3"/>
      <c r="I41" s="3"/>
      <c r="L41" s="3"/>
      <c r="M41" s="3"/>
      <c r="N41" s="3"/>
    </row>
    <row r="42" spans="1:14" s="2" customFormat="1" ht="13.5" customHeight="1">
      <c r="A42" s="17" t="s">
        <v>106</v>
      </c>
      <c r="B42" s="49">
        <v>1</v>
      </c>
      <c r="C42" s="53">
        <v>347</v>
      </c>
      <c r="D42" s="53">
        <f t="shared" si="2"/>
        <v>347</v>
      </c>
      <c r="E42" s="23">
        <f>COUNTIFS($A$12:$A$22,"Cond Ar Split 30.000 BTU/h Hi Wall")</f>
        <v>0</v>
      </c>
      <c r="F42" s="51">
        <f t="shared" si="3"/>
        <v>1</v>
      </c>
      <c r="G42" s="52"/>
      <c r="H42" s="3"/>
      <c r="I42" s="3"/>
      <c r="L42" s="3"/>
      <c r="M42" s="3"/>
      <c r="N42" s="3"/>
    </row>
    <row r="43" spans="1:14" s="2" customFormat="1" ht="13.5" customHeight="1">
      <c r="A43" s="17" t="s">
        <v>107</v>
      </c>
      <c r="B43" s="49"/>
      <c r="C43" s="53">
        <v>367</v>
      </c>
      <c r="D43" s="53">
        <f t="shared" si="2"/>
        <v>0</v>
      </c>
      <c r="E43" s="23">
        <f>COUNTIFS($A$12:$A$22,"Cond Ar Split 24.000 BTU/h Piso/Teto")</f>
        <v>0</v>
      </c>
      <c r="F43" s="51">
        <f t="shared" si="3"/>
        <v>0</v>
      </c>
      <c r="G43" s="52"/>
      <c r="H43" s="3"/>
      <c r="I43" s="3"/>
      <c r="L43" s="3"/>
      <c r="M43" s="3"/>
      <c r="N43" s="3"/>
    </row>
    <row r="44" spans="1:14" s="2" customFormat="1" ht="13.5" customHeight="1">
      <c r="A44" s="17" t="s">
        <v>108</v>
      </c>
      <c r="B44" s="49"/>
      <c r="C44" s="53">
        <v>367</v>
      </c>
      <c r="D44" s="53">
        <f>B44*C44</f>
        <v>0</v>
      </c>
      <c r="E44" s="23">
        <f>COUNTIFS($A$12:$A$22,"Cond Ar Split 30.000 BTU/h Piso/Teto")</f>
        <v>0</v>
      </c>
      <c r="F44" s="51">
        <f t="shared" si="3"/>
        <v>0</v>
      </c>
      <c r="G44" s="52"/>
      <c r="H44" s="3"/>
      <c r="I44" s="3"/>
      <c r="L44" s="3"/>
      <c r="M44" s="3"/>
      <c r="N44" s="3"/>
    </row>
    <row r="45" spans="1:14" s="2" customFormat="1" ht="13.5" customHeight="1">
      <c r="A45" s="17" t="s">
        <v>54</v>
      </c>
      <c r="B45" s="49">
        <v>64</v>
      </c>
      <c r="C45" s="53">
        <v>447</v>
      </c>
      <c r="D45" s="53">
        <f>B45*C45</f>
        <v>28608</v>
      </c>
      <c r="E45" s="23">
        <f>COUNTIFS($A$12:$A$22,"Cond Ar Split 36.000 BTU/h Piso/Teto")</f>
        <v>0</v>
      </c>
      <c r="F45" s="51">
        <f t="shared" si="3"/>
        <v>64</v>
      </c>
      <c r="G45" s="52"/>
      <c r="H45" s="3"/>
      <c r="I45" s="3"/>
      <c r="L45" s="3"/>
      <c r="M45" s="3"/>
      <c r="N45" s="3"/>
    </row>
    <row r="46" spans="1:14" s="2" customFormat="1" ht="13.5" customHeight="1">
      <c r="A46" s="17" t="s">
        <v>109</v>
      </c>
      <c r="B46" s="49">
        <v>2</v>
      </c>
      <c r="C46" s="53">
        <v>497</v>
      </c>
      <c r="D46" s="53">
        <f>B46*C46</f>
        <v>994</v>
      </c>
      <c r="E46" s="23">
        <f>COUNTIFS($A$12:$A$22,"Cond Ar Split 48.000 BTU/h Piso/Teto")</f>
        <v>0</v>
      </c>
      <c r="F46" s="51">
        <f t="shared" si="3"/>
        <v>2</v>
      </c>
      <c r="G46" s="52"/>
      <c r="H46" s="3"/>
      <c r="I46" s="3"/>
      <c r="L46" s="3"/>
      <c r="M46" s="3"/>
      <c r="N46" s="3"/>
    </row>
    <row r="47" spans="1:14" s="2" customFormat="1" ht="13.5" customHeight="1">
      <c r="A47" s="17" t="s">
        <v>110</v>
      </c>
      <c r="B47" s="49"/>
      <c r="C47" s="53">
        <v>597</v>
      </c>
      <c r="D47" s="53">
        <f t="shared" ref="D47:D55" si="4">B47*C47</f>
        <v>0</v>
      </c>
      <c r="E47" s="23">
        <f>COUNTIFS($A$12:$A$22,"Cond Ar Split 60.000 BTU/h Piso/Teto")</f>
        <v>0</v>
      </c>
      <c r="F47" s="51">
        <f t="shared" si="3"/>
        <v>0</v>
      </c>
      <c r="G47" s="52"/>
      <c r="H47" s="3"/>
      <c r="I47" s="3"/>
      <c r="L47" s="3"/>
      <c r="M47" s="3"/>
      <c r="N47" s="3"/>
    </row>
    <row r="48" spans="1:14" s="2" customFormat="1" ht="13.5" customHeight="1">
      <c r="A48" s="17" t="s">
        <v>111</v>
      </c>
      <c r="B48" s="49"/>
      <c r="C48" s="53">
        <v>395</v>
      </c>
      <c r="D48" s="53">
        <f t="shared" si="4"/>
        <v>0</v>
      </c>
      <c r="E48" s="23">
        <f>COUNTIFS($A$12:$A$22,"Cond Ar Split 18.000 BTU/h Cassete")</f>
        <v>0</v>
      </c>
      <c r="F48" s="51">
        <f t="shared" si="3"/>
        <v>0</v>
      </c>
      <c r="G48" s="52"/>
      <c r="H48" s="3"/>
      <c r="I48" s="3"/>
    </row>
    <row r="49" spans="1:14" s="2" customFormat="1" ht="13.5" customHeight="1">
      <c r="A49" s="17" t="s">
        <v>112</v>
      </c>
      <c r="B49" s="49"/>
      <c r="C49" s="53">
        <v>442.75</v>
      </c>
      <c r="D49" s="53">
        <f t="shared" si="4"/>
        <v>0</v>
      </c>
      <c r="E49" s="23">
        <f>COUNTIFS($A$12:$A$22,"Cond Ar Split 24.000 BTU/h Cassete")</f>
        <v>0</v>
      </c>
      <c r="F49" s="51">
        <f t="shared" si="3"/>
        <v>0</v>
      </c>
      <c r="G49" s="52"/>
      <c r="H49" s="3"/>
      <c r="I49" s="3"/>
    </row>
    <row r="50" spans="1:14" s="2" customFormat="1" ht="13.5" customHeight="1">
      <c r="A50" s="17" t="s">
        <v>113</v>
      </c>
      <c r="B50" s="49"/>
      <c r="C50" s="53">
        <v>430</v>
      </c>
      <c r="D50" s="53">
        <f t="shared" si="4"/>
        <v>0</v>
      </c>
      <c r="E50" s="23">
        <f>COUNTIFS($A$12:$A$22,"Cond Ar Split 30.000 BTU/h Cassete")</f>
        <v>0</v>
      </c>
      <c r="F50" s="51">
        <f t="shared" si="3"/>
        <v>0</v>
      </c>
      <c r="G50" s="52"/>
      <c r="H50" s="3"/>
      <c r="I50" s="3"/>
    </row>
    <row r="51" spans="1:14" s="2" customFormat="1" ht="13.5" customHeight="1">
      <c r="A51" s="17" t="s">
        <v>114</v>
      </c>
      <c r="B51" s="49"/>
      <c r="C51" s="53">
        <v>478</v>
      </c>
      <c r="D51" s="53">
        <f t="shared" si="4"/>
        <v>0</v>
      </c>
      <c r="E51" s="23">
        <f>COUNTIFS($A$12:$A$22,"Cond Ar Split 36.000 BTU/h Cassete")</f>
        <v>0</v>
      </c>
      <c r="F51" s="51">
        <f t="shared" si="3"/>
        <v>0</v>
      </c>
      <c r="G51" s="52"/>
      <c r="H51" s="3"/>
      <c r="I51" s="3"/>
    </row>
    <row r="52" spans="1:14" s="2" customFormat="1" ht="13.5" customHeight="1">
      <c r="A52" s="17" t="s">
        <v>115</v>
      </c>
      <c r="B52" s="49"/>
      <c r="C52" s="53">
        <v>577</v>
      </c>
      <c r="D52" s="53">
        <f t="shared" si="4"/>
        <v>0</v>
      </c>
      <c r="E52" s="23">
        <f>COUNTIFS($A$12:$A$22,"Cond Ar Split 48.000 BTU/h Cassete")</f>
        <v>0</v>
      </c>
      <c r="F52" s="51">
        <f t="shared" si="3"/>
        <v>0</v>
      </c>
      <c r="G52" s="52"/>
      <c r="H52" s="3"/>
      <c r="I52" s="3"/>
    </row>
    <row r="53" spans="1:14" s="2" customFormat="1" ht="13.5" customHeight="1">
      <c r="A53" s="17" t="s">
        <v>116</v>
      </c>
      <c r="B53" s="49"/>
      <c r="C53" s="53">
        <v>645</v>
      </c>
      <c r="D53" s="53">
        <f t="shared" si="4"/>
        <v>0</v>
      </c>
      <c r="E53" s="23">
        <f>COUNTIFS($A$12:$A$22,"Cond Ar Split 60.000 BTU/h Cassete")</f>
        <v>0</v>
      </c>
      <c r="F53" s="51">
        <f t="shared" si="3"/>
        <v>0</v>
      </c>
      <c r="G53" s="52"/>
      <c r="H53" s="3"/>
      <c r="I53" s="3"/>
    </row>
    <row r="54" spans="1:14" s="2" customFormat="1" ht="13.5" customHeight="1">
      <c r="A54" s="17" t="s">
        <v>117</v>
      </c>
      <c r="B54" s="49"/>
      <c r="C54" s="53">
        <v>147</v>
      </c>
      <c r="D54" s="53">
        <f t="shared" si="4"/>
        <v>0</v>
      </c>
      <c r="E54" s="23">
        <f>COUNTIFS($A$12:$A$22,"Cond Ar Tri Split 36.000 BTU/h (3x12.000)")</f>
        <v>0</v>
      </c>
      <c r="F54" s="51">
        <f t="shared" si="3"/>
        <v>0</v>
      </c>
      <c r="G54" s="52"/>
      <c r="H54" s="3"/>
      <c r="I54" s="3"/>
    </row>
    <row r="55" spans="1:14" s="2" customFormat="1" ht="13.5" customHeight="1">
      <c r="A55" s="17" t="s">
        <v>118</v>
      </c>
      <c r="B55" s="49"/>
      <c r="C55" s="53">
        <v>100</v>
      </c>
      <c r="D55" s="53">
        <f t="shared" si="4"/>
        <v>0</v>
      </c>
      <c r="E55" s="23">
        <f>COUNTIFS($A$12:$A$22,"Cond Ar Portátil 12.000 BTU/h")</f>
        <v>0</v>
      </c>
      <c r="F55" s="51">
        <f t="shared" si="3"/>
        <v>0</v>
      </c>
      <c r="G55" s="52"/>
      <c r="H55" s="3"/>
      <c r="I55" s="3"/>
    </row>
    <row r="56" spans="1:14" s="2" customFormat="1" ht="13.5" customHeight="1">
      <c r="A56" s="54" t="s">
        <v>119</v>
      </c>
      <c r="B56" s="12">
        <f>SUM(B33:B55)</f>
        <v>426</v>
      </c>
      <c r="C56" s="55"/>
      <c r="D56" s="56">
        <f>SUM(D33:D55)</f>
        <v>107242</v>
      </c>
      <c r="E56" s="12">
        <f>SUM(E33:E55)</f>
        <v>4</v>
      </c>
      <c r="F56" s="57">
        <f>SUM(F33:F55)</f>
        <v>422</v>
      </c>
      <c r="G56" s="58"/>
      <c r="H56" s="3"/>
      <c r="I56" s="3"/>
    </row>
    <row r="57" spans="1:14" s="2" customFormat="1" ht="13.5" customHeight="1">
      <c r="A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s="2" customFormat="1" ht="13.5" customHeight="1">
      <c r="A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s="2" customFormat="1" ht="13.5" customHeight="1">
      <c r="A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s="2" customFormat="1" ht="13.5" customHeight="1">
      <c r="A60" s="3"/>
      <c r="C60" s="3"/>
      <c r="D60" s="3"/>
      <c r="E60" s="3"/>
      <c r="F60" s="59"/>
      <c r="G60" s="3"/>
      <c r="H60" s="3"/>
      <c r="I60" s="3"/>
      <c r="J60" s="42"/>
    </row>
  </sheetData>
  <mergeCells count="27">
    <mergeCell ref="A26:C26"/>
    <mergeCell ref="D26:I26"/>
    <mergeCell ref="A30:F30"/>
    <mergeCell ref="A31:D31"/>
    <mergeCell ref="E31:E32"/>
    <mergeCell ref="F31:F32"/>
    <mergeCell ref="A25:C25"/>
    <mergeCell ref="D25:I25"/>
    <mergeCell ref="A10:I10"/>
    <mergeCell ref="C11:E11"/>
    <mergeCell ref="G11:I11"/>
    <mergeCell ref="D13:E13"/>
    <mergeCell ref="A6:I6"/>
    <mergeCell ref="A7:I7"/>
    <mergeCell ref="A9:B9"/>
    <mergeCell ref="C9:F9"/>
    <mergeCell ref="G9:I9"/>
    <mergeCell ref="G8:I8"/>
    <mergeCell ref="A8:F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68"/>
  <sheetViews>
    <sheetView showGridLines="0" workbookViewId="0">
      <pane ySplit="13" topLeftCell="A17" activePane="bottomLeft" state="frozen"/>
      <selection activeCell="H242" sqref="H242"/>
      <selection pane="bottomLeft" activeCell="I27" sqref="I27"/>
    </sheetView>
  </sheetViews>
  <sheetFormatPr defaultRowHeight="13.5" customHeight="1"/>
  <cols>
    <col min="1" max="1" width="39.42578125" style="3" customWidth="1"/>
    <col min="2" max="2" width="12.5703125" style="2" bestFit="1" customWidth="1"/>
    <col min="3" max="3" width="11.28515625" style="3" bestFit="1" customWidth="1"/>
    <col min="4" max="4" width="14.140625" style="3" bestFit="1" customWidth="1"/>
    <col min="5" max="5" width="12.7109375" style="3" bestFit="1" customWidth="1"/>
    <col min="6" max="6" width="10.140625" style="3" bestFit="1" customWidth="1"/>
    <col min="7" max="7" width="11.140625" style="3" bestFit="1" customWidth="1"/>
    <col min="8" max="8" width="11.7109375" style="3" bestFit="1" customWidth="1"/>
    <col min="9" max="9" width="17.7109375" style="3" bestFit="1" customWidth="1"/>
    <col min="10" max="10" width="24.7109375" style="2" customWidth="1"/>
    <col min="11" max="11" width="10.42578125" style="2" customWidth="1"/>
    <col min="12" max="12" width="10" style="3" bestFit="1" customWidth="1"/>
    <col min="13" max="16384" width="9.140625" style="3"/>
  </cols>
  <sheetData>
    <row r="1" spans="1:11" ht="23.2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</row>
    <row r="2" spans="1:11" ht="13.5" customHeight="1">
      <c r="J2" s="1"/>
    </row>
    <row r="3" spans="1:11" ht="15" customHeight="1" thickBot="1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4"/>
    </row>
    <row r="4" spans="1:11" ht="13.5" customHeight="1" thickTop="1">
      <c r="A4" s="174" t="s">
        <v>2</v>
      </c>
      <c r="B4" s="174"/>
      <c r="C4" s="174"/>
      <c r="D4" s="175" t="s">
        <v>3</v>
      </c>
      <c r="E4" s="176"/>
      <c r="F4" s="177"/>
      <c r="G4" s="174" t="s">
        <v>4</v>
      </c>
      <c r="H4" s="174"/>
      <c r="I4" s="174"/>
      <c r="J4" s="4"/>
    </row>
    <row r="5" spans="1:11" ht="13.5" customHeight="1">
      <c r="A5" s="168" t="s">
        <v>5</v>
      </c>
      <c r="B5" s="169"/>
      <c r="C5" s="170"/>
      <c r="D5" s="168" t="s">
        <v>6</v>
      </c>
      <c r="E5" s="169"/>
      <c r="F5" s="170"/>
      <c r="G5" s="171" t="s">
        <v>7</v>
      </c>
      <c r="H5" s="171"/>
      <c r="I5" s="171"/>
      <c r="J5" s="4"/>
    </row>
    <row r="6" spans="1:11" ht="13.5" customHeight="1">
      <c r="A6" s="178"/>
      <c r="B6" s="178"/>
      <c r="C6" s="178"/>
      <c r="D6" s="178"/>
      <c r="E6" s="178"/>
      <c r="F6" s="178"/>
      <c r="G6" s="178"/>
      <c r="H6" s="178"/>
      <c r="I6" s="178"/>
      <c r="J6" s="1"/>
    </row>
    <row r="7" spans="1:11" ht="15" customHeight="1" thickBot="1">
      <c r="A7" s="173" t="s">
        <v>128</v>
      </c>
      <c r="B7" s="173"/>
      <c r="C7" s="173"/>
      <c r="D7" s="173"/>
      <c r="E7" s="173"/>
      <c r="F7" s="173"/>
      <c r="G7" s="173"/>
      <c r="H7" s="173"/>
      <c r="I7" s="173"/>
      <c r="J7" s="5"/>
    </row>
    <row r="8" spans="1:11" s="8" customFormat="1" ht="13.5" customHeight="1" thickTop="1">
      <c r="A8" s="179" t="s">
        <v>9</v>
      </c>
      <c r="B8" s="180"/>
      <c r="C8" s="180"/>
      <c r="D8" s="180"/>
      <c r="E8" s="180"/>
      <c r="F8" s="181"/>
      <c r="G8" s="179" t="s">
        <v>131</v>
      </c>
      <c r="H8" s="180"/>
      <c r="I8" s="181"/>
      <c r="J8" s="6"/>
      <c r="K8" s="7"/>
    </row>
    <row r="9" spans="1:11" s="8" customFormat="1" ht="13.5" customHeight="1">
      <c r="A9" s="171" t="s">
        <v>10</v>
      </c>
      <c r="B9" s="171"/>
      <c r="C9" s="168" t="s">
        <v>11</v>
      </c>
      <c r="D9" s="169"/>
      <c r="E9" s="169"/>
      <c r="F9" s="170"/>
      <c r="G9" s="168" t="s">
        <v>164</v>
      </c>
      <c r="H9" s="169"/>
      <c r="I9" s="170"/>
      <c r="J9" s="6"/>
      <c r="K9" s="7"/>
    </row>
    <row r="10" spans="1:11" ht="13.5" customHeight="1">
      <c r="A10" s="178"/>
      <c r="B10" s="178"/>
      <c r="C10" s="178"/>
      <c r="D10" s="178"/>
      <c r="E10" s="178"/>
      <c r="F10" s="178"/>
      <c r="G10" s="178"/>
      <c r="H10" s="178"/>
      <c r="I10" s="178"/>
      <c r="J10" s="1"/>
    </row>
    <row r="11" spans="1:11" ht="13.5" customHeight="1">
      <c r="A11" s="9" t="s">
        <v>12</v>
      </c>
      <c r="B11" s="10"/>
      <c r="C11" s="186" t="s">
        <v>13</v>
      </c>
      <c r="D11" s="187"/>
      <c r="E11" s="188"/>
      <c r="F11" s="11"/>
      <c r="G11" s="189" t="s">
        <v>14</v>
      </c>
      <c r="H11" s="190"/>
      <c r="I11" s="191"/>
      <c r="J11" s="3"/>
    </row>
    <row r="12" spans="1:11" ht="13.5" customHeight="1">
      <c r="J12" s="1"/>
    </row>
    <row r="13" spans="1:11" s="13" customFormat="1" ht="13.5" customHeight="1">
      <c r="A13" s="12" t="s">
        <v>15</v>
      </c>
      <c r="B13" s="12" t="s">
        <v>16</v>
      </c>
      <c r="C13" s="12" t="s">
        <v>17</v>
      </c>
      <c r="D13" s="192" t="s">
        <v>18</v>
      </c>
      <c r="E13" s="192"/>
      <c r="F13" s="12" t="s">
        <v>19</v>
      </c>
      <c r="G13" s="12" t="s">
        <v>20</v>
      </c>
      <c r="H13" s="12" t="s">
        <v>21</v>
      </c>
      <c r="I13" s="12" t="s">
        <v>22</v>
      </c>
      <c r="J13" s="12" t="s">
        <v>23</v>
      </c>
      <c r="K13" s="12" t="s">
        <v>24</v>
      </c>
    </row>
    <row r="14" spans="1:11" ht="13.5" customHeight="1">
      <c r="D14" s="14"/>
      <c r="E14" s="14"/>
      <c r="F14" s="15"/>
      <c r="G14" s="16"/>
      <c r="I14" s="16"/>
      <c r="J14" s="1"/>
    </row>
    <row r="15" spans="1:11" ht="13.5" customHeight="1">
      <c r="A15" s="17" t="s">
        <v>25</v>
      </c>
      <c r="B15" s="20">
        <v>45512</v>
      </c>
      <c r="C15" s="33">
        <v>14275</v>
      </c>
      <c r="D15" s="20">
        <v>45658</v>
      </c>
      <c r="E15" s="20">
        <v>45687</v>
      </c>
      <c r="F15" s="21">
        <f>(E15-D15)+1</f>
        <v>30</v>
      </c>
      <c r="G15" s="22">
        <v>147</v>
      </c>
      <c r="H15" s="23">
        <v>1</v>
      </c>
      <c r="I15" s="24">
        <f t="shared" ref="I15:I17" si="0">G15/30*H15*F15</f>
        <v>147</v>
      </c>
      <c r="J15" s="25" t="s">
        <v>78</v>
      </c>
      <c r="K15" s="23">
        <v>67794</v>
      </c>
    </row>
    <row r="16" spans="1:11" ht="13.5" customHeight="1">
      <c r="A16" s="17" t="s">
        <v>25</v>
      </c>
      <c r="B16" s="20">
        <v>45512</v>
      </c>
      <c r="C16" s="33">
        <v>14377</v>
      </c>
      <c r="D16" s="20">
        <v>45658</v>
      </c>
      <c r="E16" s="20">
        <v>45687</v>
      </c>
      <c r="F16" s="21">
        <f>(E16-D16)+1</f>
        <v>30</v>
      </c>
      <c r="G16" s="22">
        <v>147</v>
      </c>
      <c r="H16" s="23">
        <v>1</v>
      </c>
      <c r="I16" s="24">
        <f t="shared" si="0"/>
        <v>147</v>
      </c>
      <c r="J16" s="25" t="s">
        <v>79</v>
      </c>
      <c r="K16" s="23">
        <v>67794</v>
      </c>
    </row>
    <row r="17" spans="1:14" ht="13.5" customHeight="1">
      <c r="A17" s="26"/>
      <c r="B17" s="20"/>
      <c r="C17" s="34"/>
      <c r="D17" s="20"/>
      <c r="E17" s="20"/>
      <c r="F17" s="21"/>
      <c r="G17" s="22"/>
      <c r="H17" s="23"/>
      <c r="I17" s="24">
        <f t="shared" si="0"/>
        <v>0</v>
      </c>
      <c r="J17" s="25"/>
      <c r="K17" s="23"/>
    </row>
    <row r="18" spans="1:14" ht="13.5" customHeight="1">
      <c r="A18" s="9" t="s">
        <v>80</v>
      </c>
      <c r="B18" s="27"/>
      <c r="C18" s="35"/>
      <c r="D18" s="28"/>
      <c r="E18" s="28"/>
      <c r="F18" s="29"/>
      <c r="G18" s="28"/>
      <c r="H18" s="12">
        <f>SUM(H15:H17)</f>
        <v>2</v>
      </c>
      <c r="I18" s="30">
        <f>SUM(I15:I17)</f>
        <v>294</v>
      </c>
      <c r="J18" s="31"/>
      <c r="K18" s="32"/>
    </row>
    <row r="19" spans="1:14" ht="13.5" customHeight="1">
      <c r="D19" s="14"/>
      <c r="E19" s="14"/>
      <c r="F19" s="15"/>
      <c r="G19" s="16"/>
      <c r="I19" s="16"/>
      <c r="J19" s="1"/>
    </row>
    <row r="20" spans="1:14" ht="13.5" customHeight="1">
      <c r="A20" s="17" t="s">
        <v>31</v>
      </c>
      <c r="B20" s="20">
        <v>45512</v>
      </c>
      <c r="C20" s="23">
        <v>5624</v>
      </c>
      <c r="D20" s="20">
        <v>45658</v>
      </c>
      <c r="E20" s="20">
        <v>45687</v>
      </c>
      <c r="F20" s="21">
        <f t="shared" ref="F20" si="1">(E20-D20)+1</f>
        <v>30</v>
      </c>
      <c r="G20" s="22">
        <v>242</v>
      </c>
      <c r="H20" s="23">
        <v>1</v>
      </c>
      <c r="I20" s="24">
        <f>G20/30*H20*F20</f>
        <v>242</v>
      </c>
      <c r="J20" s="25"/>
      <c r="K20" s="23"/>
    </row>
    <row r="21" spans="1:14" ht="13.5" customHeight="1">
      <c r="A21" s="26"/>
      <c r="B21" s="20"/>
      <c r="C21" s="26"/>
      <c r="D21" s="20"/>
      <c r="E21" s="20"/>
      <c r="F21" s="21"/>
      <c r="G21" s="22"/>
      <c r="H21" s="23"/>
      <c r="I21" s="24">
        <f>G21/30*H21*F21</f>
        <v>0</v>
      </c>
      <c r="J21" s="25"/>
      <c r="K21" s="23"/>
    </row>
    <row r="22" spans="1:14" ht="13.5" customHeight="1">
      <c r="A22" s="9" t="s">
        <v>81</v>
      </c>
      <c r="B22" s="27"/>
      <c r="C22" s="27"/>
      <c r="D22" s="28"/>
      <c r="E22" s="28"/>
      <c r="F22" s="29"/>
      <c r="G22" s="28"/>
      <c r="H22" s="12">
        <f>SUM(H20:H21)</f>
        <v>1</v>
      </c>
      <c r="I22" s="30">
        <f>SUM(I20:I21)</f>
        <v>242</v>
      </c>
      <c r="J22" s="31"/>
      <c r="K22" s="32"/>
    </row>
    <row r="23" spans="1:14" ht="13.5" customHeight="1">
      <c r="D23" s="14"/>
      <c r="E23" s="14"/>
      <c r="F23" s="15"/>
      <c r="G23" s="16"/>
      <c r="I23" s="16"/>
      <c r="J23" s="1"/>
    </row>
    <row r="24" spans="1:14" ht="13.5" customHeight="1">
      <c r="A24" s="17" t="s">
        <v>56</v>
      </c>
      <c r="B24" s="20">
        <v>45672</v>
      </c>
      <c r="C24" s="144">
        <v>15223</v>
      </c>
      <c r="D24" s="20">
        <v>45672</v>
      </c>
      <c r="E24" s="20">
        <v>45687</v>
      </c>
      <c r="F24" s="21">
        <f t="shared" ref="F24:F25" si="2">(E24-D24)+1</f>
        <v>16</v>
      </c>
      <c r="G24" s="22">
        <v>235</v>
      </c>
      <c r="H24" s="142">
        <v>1</v>
      </c>
      <c r="I24" s="24">
        <f>G24/30*H24*F24</f>
        <v>125.33333333333333</v>
      </c>
      <c r="J24" s="25" t="s">
        <v>35</v>
      </c>
      <c r="K24" s="142">
        <v>74262</v>
      </c>
    </row>
    <row r="25" spans="1:14" ht="13.5" customHeight="1">
      <c r="A25" s="17" t="s">
        <v>56</v>
      </c>
      <c r="B25" s="20">
        <v>45672</v>
      </c>
      <c r="C25" s="144">
        <v>15216</v>
      </c>
      <c r="D25" s="20">
        <v>45672</v>
      </c>
      <c r="E25" s="20">
        <v>45687</v>
      </c>
      <c r="F25" s="21">
        <f t="shared" si="2"/>
        <v>16</v>
      </c>
      <c r="G25" s="22">
        <v>235</v>
      </c>
      <c r="H25" s="142">
        <v>1</v>
      </c>
      <c r="I25" s="24">
        <f>G25/30*H25*F25</f>
        <v>125.33333333333333</v>
      </c>
      <c r="J25" s="25" t="s">
        <v>36</v>
      </c>
      <c r="K25" s="142">
        <v>74262</v>
      </c>
    </row>
    <row r="26" spans="1:14" ht="13.5" customHeight="1">
      <c r="A26" s="26"/>
      <c r="B26" s="20"/>
      <c r="C26" s="26"/>
      <c r="D26" s="20"/>
      <c r="E26" s="20"/>
      <c r="F26" s="21"/>
      <c r="G26" s="22"/>
      <c r="H26" s="142"/>
      <c r="I26" s="24">
        <f>G26/30*H26*F26</f>
        <v>0</v>
      </c>
      <c r="J26" s="25"/>
      <c r="K26" s="142"/>
    </row>
    <row r="27" spans="1:14" ht="13.5" customHeight="1">
      <c r="A27" s="143" t="s">
        <v>167</v>
      </c>
      <c r="B27" s="27"/>
      <c r="C27" s="27"/>
      <c r="D27" s="28"/>
      <c r="E27" s="28"/>
      <c r="F27" s="29"/>
      <c r="G27" s="28"/>
      <c r="H27" s="141">
        <f>SUM(H24:H26)</f>
        <v>2</v>
      </c>
      <c r="I27" s="30">
        <f>SUM(I24:I26)</f>
        <v>250.66666666666666</v>
      </c>
      <c r="J27" s="31"/>
      <c r="K27" s="32"/>
    </row>
    <row r="28" spans="1:14" ht="13.5" customHeight="1">
      <c r="D28" s="14"/>
      <c r="E28" s="14"/>
      <c r="F28" s="15"/>
      <c r="G28" s="16"/>
      <c r="I28" s="16"/>
      <c r="J28" s="1"/>
    </row>
    <row r="29" spans="1:14" ht="13.5" customHeight="1">
      <c r="D29" s="14"/>
      <c r="E29" s="14"/>
      <c r="F29" s="15"/>
      <c r="G29" s="86"/>
      <c r="H29" s="80">
        <f>H18+H22+H27</f>
        <v>5</v>
      </c>
      <c r="I29" s="85">
        <f>I18+I22+I27</f>
        <v>786.66666666666663</v>
      </c>
      <c r="J29" s="1"/>
    </row>
    <row r="30" spans="1:14" ht="13.5" customHeight="1">
      <c r="D30" s="14"/>
      <c r="E30" s="14"/>
      <c r="F30" s="15"/>
      <c r="G30" s="86"/>
      <c r="H30" s="135"/>
      <c r="I30" s="155"/>
      <c r="J30" s="1"/>
    </row>
    <row r="31" spans="1:14" ht="13.5" customHeight="1">
      <c r="D31" s="14"/>
      <c r="E31" s="14"/>
      <c r="F31" s="15"/>
      <c r="G31" s="86"/>
      <c r="H31" s="135"/>
      <c r="I31" s="155"/>
      <c r="J31" s="1"/>
    </row>
    <row r="32" spans="1:14" s="2" customFormat="1" ht="13.5" customHeight="1">
      <c r="A32" s="4" t="s">
        <v>94</v>
      </c>
      <c r="B32" s="3"/>
      <c r="C32" s="3"/>
      <c r="D32" s="3"/>
      <c r="E32" s="3"/>
      <c r="F32" s="43"/>
      <c r="G32" s="16"/>
      <c r="H32" s="3"/>
      <c r="I32" s="44"/>
      <c r="J32" s="3"/>
      <c r="L32" s="3"/>
      <c r="M32" s="3"/>
      <c r="N32" s="3"/>
    </row>
    <row r="33" spans="1:14" s="2" customFormat="1" ht="60" customHeight="1">
      <c r="A33" s="183"/>
      <c r="B33" s="178"/>
      <c r="C33" s="184"/>
      <c r="D33" s="185"/>
      <c r="E33" s="185"/>
      <c r="F33" s="185"/>
      <c r="G33" s="185"/>
      <c r="H33" s="185"/>
      <c r="I33" s="185"/>
      <c r="J33" s="3"/>
      <c r="L33" s="3"/>
      <c r="M33" s="3"/>
      <c r="N33" s="3"/>
    </row>
    <row r="34" spans="1:14" s="2" customFormat="1" ht="13.5" customHeight="1">
      <c r="A34" s="193" t="s">
        <v>95</v>
      </c>
      <c r="B34" s="193"/>
      <c r="C34" s="193"/>
      <c r="D34" s="193" t="s">
        <v>96</v>
      </c>
      <c r="E34" s="193"/>
      <c r="F34" s="193"/>
      <c r="G34" s="193"/>
      <c r="H34" s="193"/>
      <c r="I34" s="193"/>
      <c r="J34" s="3"/>
      <c r="L34" s="3"/>
      <c r="M34" s="3"/>
      <c r="N34" s="3"/>
    </row>
    <row r="35" spans="1:14" s="2" customFormat="1" ht="13.5" customHeight="1">
      <c r="A35" s="3"/>
      <c r="C35" s="3"/>
      <c r="D35" s="14"/>
      <c r="E35" s="14"/>
      <c r="F35" s="15"/>
      <c r="G35" s="16"/>
      <c r="H35" s="3"/>
      <c r="I35" s="16"/>
      <c r="J35" s="3"/>
      <c r="L35" s="3"/>
      <c r="M35" s="3"/>
      <c r="N35" s="3"/>
    </row>
    <row r="36" spans="1:14" s="2" customFormat="1" ht="13.5" customHeight="1">
      <c r="A36" s="3"/>
      <c r="C36" s="3"/>
      <c r="D36" s="14"/>
      <c r="E36" s="14"/>
      <c r="F36" s="15"/>
      <c r="G36" s="16"/>
      <c r="H36" s="3"/>
      <c r="I36" s="16"/>
      <c r="J36" s="3"/>
      <c r="L36" s="3"/>
      <c r="M36" s="3"/>
      <c r="N36" s="3"/>
    </row>
    <row r="37" spans="1:14" s="2" customFormat="1" ht="13.5" customHeight="1">
      <c r="A37" s="3"/>
      <c r="C37" s="3"/>
      <c r="D37" s="14"/>
      <c r="E37" s="14"/>
      <c r="F37" s="15"/>
      <c r="G37" s="16"/>
      <c r="H37" s="3"/>
      <c r="I37" s="16"/>
      <c r="J37" s="3"/>
      <c r="L37" s="3"/>
      <c r="M37" s="3"/>
      <c r="N37" s="3"/>
    </row>
    <row r="38" spans="1:14" s="2" customFormat="1" ht="13.5" customHeight="1">
      <c r="A38" s="194" t="s">
        <v>97</v>
      </c>
      <c r="B38" s="194"/>
      <c r="C38" s="194"/>
      <c r="D38" s="194"/>
      <c r="E38" s="194"/>
      <c r="F38" s="194"/>
      <c r="G38" s="45"/>
      <c r="H38" s="3"/>
      <c r="I38" s="16"/>
      <c r="J38" s="42"/>
      <c r="L38" s="3"/>
      <c r="M38" s="3"/>
      <c r="N38" s="3"/>
    </row>
    <row r="39" spans="1:14" s="2" customFormat="1" ht="13.5" customHeight="1">
      <c r="A39" s="195" t="s">
        <v>98</v>
      </c>
      <c r="B39" s="195"/>
      <c r="C39" s="195"/>
      <c r="D39" s="195"/>
      <c r="E39" s="196" t="s">
        <v>99</v>
      </c>
      <c r="F39" s="192" t="s">
        <v>100</v>
      </c>
      <c r="G39" s="46"/>
      <c r="H39" s="3"/>
      <c r="I39" s="16"/>
      <c r="J39" s="42"/>
      <c r="L39" s="3"/>
      <c r="M39" s="3"/>
      <c r="N39" s="3"/>
    </row>
    <row r="40" spans="1:14" s="2" customFormat="1" ht="13.5" customHeight="1">
      <c r="A40" s="47" t="s">
        <v>15</v>
      </c>
      <c r="B40" s="47" t="s">
        <v>21</v>
      </c>
      <c r="C40" s="47" t="s">
        <v>20</v>
      </c>
      <c r="D40" s="47" t="s">
        <v>22</v>
      </c>
      <c r="E40" s="197"/>
      <c r="F40" s="192"/>
      <c r="G40" s="48"/>
      <c r="H40" s="3"/>
      <c r="I40" s="3"/>
      <c r="L40" s="3"/>
      <c r="M40" s="3"/>
      <c r="N40" s="3"/>
    </row>
    <row r="41" spans="1:14" s="2" customFormat="1" ht="13.5" customHeight="1">
      <c r="A41" s="17" t="s">
        <v>101</v>
      </c>
      <c r="B41" s="49"/>
      <c r="C41" s="50">
        <v>37</v>
      </c>
      <c r="D41" s="50">
        <v>0</v>
      </c>
      <c r="E41" s="23">
        <f>COUNTIFS($A$12:$A$29,"Cond Ar Janela 7.500 BTU/h")</f>
        <v>0</v>
      </c>
      <c r="F41" s="51">
        <f>B41-E41</f>
        <v>0</v>
      </c>
      <c r="G41" s="52"/>
      <c r="H41" s="3"/>
      <c r="I41" s="3"/>
      <c r="L41" s="3"/>
      <c r="M41" s="3"/>
      <c r="N41" s="3"/>
    </row>
    <row r="42" spans="1:14" s="2" customFormat="1" ht="13.5" customHeight="1">
      <c r="A42" s="17" t="s">
        <v>102</v>
      </c>
      <c r="B42" s="49"/>
      <c r="C42" s="53">
        <v>210</v>
      </c>
      <c r="D42" s="53">
        <f t="shared" ref="D42:D51" si="3">B42*C42</f>
        <v>0</v>
      </c>
      <c r="E42" s="23">
        <f>COUNTIFS($A$12:$A$29,"Cond Ar Janela 10.000 BTU/h")</f>
        <v>0</v>
      </c>
      <c r="F42" s="51">
        <f t="shared" ref="F42:F63" si="4">B42-E42</f>
        <v>0</v>
      </c>
      <c r="G42" s="52"/>
      <c r="H42" s="3"/>
      <c r="I42" s="3"/>
      <c r="L42" s="3"/>
      <c r="M42" s="3"/>
      <c r="N42" s="3"/>
    </row>
    <row r="43" spans="1:14" s="2" customFormat="1" ht="13.5" customHeight="1">
      <c r="A43" s="17" t="s">
        <v>103</v>
      </c>
      <c r="B43" s="49"/>
      <c r="C43" s="53">
        <v>208</v>
      </c>
      <c r="D43" s="53">
        <f t="shared" si="3"/>
        <v>0</v>
      </c>
      <c r="E43" s="23">
        <f>COUNTIFS($A$12:$A$29,"Cond Ar Janela 18.000 BTU/h")</f>
        <v>0</v>
      </c>
      <c r="F43" s="51">
        <f t="shared" si="4"/>
        <v>0</v>
      </c>
      <c r="G43" s="52"/>
      <c r="H43" s="3"/>
      <c r="I43" s="3"/>
      <c r="L43" s="3"/>
      <c r="M43" s="3"/>
      <c r="N43" s="3"/>
    </row>
    <row r="44" spans="1:14" s="2" customFormat="1" ht="13.5" customHeight="1">
      <c r="A44" s="17" t="s">
        <v>104</v>
      </c>
      <c r="B44" s="49"/>
      <c r="C44" s="53">
        <v>57</v>
      </c>
      <c r="D44" s="53">
        <f t="shared" si="3"/>
        <v>0</v>
      </c>
      <c r="E44" s="23">
        <f>COUNTIFS($A$12:$A$29,"Cond Ar Janela 21.000 BTU/h")</f>
        <v>0</v>
      </c>
      <c r="F44" s="51">
        <f t="shared" si="4"/>
        <v>0</v>
      </c>
      <c r="G44" s="52"/>
      <c r="H44" s="3"/>
      <c r="I44" s="3"/>
      <c r="L44" s="3"/>
      <c r="M44" s="3"/>
      <c r="N44" s="3"/>
    </row>
    <row r="45" spans="1:14" s="2" customFormat="1" ht="13.5" customHeight="1">
      <c r="A45" s="17" t="s">
        <v>25</v>
      </c>
      <c r="B45" s="49">
        <v>87</v>
      </c>
      <c r="C45" s="53">
        <v>147</v>
      </c>
      <c r="D45" s="53">
        <f t="shared" si="3"/>
        <v>12789</v>
      </c>
      <c r="E45" s="23">
        <f>COUNTIFS($A$12:$A$29,"Cond Ar Split 9.000 BTU/h Hi Wall")</f>
        <v>2</v>
      </c>
      <c r="F45" s="51">
        <f t="shared" si="4"/>
        <v>85</v>
      </c>
      <c r="G45" s="52"/>
      <c r="H45" s="3"/>
      <c r="I45" s="3"/>
      <c r="L45" s="3"/>
      <c r="M45" s="3"/>
      <c r="N45" s="3"/>
    </row>
    <row r="46" spans="1:14" s="2" customFormat="1" ht="13.5" customHeight="1">
      <c r="A46" s="17" t="s">
        <v>56</v>
      </c>
      <c r="B46" s="49">
        <v>160</v>
      </c>
      <c r="C46" s="53">
        <v>235</v>
      </c>
      <c r="D46" s="53">
        <f t="shared" si="3"/>
        <v>37600</v>
      </c>
      <c r="E46" s="23">
        <f>COUNTIFS($A$12:$A$29,"Cond Ar Split 12.000 BTU/h Hi Wall")</f>
        <v>2</v>
      </c>
      <c r="F46" s="51">
        <f t="shared" si="4"/>
        <v>158</v>
      </c>
      <c r="G46" s="52"/>
      <c r="H46" s="3"/>
      <c r="I46" s="3"/>
      <c r="L46" s="3"/>
      <c r="M46" s="3"/>
      <c r="N46" s="3"/>
    </row>
    <row r="47" spans="1:14" s="2" customFormat="1" ht="13.5" customHeight="1">
      <c r="A47" s="17" t="s">
        <v>39</v>
      </c>
      <c r="B47" s="49">
        <v>59</v>
      </c>
      <c r="C47" s="53">
        <v>238</v>
      </c>
      <c r="D47" s="53">
        <f t="shared" si="3"/>
        <v>14042</v>
      </c>
      <c r="E47" s="23">
        <f>COUNTIFS($A$12:$A$29,"Cond Ar Split 18.000 BTU/h Hi Wall")</f>
        <v>0</v>
      </c>
      <c r="F47" s="51">
        <f t="shared" si="4"/>
        <v>59</v>
      </c>
      <c r="G47" s="52"/>
      <c r="H47" s="3"/>
      <c r="I47" s="3"/>
      <c r="L47" s="3"/>
      <c r="M47" s="3"/>
      <c r="N47" s="3"/>
    </row>
    <row r="48" spans="1:14" s="2" customFormat="1" ht="13.5" customHeight="1">
      <c r="A48" s="17" t="s">
        <v>31</v>
      </c>
      <c r="B48" s="49">
        <v>51</v>
      </c>
      <c r="C48" s="53">
        <v>242</v>
      </c>
      <c r="D48" s="53">
        <f t="shared" si="3"/>
        <v>12342</v>
      </c>
      <c r="E48" s="23">
        <f>COUNTIFS($A$12:$A$29,"Cond Ar Split 22.000 BTU/h Hi Wall")</f>
        <v>1</v>
      </c>
      <c r="F48" s="51">
        <f t="shared" si="4"/>
        <v>50</v>
      </c>
      <c r="G48" s="52"/>
      <c r="H48" s="3"/>
      <c r="I48" s="3"/>
      <c r="L48" s="3"/>
      <c r="M48" s="3"/>
      <c r="N48" s="3"/>
    </row>
    <row r="49" spans="1:14" s="2" customFormat="1" ht="13.5" customHeight="1">
      <c r="A49" s="17" t="s">
        <v>105</v>
      </c>
      <c r="B49" s="49">
        <v>2</v>
      </c>
      <c r="C49" s="53">
        <v>260</v>
      </c>
      <c r="D49" s="53">
        <f t="shared" si="3"/>
        <v>520</v>
      </c>
      <c r="E49" s="23">
        <f>COUNTIFS($A$12:$A$29,"Cond Ar Split 24.000 BTU/h Hi Wall")</f>
        <v>0</v>
      </c>
      <c r="F49" s="51">
        <f t="shared" si="4"/>
        <v>2</v>
      </c>
      <c r="G49" s="52"/>
      <c r="H49" s="3"/>
      <c r="I49" s="3"/>
      <c r="L49" s="3"/>
      <c r="M49" s="3"/>
      <c r="N49" s="3"/>
    </row>
    <row r="50" spans="1:14" s="2" customFormat="1" ht="13.5" customHeight="1">
      <c r="A50" s="17" t="s">
        <v>106</v>
      </c>
      <c r="B50" s="49">
        <v>1</v>
      </c>
      <c r="C50" s="53">
        <v>347</v>
      </c>
      <c r="D50" s="53">
        <f t="shared" si="3"/>
        <v>347</v>
      </c>
      <c r="E50" s="23">
        <f>COUNTIFS($A$12:$A$29,"Cond Ar Split 30.000 BTU/h Hi Wall")</f>
        <v>0</v>
      </c>
      <c r="F50" s="51">
        <f t="shared" si="4"/>
        <v>1</v>
      </c>
      <c r="G50" s="52"/>
      <c r="H50" s="3"/>
      <c r="I50" s="3"/>
      <c r="L50" s="3"/>
      <c r="M50" s="3"/>
      <c r="N50" s="3"/>
    </row>
    <row r="51" spans="1:14" s="2" customFormat="1" ht="13.5" customHeight="1">
      <c r="A51" s="17" t="s">
        <v>107</v>
      </c>
      <c r="B51" s="49"/>
      <c r="C51" s="53">
        <v>367</v>
      </c>
      <c r="D51" s="53">
        <f t="shared" si="3"/>
        <v>0</v>
      </c>
      <c r="E51" s="23">
        <f>COUNTIFS($A$12:$A$29,"Cond Ar Split 24.000 BTU/h Piso/Teto")</f>
        <v>0</v>
      </c>
      <c r="F51" s="51">
        <f t="shared" si="4"/>
        <v>0</v>
      </c>
      <c r="G51" s="52"/>
      <c r="H51" s="3"/>
      <c r="I51" s="3"/>
      <c r="L51" s="3"/>
      <c r="M51" s="3"/>
      <c r="N51" s="3"/>
    </row>
    <row r="52" spans="1:14" s="2" customFormat="1" ht="13.5" customHeight="1">
      <c r="A52" s="17" t="s">
        <v>108</v>
      </c>
      <c r="B52" s="49"/>
      <c r="C52" s="53">
        <v>367</v>
      </c>
      <c r="D52" s="53">
        <f>B52*C52</f>
        <v>0</v>
      </c>
      <c r="E52" s="23">
        <f>COUNTIFS($A$12:$A$29,"Cond Ar Split 30.000 BTU/h Piso/Teto")</f>
        <v>0</v>
      </c>
      <c r="F52" s="51">
        <f t="shared" si="4"/>
        <v>0</v>
      </c>
      <c r="G52" s="52"/>
      <c r="H52" s="3"/>
      <c r="I52" s="3"/>
      <c r="L52" s="3"/>
      <c r="M52" s="3"/>
      <c r="N52" s="3"/>
    </row>
    <row r="53" spans="1:14" s="2" customFormat="1" ht="13.5" customHeight="1">
      <c r="A53" s="17" t="s">
        <v>54</v>
      </c>
      <c r="B53" s="49">
        <v>64</v>
      </c>
      <c r="C53" s="53">
        <v>447</v>
      </c>
      <c r="D53" s="53">
        <f>B53*C53</f>
        <v>28608</v>
      </c>
      <c r="E53" s="23">
        <f>COUNTIFS($A$12:$A$29,"Cond Ar Split 36.000 BTU/h Piso/Teto")</f>
        <v>0</v>
      </c>
      <c r="F53" s="51">
        <f t="shared" si="4"/>
        <v>64</v>
      </c>
      <c r="G53" s="52"/>
      <c r="H53" s="3"/>
      <c r="I53" s="3"/>
      <c r="L53" s="3"/>
      <c r="M53" s="3"/>
      <c r="N53" s="3"/>
    </row>
    <row r="54" spans="1:14" s="2" customFormat="1" ht="13.5" customHeight="1">
      <c r="A54" s="17" t="s">
        <v>109</v>
      </c>
      <c r="B54" s="49">
        <v>2</v>
      </c>
      <c r="C54" s="53">
        <v>497</v>
      </c>
      <c r="D54" s="53">
        <f>B54*C54</f>
        <v>994</v>
      </c>
      <c r="E54" s="23">
        <f>COUNTIFS($A$12:$A$29,"Cond Ar Split 48.000 BTU/h Piso/Teto")</f>
        <v>0</v>
      </c>
      <c r="F54" s="51">
        <f t="shared" si="4"/>
        <v>2</v>
      </c>
      <c r="G54" s="52"/>
      <c r="H54" s="3"/>
      <c r="I54" s="3"/>
      <c r="L54" s="3"/>
      <c r="M54" s="3"/>
      <c r="N54" s="3"/>
    </row>
    <row r="55" spans="1:14" s="2" customFormat="1" ht="13.5" customHeight="1">
      <c r="A55" s="17" t="s">
        <v>110</v>
      </c>
      <c r="B55" s="49"/>
      <c r="C55" s="53">
        <v>597</v>
      </c>
      <c r="D55" s="53">
        <f t="shared" ref="D55:D63" si="5">B55*C55</f>
        <v>0</v>
      </c>
      <c r="E55" s="23">
        <f>COUNTIFS($A$12:$A$29,"Cond Ar Split 60.000 BTU/h Piso/Teto")</f>
        <v>0</v>
      </c>
      <c r="F55" s="51">
        <f t="shared" si="4"/>
        <v>0</v>
      </c>
      <c r="G55" s="52"/>
      <c r="H55" s="3"/>
      <c r="I55" s="3"/>
      <c r="L55" s="3"/>
      <c r="M55" s="3"/>
      <c r="N55" s="3"/>
    </row>
    <row r="56" spans="1:14" s="2" customFormat="1" ht="13.5" customHeight="1">
      <c r="A56" s="17" t="s">
        <v>111</v>
      </c>
      <c r="B56" s="49"/>
      <c r="C56" s="53">
        <v>395</v>
      </c>
      <c r="D56" s="53">
        <f t="shared" si="5"/>
        <v>0</v>
      </c>
      <c r="E56" s="23">
        <f>COUNTIFS($A$12:$A$29,"Cond Ar Split 18.000 BTU/h Cassete")</f>
        <v>0</v>
      </c>
      <c r="F56" s="51">
        <f t="shared" si="4"/>
        <v>0</v>
      </c>
      <c r="G56" s="52"/>
      <c r="H56" s="3"/>
      <c r="I56" s="3"/>
    </row>
    <row r="57" spans="1:14" s="2" customFormat="1" ht="13.5" customHeight="1">
      <c r="A57" s="17" t="s">
        <v>112</v>
      </c>
      <c r="B57" s="49"/>
      <c r="C57" s="53">
        <v>442.75</v>
      </c>
      <c r="D57" s="53">
        <f t="shared" si="5"/>
        <v>0</v>
      </c>
      <c r="E57" s="23">
        <f>COUNTIFS($A$12:$A$29,"Cond Ar Split 24.000 BTU/h Cassete")</f>
        <v>0</v>
      </c>
      <c r="F57" s="51">
        <f t="shared" si="4"/>
        <v>0</v>
      </c>
      <c r="G57" s="52"/>
      <c r="H57" s="3"/>
      <c r="I57" s="3"/>
    </row>
    <row r="58" spans="1:14" s="2" customFormat="1" ht="13.5" customHeight="1">
      <c r="A58" s="17" t="s">
        <v>113</v>
      </c>
      <c r="B58" s="49"/>
      <c r="C58" s="53">
        <v>430</v>
      </c>
      <c r="D58" s="53">
        <f t="shared" si="5"/>
        <v>0</v>
      </c>
      <c r="E58" s="23">
        <f>COUNTIFS($A$12:$A$29,"Cond Ar Split 30.000 BTU/h Cassete")</f>
        <v>0</v>
      </c>
      <c r="F58" s="51">
        <f t="shared" si="4"/>
        <v>0</v>
      </c>
      <c r="G58" s="52"/>
      <c r="H58" s="3"/>
      <c r="I58" s="3"/>
    </row>
    <row r="59" spans="1:14" s="2" customFormat="1" ht="13.5" customHeight="1">
      <c r="A59" s="17" t="s">
        <v>114</v>
      </c>
      <c r="B59" s="49"/>
      <c r="C59" s="53">
        <v>478</v>
      </c>
      <c r="D59" s="53">
        <f t="shared" si="5"/>
        <v>0</v>
      </c>
      <c r="E59" s="23">
        <f>COUNTIFS($A$12:$A$29,"Cond Ar Split 36.000 BTU/h Cassete")</f>
        <v>0</v>
      </c>
      <c r="F59" s="51">
        <f t="shared" si="4"/>
        <v>0</v>
      </c>
      <c r="G59" s="52"/>
      <c r="H59" s="3"/>
      <c r="I59" s="3"/>
    </row>
    <row r="60" spans="1:14" s="2" customFormat="1" ht="13.5" customHeight="1">
      <c r="A60" s="17" t="s">
        <v>115</v>
      </c>
      <c r="B60" s="49"/>
      <c r="C60" s="53">
        <v>577</v>
      </c>
      <c r="D60" s="53">
        <f t="shared" si="5"/>
        <v>0</v>
      </c>
      <c r="E60" s="23">
        <f>COUNTIFS($A$12:$A$29,"Cond Ar Split 48.000 BTU/h Cassete")</f>
        <v>0</v>
      </c>
      <c r="F60" s="51">
        <f t="shared" si="4"/>
        <v>0</v>
      </c>
      <c r="G60" s="52"/>
      <c r="H60" s="3"/>
      <c r="I60" s="3"/>
    </row>
    <row r="61" spans="1:14" s="2" customFormat="1" ht="13.5" customHeight="1">
      <c r="A61" s="17" t="s">
        <v>116</v>
      </c>
      <c r="B61" s="49"/>
      <c r="C61" s="53">
        <v>645</v>
      </c>
      <c r="D61" s="53">
        <f t="shared" si="5"/>
        <v>0</v>
      </c>
      <c r="E61" s="23">
        <f>COUNTIFS($A$12:$A$29,"Cond Ar Split 60.000 BTU/h Cassete")</f>
        <v>0</v>
      </c>
      <c r="F61" s="51">
        <f t="shared" si="4"/>
        <v>0</v>
      </c>
      <c r="G61" s="52"/>
      <c r="H61" s="3"/>
      <c r="I61" s="3"/>
    </row>
    <row r="62" spans="1:14" s="2" customFormat="1" ht="13.5" customHeight="1">
      <c r="A62" s="17" t="s">
        <v>117</v>
      </c>
      <c r="B62" s="49"/>
      <c r="C62" s="53">
        <v>147</v>
      </c>
      <c r="D62" s="53">
        <f t="shared" si="5"/>
        <v>0</v>
      </c>
      <c r="E62" s="23">
        <f>COUNTIFS($A$12:$A$29,"Cond Ar Tri Split 36.000 BTU/h (3x12.000)")</f>
        <v>0</v>
      </c>
      <c r="F62" s="51">
        <f t="shared" si="4"/>
        <v>0</v>
      </c>
      <c r="G62" s="52"/>
      <c r="H62" s="3"/>
      <c r="I62" s="3"/>
    </row>
    <row r="63" spans="1:14" s="2" customFormat="1" ht="13.5" customHeight="1">
      <c r="A63" s="17" t="s">
        <v>118</v>
      </c>
      <c r="B63" s="49"/>
      <c r="C63" s="53">
        <v>100</v>
      </c>
      <c r="D63" s="53">
        <f t="shared" si="5"/>
        <v>0</v>
      </c>
      <c r="E63" s="23">
        <f>COUNTIFS($A$12:$A$29,"Cond Ar Portátil 12.000 BTU/h")</f>
        <v>0</v>
      </c>
      <c r="F63" s="51">
        <f t="shared" si="4"/>
        <v>0</v>
      </c>
      <c r="G63" s="52"/>
      <c r="H63" s="3"/>
      <c r="I63" s="3"/>
    </row>
    <row r="64" spans="1:14" s="2" customFormat="1" ht="13.5" customHeight="1">
      <c r="A64" s="54" t="s">
        <v>119</v>
      </c>
      <c r="B64" s="12">
        <f>SUM(B41:B63)</f>
        <v>426</v>
      </c>
      <c r="C64" s="55"/>
      <c r="D64" s="56">
        <f>SUM(D41:D63)</f>
        <v>107242</v>
      </c>
      <c r="E64" s="12">
        <f>SUM(E41:E63)</f>
        <v>5</v>
      </c>
      <c r="F64" s="57">
        <f>SUM(F41:F63)</f>
        <v>421</v>
      </c>
      <c r="G64" s="58"/>
      <c r="H64" s="3"/>
      <c r="I64" s="3"/>
    </row>
    <row r="65" spans="1:14" s="2" customFormat="1" ht="13.5" customHeight="1">
      <c r="A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s="2" customFormat="1" ht="13.5" customHeight="1">
      <c r="A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s="2" customFormat="1" ht="13.5" customHeight="1">
      <c r="A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s="2" customFormat="1" ht="13.5" customHeight="1">
      <c r="A68" s="3"/>
      <c r="C68" s="3"/>
      <c r="D68" s="3"/>
      <c r="E68" s="3"/>
      <c r="F68" s="59"/>
      <c r="G68" s="3"/>
      <c r="H68" s="3"/>
      <c r="I68" s="3"/>
      <c r="J68" s="42"/>
    </row>
  </sheetData>
  <mergeCells count="27">
    <mergeCell ref="A34:C34"/>
    <mergeCell ref="D34:I34"/>
    <mergeCell ref="A38:F38"/>
    <mergeCell ref="A39:D39"/>
    <mergeCell ref="E39:E40"/>
    <mergeCell ref="F39:F40"/>
    <mergeCell ref="A33:C33"/>
    <mergeCell ref="D33:I33"/>
    <mergeCell ref="A10:I10"/>
    <mergeCell ref="C11:E11"/>
    <mergeCell ref="G11:I11"/>
    <mergeCell ref="D13:E13"/>
    <mergeCell ref="A6:I6"/>
    <mergeCell ref="A7:I7"/>
    <mergeCell ref="A9:B9"/>
    <mergeCell ref="C9:F9"/>
    <mergeCell ref="G9:I9"/>
    <mergeCell ref="G8:I8"/>
    <mergeCell ref="A8:F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showGridLines="0" workbookViewId="0">
      <pane ySplit="13" topLeftCell="A29" activePane="bottomLeft" state="frozen"/>
      <selection activeCell="H242" sqref="H242"/>
      <selection pane="bottomLeft" activeCell="A40" sqref="A40"/>
    </sheetView>
  </sheetViews>
  <sheetFormatPr defaultRowHeight="13.5" customHeight="1"/>
  <cols>
    <col min="1" max="1" width="39.42578125" style="3" customWidth="1"/>
    <col min="2" max="2" width="12.5703125" style="2" bestFit="1" customWidth="1"/>
    <col min="3" max="3" width="11.28515625" style="3" bestFit="1" customWidth="1"/>
    <col min="4" max="4" width="14.140625" style="3" bestFit="1" customWidth="1"/>
    <col min="5" max="5" width="12.7109375" style="3" bestFit="1" customWidth="1"/>
    <col min="6" max="6" width="10.140625" style="3" bestFit="1" customWidth="1"/>
    <col min="7" max="7" width="11.140625" style="3" bestFit="1" customWidth="1"/>
    <col min="8" max="8" width="11.7109375" style="3" bestFit="1" customWidth="1"/>
    <col min="9" max="9" width="17.7109375" style="3" bestFit="1" customWidth="1"/>
    <col min="10" max="10" width="24.7109375" style="2" customWidth="1"/>
    <col min="11" max="11" width="10.42578125" style="2" customWidth="1"/>
    <col min="12" max="12" width="10" style="3" customWidth="1"/>
    <col min="13" max="16384" width="9.140625" style="3"/>
  </cols>
  <sheetData>
    <row r="1" spans="1:11" ht="23.2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</row>
    <row r="2" spans="1:11" ht="13.5" customHeight="1">
      <c r="J2" s="1"/>
    </row>
    <row r="3" spans="1:11" ht="15" customHeight="1" thickBot="1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4"/>
    </row>
    <row r="4" spans="1:11" ht="13.5" customHeight="1" thickTop="1">
      <c r="A4" s="174" t="s">
        <v>2</v>
      </c>
      <c r="B4" s="174"/>
      <c r="C4" s="174"/>
      <c r="D4" s="175" t="s">
        <v>3</v>
      </c>
      <c r="E4" s="176"/>
      <c r="F4" s="177"/>
      <c r="G4" s="174" t="s">
        <v>4</v>
      </c>
      <c r="H4" s="174"/>
      <c r="I4" s="174"/>
      <c r="J4" s="4"/>
    </row>
    <row r="5" spans="1:11" ht="13.5" customHeight="1">
      <c r="A5" s="168" t="s">
        <v>5</v>
      </c>
      <c r="B5" s="169"/>
      <c r="C5" s="170"/>
      <c r="D5" s="168" t="s">
        <v>6</v>
      </c>
      <c r="E5" s="169"/>
      <c r="F5" s="170"/>
      <c r="G5" s="171" t="s">
        <v>7</v>
      </c>
      <c r="H5" s="171"/>
      <c r="I5" s="171"/>
      <c r="J5" s="4"/>
    </row>
    <row r="6" spans="1:11" ht="13.5" customHeight="1">
      <c r="A6" s="178"/>
      <c r="B6" s="178"/>
      <c r="C6" s="178"/>
      <c r="D6" s="178"/>
      <c r="E6" s="178"/>
      <c r="F6" s="178"/>
      <c r="G6" s="178"/>
      <c r="H6" s="178"/>
      <c r="I6" s="178"/>
      <c r="J6" s="1"/>
    </row>
    <row r="7" spans="1:11" ht="15" customHeight="1" thickBot="1">
      <c r="A7" s="173" t="s">
        <v>128</v>
      </c>
      <c r="B7" s="173"/>
      <c r="C7" s="173"/>
      <c r="D7" s="173"/>
      <c r="E7" s="173"/>
      <c r="F7" s="173"/>
      <c r="G7" s="173"/>
      <c r="H7" s="173"/>
      <c r="I7" s="173"/>
      <c r="J7" s="5"/>
    </row>
    <row r="8" spans="1:11" s="8" customFormat="1" ht="13.5" customHeight="1" thickTop="1">
      <c r="A8" s="179" t="s">
        <v>9</v>
      </c>
      <c r="B8" s="180"/>
      <c r="C8" s="180"/>
      <c r="D8" s="180"/>
      <c r="E8" s="180"/>
      <c r="F8" s="181"/>
      <c r="G8" s="179" t="s">
        <v>132</v>
      </c>
      <c r="H8" s="180"/>
      <c r="I8" s="181"/>
      <c r="J8" s="6"/>
      <c r="K8" s="7"/>
    </row>
    <row r="9" spans="1:11" s="8" customFormat="1" ht="13.5" customHeight="1">
      <c r="A9" s="171" t="s">
        <v>10</v>
      </c>
      <c r="B9" s="171"/>
      <c r="C9" s="168" t="s">
        <v>11</v>
      </c>
      <c r="D9" s="169"/>
      <c r="E9" s="169"/>
      <c r="F9" s="170"/>
      <c r="G9" s="168" t="s">
        <v>164</v>
      </c>
      <c r="H9" s="169"/>
      <c r="I9" s="170"/>
      <c r="J9" s="6"/>
      <c r="K9" s="7"/>
    </row>
    <row r="10" spans="1:11" ht="13.5" customHeight="1">
      <c r="A10" s="178"/>
      <c r="B10" s="178"/>
      <c r="C10" s="178"/>
      <c r="D10" s="178"/>
      <c r="E10" s="178"/>
      <c r="F10" s="178"/>
      <c r="G10" s="178"/>
      <c r="H10" s="178"/>
      <c r="I10" s="178"/>
      <c r="J10" s="1"/>
    </row>
    <row r="11" spans="1:11" ht="13.5" customHeight="1">
      <c r="A11" s="9" t="s">
        <v>12</v>
      </c>
      <c r="B11" s="10"/>
      <c r="C11" s="186" t="s">
        <v>13</v>
      </c>
      <c r="D11" s="187"/>
      <c r="E11" s="188"/>
      <c r="F11" s="11"/>
      <c r="G11" s="189" t="s">
        <v>14</v>
      </c>
      <c r="H11" s="190"/>
      <c r="I11" s="191"/>
      <c r="J11" s="3"/>
    </row>
    <row r="12" spans="1:11" ht="13.5" customHeight="1">
      <c r="J12" s="1"/>
    </row>
    <row r="13" spans="1:11" s="13" customFormat="1" ht="13.5" customHeight="1">
      <c r="A13" s="12" t="s">
        <v>15</v>
      </c>
      <c r="B13" s="12" t="s">
        <v>16</v>
      </c>
      <c r="C13" s="12" t="s">
        <v>17</v>
      </c>
      <c r="D13" s="192" t="s">
        <v>18</v>
      </c>
      <c r="E13" s="192"/>
      <c r="F13" s="12" t="s">
        <v>19</v>
      </c>
      <c r="G13" s="12" t="s">
        <v>20</v>
      </c>
      <c r="H13" s="12" t="s">
        <v>21</v>
      </c>
      <c r="I13" s="12" t="s">
        <v>22</v>
      </c>
      <c r="J13" s="12" t="s">
        <v>23</v>
      </c>
      <c r="K13" s="12" t="s">
        <v>24</v>
      </c>
    </row>
    <row r="14" spans="1:11" ht="13.5" customHeight="1">
      <c r="D14" s="14"/>
      <c r="E14" s="14"/>
      <c r="F14" s="15"/>
      <c r="G14" s="16"/>
      <c r="I14" s="16"/>
      <c r="J14" s="1"/>
    </row>
    <row r="15" spans="1:11" ht="13.5" customHeight="1">
      <c r="A15" s="17" t="s">
        <v>39</v>
      </c>
      <c r="B15" s="20">
        <v>45673</v>
      </c>
      <c r="C15" s="144">
        <v>17551</v>
      </c>
      <c r="D15" s="20">
        <v>45673</v>
      </c>
      <c r="E15" s="20">
        <v>45687</v>
      </c>
      <c r="F15" s="21">
        <f>(E15-D15)+1</f>
        <v>15</v>
      </c>
      <c r="G15" s="156">
        <v>238</v>
      </c>
      <c r="H15" s="142">
        <v>1</v>
      </c>
      <c r="I15" s="24">
        <f t="shared" ref="I15:I19" si="0">G15/30*H15*F15</f>
        <v>119</v>
      </c>
      <c r="J15" s="25" t="s">
        <v>169</v>
      </c>
      <c r="K15" s="142">
        <v>74361</v>
      </c>
    </row>
    <row r="16" spans="1:11" ht="13.5" customHeight="1">
      <c r="A16" s="17" t="s">
        <v>39</v>
      </c>
      <c r="B16" s="20">
        <v>45673</v>
      </c>
      <c r="C16" s="144">
        <v>17550</v>
      </c>
      <c r="D16" s="20">
        <v>45673</v>
      </c>
      <c r="E16" s="20">
        <v>45687</v>
      </c>
      <c r="F16" s="21">
        <f t="shared" ref="F16:F19" si="1">(E16-D16)+1</f>
        <v>15</v>
      </c>
      <c r="G16" s="156">
        <v>238</v>
      </c>
      <c r="H16" s="142">
        <v>1</v>
      </c>
      <c r="I16" s="24">
        <f t="shared" si="0"/>
        <v>119</v>
      </c>
      <c r="J16" s="25" t="s">
        <v>170</v>
      </c>
      <c r="K16" s="142">
        <v>74361</v>
      </c>
    </row>
    <row r="17" spans="1:11" ht="13.5" customHeight="1">
      <c r="A17" s="17" t="s">
        <v>39</v>
      </c>
      <c r="B17" s="20">
        <v>45673</v>
      </c>
      <c r="C17" s="144">
        <v>17375</v>
      </c>
      <c r="D17" s="20">
        <v>45673</v>
      </c>
      <c r="E17" s="20">
        <v>45687</v>
      </c>
      <c r="F17" s="21">
        <f t="shared" si="1"/>
        <v>15</v>
      </c>
      <c r="G17" s="156">
        <v>238</v>
      </c>
      <c r="H17" s="142">
        <v>1</v>
      </c>
      <c r="I17" s="24">
        <f t="shared" si="0"/>
        <v>119</v>
      </c>
      <c r="J17" s="25" t="s">
        <v>152</v>
      </c>
      <c r="K17" s="142">
        <v>74361</v>
      </c>
    </row>
    <row r="18" spans="1:11" ht="13.5" customHeight="1">
      <c r="A18" s="17" t="s">
        <v>39</v>
      </c>
      <c r="B18" s="20">
        <v>45673</v>
      </c>
      <c r="C18" s="144">
        <v>17549</v>
      </c>
      <c r="D18" s="20">
        <v>45673</v>
      </c>
      <c r="E18" s="20">
        <v>45687</v>
      </c>
      <c r="F18" s="21">
        <f t="shared" si="1"/>
        <v>15</v>
      </c>
      <c r="G18" s="156">
        <v>238</v>
      </c>
      <c r="H18" s="142">
        <v>1</v>
      </c>
      <c r="I18" s="24">
        <f t="shared" si="0"/>
        <v>119</v>
      </c>
      <c r="J18" s="25" t="s">
        <v>171</v>
      </c>
      <c r="K18" s="142">
        <v>74362</v>
      </c>
    </row>
    <row r="19" spans="1:11" ht="13.5" customHeight="1">
      <c r="A19" s="17" t="s">
        <v>39</v>
      </c>
      <c r="B19" s="20">
        <v>45673</v>
      </c>
      <c r="C19" s="144">
        <v>17208</v>
      </c>
      <c r="D19" s="20">
        <v>45673</v>
      </c>
      <c r="E19" s="20">
        <v>45687</v>
      </c>
      <c r="F19" s="21">
        <f t="shared" si="1"/>
        <v>15</v>
      </c>
      <c r="G19" s="156">
        <v>238</v>
      </c>
      <c r="H19" s="142">
        <v>1</v>
      </c>
      <c r="I19" s="24">
        <f t="shared" si="0"/>
        <v>119</v>
      </c>
      <c r="J19" s="25" t="s">
        <v>172</v>
      </c>
      <c r="K19" s="142">
        <v>74362</v>
      </c>
    </row>
    <row r="20" spans="1:11" ht="13.5" customHeight="1">
      <c r="A20" s="17" t="s">
        <v>54</v>
      </c>
      <c r="B20" s="20">
        <v>45512</v>
      </c>
      <c r="C20" s="142">
        <v>1637</v>
      </c>
      <c r="D20" s="20">
        <v>45658</v>
      </c>
      <c r="E20" s="20">
        <v>45687</v>
      </c>
      <c r="F20" s="21">
        <f>(E20-D20)+1</f>
        <v>30</v>
      </c>
      <c r="G20" s="22">
        <v>447</v>
      </c>
      <c r="H20" s="142">
        <v>1</v>
      </c>
      <c r="I20" s="24">
        <f t="shared" ref="I20:I26" si="2">G20/30*H20*F20</f>
        <v>447</v>
      </c>
      <c r="J20" s="25" t="s">
        <v>155</v>
      </c>
      <c r="K20" s="142">
        <v>67347</v>
      </c>
    </row>
    <row r="21" spans="1:11" ht="13.5" customHeight="1">
      <c r="A21" s="17" t="s">
        <v>54</v>
      </c>
      <c r="B21" s="20">
        <v>45512</v>
      </c>
      <c r="C21" s="142">
        <v>1427</v>
      </c>
      <c r="D21" s="20">
        <v>45658</v>
      </c>
      <c r="E21" s="20">
        <v>45687</v>
      </c>
      <c r="F21" s="21">
        <f>(E21-D21)+1</f>
        <v>30</v>
      </c>
      <c r="G21" s="22">
        <v>447</v>
      </c>
      <c r="H21" s="142">
        <v>1</v>
      </c>
      <c r="I21" s="24">
        <f t="shared" si="2"/>
        <v>447</v>
      </c>
      <c r="J21" s="25" t="s">
        <v>82</v>
      </c>
      <c r="K21" s="142">
        <v>67347</v>
      </c>
    </row>
    <row r="22" spans="1:11" ht="13.5" customHeight="1">
      <c r="A22" s="17" t="s">
        <v>54</v>
      </c>
      <c r="B22" s="20">
        <v>45512</v>
      </c>
      <c r="C22" s="142">
        <v>6702</v>
      </c>
      <c r="D22" s="20">
        <v>45658</v>
      </c>
      <c r="E22" s="20">
        <v>45687</v>
      </c>
      <c r="F22" s="21">
        <f>(E22-D22)+1</f>
        <v>30</v>
      </c>
      <c r="G22" s="22">
        <v>447</v>
      </c>
      <c r="H22" s="142">
        <v>1</v>
      </c>
      <c r="I22" s="24">
        <f t="shared" si="2"/>
        <v>447</v>
      </c>
      <c r="J22" s="25" t="s">
        <v>82</v>
      </c>
      <c r="K22" s="142">
        <v>67347</v>
      </c>
    </row>
    <row r="23" spans="1:11" ht="13.5" customHeight="1">
      <c r="A23" s="17" t="s">
        <v>54</v>
      </c>
      <c r="B23" s="20">
        <v>45512</v>
      </c>
      <c r="C23" s="23">
        <v>1517</v>
      </c>
      <c r="D23" s="20">
        <v>45658</v>
      </c>
      <c r="E23" s="20">
        <v>45687</v>
      </c>
      <c r="F23" s="21">
        <f t="shared" ref="F23:F25" si="3">(E23-D23)+1</f>
        <v>30</v>
      </c>
      <c r="G23" s="22">
        <v>447</v>
      </c>
      <c r="H23" s="23">
        <v>1</v>
      </c>
      <c r="I23" s="24">
        <f t="shared" si="2"/>
        <v>447</v>
      </c>
      <c r="J23" s="25" t="s">
        <v>82</v>
      </c>
      <c r="K23" s="23">
        <v>67347</v>
      </c>
    </row>
    <row r="24" spans="1:11" ht="13.5" customHeight="1">
      <c r="A24" s="17" t="s">
        <v>54</v>
      </c>
      <c r="B24" s="20">
        <v>45512</v>
      </c>
      <c r="C24" s="23">
        <v>7617</v>
      </c>
      <c r="D24" s="20">
        <v>45658</v>
      </c>
      <c r="E24" s="20">
        <v>45687</v>
      </c>
      <c r="F24" s="21">
        <f t="shared" si="3"/>
        <v>30</v>
      </c>
      <c r="G24" s="22">
        <v>447</v>
      </c>
      <c r="H24" s="23">
        <v>1</v>
      </c>
      <c r="I24" s="24">
        <f t="shared" si="2"/>
        <v>447</v>
      </c>
      <c r="J24" s="25" t="s">
        <v>82</v>
      </c>
      <c r="K24" s="23">
        <v>67347</v>
      </c>
    </row>
    <row r="25" spans="1:11" ht="13.5" customHeight="1">
      <c r="A25" s="17" t="s">
        <v>54</v>
      </c>
      <c r="B25" s="20">
        <v>45512</v>
      </c>
      <c r="C25" s="23">
        <v>7381</v>
      </c>
      <c r="D25" s="20">
        <v>45658</v>
      </c>
      <c r="E25" s="20">
        <v>45687</v>
      </c>
      <c r="F25" s="21">
        <f t="shared" si="3"/>
        <v>30</v>
      </c>
      <c r="G25" s="22">
        <v>447</v>
      </c>
      <c r="H25" s="23">
        <v>1</v>
      </c>
      <c r="I25" s="24">
        <f t="shared" si="2"/>
        <v>447</v>
      </c>
      <c r="J25" s="25" t="s">
        <v>82</v>
      </c>
      <c r="K25" s="23">
        <v>67347</v>
      </c>
    </row>
    <row r="26" spans="1:11" ht="13.5" customHeight="1">
      <c r="A26" s="26"/>
      <c r="B26" s="20"/>
      <c r="C26" s="26"/>
      <c r="D26" s="20"/>
      <c r="E26" s="20"/>
      <c r="F26" s="21"/>
      <c r="G26" s="22"/>
      <c r="H26" s="23"/>
      <c r="I26" s="24">
        <f t="shared" si="2"/>
        <v>0</v>
      </c>
      <c r="J26" s="25"/>
      <c r="K26" s="23"/>
    </row>
    <row r="27" spans="1:11" ht="13.5" customHeight="1">
      <c r="A27" s="9" t="s">
        <v>83</v>
      </c>
      <c r="B27" s="27"/>
      <c r="C27" s="27"/>
      <c r="D27" s="28"/>
      <c r="E27" s="28"/>
      <c r="F27" s="29"/>
      <c r="G27" s="28"/>
      <c r="H27" s="12">
        <f>SUM(H20:H26)</f>
        <v>6</v>
      </c>
      <c r="I27" s="30">
        <f>SUM(I20:I26)</f>
        <v>2682</v>
      </c>
      <c r="J27" s="31"/>
      <c r="K27" s="32"/>
    </row>
    <row r="28" spans="1:11" ht="13.5" customHeight="1">
      <c r="D28" s="14"/>
      <c r="E28" s="14"/>
      <c r="F28" s="15"/>
      <c r="G28" s="16"/>
      <c r="I28" s="16"/>
      <c r="J28" s="1"/>
    </row>
    <row r="29" spans="1:11" ht="13.5" customHeight="1">
      <c r="A29" s="17" t="s">
        <v>31</v>
      </c>
      <c r="B29" s="20">
        <v>45512</v>
      </c>
      <c r="C29" s="23">
        <v>5406</v>
      </c>
      <c r="D29" s="20">
        <v>45658</v>
      </c>
      <c r="E29" s="20">
        <v>45687</v>
      </c>
      <c r="F29" s="21">
        <v>30</v>
      </c>
      <c r="G29" s="22">
        <v>242</v>
      </c>
      <c r="H29" s="23">
        <v>1</v>
      </c>
      <c r="I29" s="24">
        <f>G29/30*H29*F29</f>
        <v>242</v>
      </c>
      <c r="J29" s="25"/>
      <c r="K29" s="23"/>
    </row>
    <row r="30" spans="1:11" ht="13.5" customHeight="1">
      <c r="A30" s="17"/>
      <c r="B30" s="18"/>
      <c r="C30" s="133"/>
      <c r="D30" s="20"/>
      <c r="E30" s="20"/>
      <c r="F30" s="21"/>
      <c r="G30" s="22"/>
      <c r="H30" s="12"/>
      <c r="I30" s="24">
        <f>G31/30*H30*F31</f>
        <v>0</v>
      </c>
      <c r="J30" s="25"/>
      <c r="K30" s="133"/>
    </row>
    <row r="31" spans="1:11" ht="13.5" customHeight="1">
      <c r="A31" s="9" t="s">
        <v>84</v>
      </c>
      <c r="B31" s="27"/>
      <c r="C31" s="27"/>
      <c r="D31" s="28"/>
      <c r="E31" s="28"/>
      <c r="F31" s="28"/>
      <c r="G31" s="28"/>
      <c r="H31" s="132">
        <f>SUM(H29:H30)</f>
        <v>1</v>
      </c>
      <c r="I31" s="30">
        <f>SUM(I29:I30)</f>
        <v>242</v>
      </c>
      <c r="J31" s="31"/>
      <c r="K31" s="32"/>
    </row>
    <row r="32" spans="1:11" s="151" customFormat="1" ht="13.5" customHeight="1">
      <c r="A32" s="145"/>
      <c r="B32" s="146"/>
      <c r="C32" s="146"/>
      <c r="D32" s="147"/>
      <c r="E32" s="147"/>
      <c r="F32" s="147"/>
      <c r="G32" s="147"/>
      <c r="H32" s="146"/>
      <c r="I32" s="148"/>
      <c r="J32" s="149"/>
      <c r="K32" s="150"/>
    </row>
    <row r="33" spans="1:14" ht="13.5" customHeight="1">
      <c r="A33" s="17" t="s">
        <v>25</v>
      </c>
      <c r="B33" s="20">
        <v>45632</v>
      </c>
      <c r="C33" s="126">
        <v>16784</v>
      </c>
      <c r="D33" s="20">
        <v>45658</v>
      </c>
      <c r="E33" s="20">
        <v>45687</v>
      </c>
      <c r="F33" s="21">
        <f t="shared" ref="F33:F38" si="4">(E33-D33)+1</f>
        <v>30</v>
      </c>
      <c r="G33" s="22">
        <v>147</v>
      </c>
      <c r="H33" s="129">
        <v>1</v>
      </c>
      <c r="I33" s="24">
        <f>G33/30*H33*F33</f>
        <v>147</v>
      </c>
      <c r="J33" s="25" t="s">
        <v>163</v>
      </c>
      <c r="K33" s="129">
        <v>72640</v>
      </c>
    </row>
    <row r="34" spans="1:14" ht="13.5" customHeight="1">
      <c r="A34" s="17" t="s">
        <v>25</v>
      </c>
      <c r="B34" s="20">
        <v>45632</v>
      </c>
      <c r="C34" s="126">
        <v>16782</v>
      </c>
      <c r="D34" s="20">
        <v>45658</v>
      </c>
      <c r="E34" s="20">
        <v>45687</v>
      </c>
      <c r="F34" s="21">
        <f t="shared" si="4"/>
        <v>30</v>
      </c>
      <c r="G34" s="22">
        <v>147</v>
      </c>
      <c r="H34" s="129">
        <v>1</v>
      </c>
      <c r="I34" s="24">
        <f t="shared" ref="I34:I38" si="5">G34/30*H34*F34</f>
        <v>147</v>
      </c>
      <c r="J34" s="25" t="s">
        <v>161</v>
      </c>
      <c r="K34" s="129">
        <v>72640</v>
      </c>
    </row>
    <row r="35" spans="1:14" ht="13.5" customHeight="1">
      <c r="A35" s="17" t="s">
        <v>39</v>
      </c>
      <c r="B35" s="20">
        <v>45632</v>
      </c>
      <c r="C35" s="126">
        <v>16846</v>
      </c>
      <c r="D35" s="20">
        <v>45658</v>
      </c>
      <c r="E35" s="20">
        <v>45687</v>
      </c>
      <c r="F35" s="21">
        <f t="shared" si="4"/>
        <v>30</v>
      </c>
      <c r="G35" s="22">
        <v>238</v>
      </c>
      <c r="H35" s="129">
        <v>1</v>
      </c>
      <c r="I35" s="24">
        <f t="shared" si="5"/>
        <v>238</v>
      </c>
      <c r="J35" s="25" t="s">
        <v>160</v>
      </c>
      <c r="K35" s="129">
        <v>72640</v>
      </c>
    </row>
    <row r="36" spans="1:14" ht="13.5" customHeight="1">
      <c r="A36" s="17" t="s">
        <v>25</v>
      </c>
      <c r="B36" s="20">
        <v>45664</v>
      </c>
      <c r="C36" s="144">
        <v>16644</v>
      </c>
      <c r="D36" s="20">
        <v>45664</v>
      </c>
      <c r="E36" s="20">
        <v>45687</v>
      </c>
      <c r="F36" s="21">
        <f t="shared" si="4"/>
        <v>24</v>
      </c>
      <c r="G36" s="22">
        <v>147</v>
      </c>
      <c r="H36" s="142">
        <v>1</v>
      </c>
      <c r="I36" s="24">
        <f t="shared" si="5"/>
        <v>117.60000000000001</v>
      </c>
      <c r="J36" s="25" t="s">
        <v>162</v>
      </c>
      <c r="K36" s="142">
        <v>73350</v>
      </c>
    </row>
    <row r="37" spans="1:14" ht="13.5" customHeight="1">
      <c r="A37" s="17" t="s">
        <v>25</v>
      </c>
      <c r="B37" s="20">
        <v>45664</v>
      </c>
      <c r="C37" s="144">
        <v>16742</v>
      </c>
      <c r="D37" s="20">
        <v>45664</v>
      </c>
      <c r="E37" s="20">
        <v>45687</v>
      </c>
      <c r="F37" s="21">
        <f t="shared" si="4"/>
        <v>24</v>
      </c>
      <c r="G37" s="22">
        <v>147</v>
      </c>
      <c r="H37" s="142">
        <v>1</v>
      </c>
      <c r="I37" s="24">
        <f t="shared" si="5"/>
        <v>117.60000000000001</v>
      </c>
      <c r="J37" s="25" t="s">
        <v>157</v>
      </c>
      <c r="K37" s="142">
        <v>73350</v>
      </c>
    </row>
    <row r="38" spans="1:14" ht="13.5" customHeight="1">
      <c r="A38" s="17" t="s">
        <v>25</v>
      </c>
      <c r="B38" s="20">
        <v>45664</v>
      </c>
      <c r="C38" s="144">
        <v>16517</v>
      </c>
      <c r="D38" s="20">
        <v>45664</v>
      </c>
      <c r="E38" s="20">
        <v>45687</v>
      </c>
      <c r="F38" s="21">
        <f t="shared" si="4"/>
        <v>24</v>
      </c>
      <c r="G38" s="22">
        <v>147</v>
      </c>
      <c r="H38" s="142">
        <v>1</v>
      </c>
      <c r="I38" s="24">
        <f t="shared" si="5"/>
        <v>117.60000000000001</v>
      </c>
      <c r="J38" s="25" t="s">
        <v>159</v>
      </c>
      <c r="K38" s="142">
        <v>73350</v>
      </c>
    </row>
    <row r="39" spans="1:14" ht="13.5" customHeight="1">
      <c r="A39" s="26"/>
      <c r="B39" s="20"/>
      <c r="C39" s="26"/>
      <c r="D39" s="20"/>
      <c r="E39" s="20"/>
      <c r="F39" s="21"/>
      <c r="G39" s="22"/>
      <c r="H39" s="129"/>
      <c r="I39" s="24">
        <f t="shared" ref="I39" si="6">G39/24*H39*F39</f>
        <v>0</v>
      </c>
      <c r="J39" s="25"/>
      <c r="K39" s="129"/>
    </row>
    <row r="40" spans="1:14" ht="24.75" customHeight="1">
      <c r="A40" s="152" t="s">
        <v>166</v>
      </c>
      <c r="B40" s="153"/>
      <c r="C40" s="153"/>
      <c r="D40" s="28"/>
      <c r="E40" s="28"/>
      <c r="F40" s="154"/>
      <c r="G40" s="28"/>
      <c r="H40" s="141">
        <f>SUM(H33:H39)</f>
        <v>6</v>
      </c>
      <c r="I40" s="30">
        <f>SUM(I33:I39)</f>
        <v>884.80000000000007</v>
      </c>
      <c r="J40" s="28"/>
      <c r="K40" s="28"/>
    </row>
    <row r="42" spans="1:14" ht="13.5" customHeight="1">
      <c r="D42" s="14"/>
      <c r="E42" s="14"/>
      <c r="F42" s="15"/>
      <c r="G42" s="4"/>
      <c r="H42" s="80">
        <f>H40+H31+H27</f>
        <v>13</v>
      </c>
      <c r="I42" s="85">
        <f>I40+I31+I27</f>
        <v>3808.8</v>
      </c>
      <c r="J42" s="1"/>
      <c r="N42" s="41"/>
    </row>
    <row r="43" spans="1:14" ht="13.5" customHeight="1">
      <c r="D43" s="14"/>
      <c r="E43" s="14"/>
      <c r="F43" s="15"/>
      <c r="G43" s="16"/>
      <c r="I43" s="16"/>
      <c r="J43" s="3"/>
    </row>
    <row r="44" spans="1:14" ht="13.5" customHeight="1">
      <c r="D44" s="14"/>
      <c r="E44" s="14"/>
      <c r="F44" s="15"/>
      <c r="G44" s="16"/>
      <c r="I44" s="16"/>
      <c r="J44" s="3"/>
    </row>
    <row r="45" spans="1:14" ht="13.5" customHeight="1">
      <c r="D45" s="14"/>
      <c r="E45" s="14"/>
      <c r="F45" s="15"/>
      <c r="G45" s="16"/>
      <c r="I45" s="16"/>
      <c r="J45" s="3"/>
    </row>
    <row r="46" spans="1:14" ht="13.5" customHeight="1">
      <c r="D46" s="14"/>
      <c r="E46" s="14"/>
      <c r="F46" s="15"/>
      <c r="G46" s="16"/>
      <c r="I46" s="16"/>
      <c r="J46" s="3"/>
    </row>
    <row r="47" spans="1:14" ht="13.5" customHeight="1">
      <c r="A47" s="182" t="s">
        <v>93</v>
      </c>
      <c r="B47" s="182"/>
      <c r="C47" s="182"/>
      <c r="D47" s="182"/>
      <c r="E47" s="182"/>
      <c r="F47" s="182"/>
      <c r="G47" s="182"/>
      <c r="H47" s="182"/>
      <c r="I47" s="182"/>
      <c r="J47" s="3"/>
    </row>
    <row r="48" spans="1:14" s="2" customFormat="1" ht="13.5" customHeight="1">
      <c r="A48" s="3"/>
      <c r="C48" s="3"/>
      <c r="D48" s="3"/>
      <c r="E48" s="3"/>
      <c r="F48" s="3"/>
      <c r="G48" s="3"/>
      <c r="H48" s="3"/>
      <c r="I48" s="3"/>
      <c r="J48" s="3"/>
      <c r="L48" s="3"/>
      <c r="M48" s="3"/>
      <c r="N48" s="3"/>
    </row>
    <row r="49" spans="1:14" s="2" customFormat="1" ht="13.5" customHeight="1">
      <c r="A49" s="4" t="s">
        <v>94</v>
      </c>
      <c r="B49" s="3"/>
      <c r="C49" s="3"/>
      <c r="D49" s="3"/>
      <c r="E49" s="3"/>
      <c r="F49" s="43"/>
      <c r="G49" s="16"/>
      <c r="H49" s="3"/>
      <c r="I49" s="44"/>
      <c r="J49" s="3"/>
      <c r="L49" s="3"/>
      <c r="M49" s="3"/>
      <c r="N49" s="3"/>
    </row>
    <row r="50" spans="1:14" s="2" customFormat="1" ht="60" customHeight="1">
      <c r="A50" s="183"/>
      <c r="B50" s="178"/>
      <c r="C50" s="184"/>
      <c r="D50" s="185"/>
      <c r="E50" s="185"/>
      <c r="F50" s="185"/>
      <c r="G50" s="185"/>
      <c r="H50" s="185"/>
      <c r="I50" s="185"/>
      <c r="J50" s="3"/>
      <c r="L50" s="3"/>
      <c r="M50" s="3"/>
      <c r="N50" s="3"/>
    </row>
    <row r="51" spans="1:14" s="2" customFormat="1" ht="13.5" customHeight="1">
      <c r="A51" s="193" t="s">
        <v>95</v>
      </c>
      <c r="B51" s="193"/>
      <c r="C51" s="193"/>
      <c r="D51" s="193" t="s">
        <v>96</v>
      </c>
      <c r="E51" s="193"/>
      <c r="F51" s="193"/>
      <c r="G51" s="193"/>
      <c r="H51" s="193"/>
      <c r="I51" s="193"/>
      <c r="J51" s="3"/>
      <c r="L51" s="3"/>
      <c r="M51" s="3"/>
      <c r="N51" s="3"/>
    </row>
    <row r="52" spans="1:14" s="2" customFormat="1" ht="13.5" customHeight="1">
      <c r="A52" s="3"/>
      <c r="C52" s="3"/>
      <c r="D52" s="14"/>
      <c r="E52" s="14"/>
      <c r="F52" s="15"/>
      <c r="G52" s="16"/>
      <c r="H52" s="3"/>
      <c r="I52" s="16"/>
      <c r="J52" s="3"/>
      <c r="L52" s="3"/>
      <c r="M52" s="3"/>
      <c r="N52" s="3"/>
    </row>
    <row r="53" spans="1:14" s="2" customFormat="1" ht="13.5" customHeight="1">
      <c r="A53" s="3"/>
      <c r="C53" s="3"/>
      <c r="D53" s="14"/>
      <c r="E53" s="14"/>
      <c r="F53" s="15"/>
      <c r="G53" s="16"/>
      <c r="H53" s="3"/>
      <c r="I53" s="16"/>
      <c r="J53" s="3"/>
      <c r="L53" s="3"/>
      <c r="M53" s="3"/>
      <c r="N53" s="3"/>
    </row>
    <row r="54" spans="1:14" s="2" customFormat="1" ht="13.5" customHeight="1">
      <c r="A54" s="3"/>
      <c r="C54" s="3"/>
      <c r="D54" s="14"/>
      <c r="E54" s="14"/>
      <c r="F54" s="15"/>
      <c r="G54" s="16"/>
      <c r="H54" s="3"/>
      <c r="I54" s="16"/>
      <c r="J54" s="3"/>
      <c r="L54" s="3"/>
      <c r="M54" s="3"/>
      <c r="N54" s="3"/>
    </row>
    <row r="55" spans="1:14" s="2" customFormat="1" ht="13.5" customHeight="1">
      <c r="A55" s="194" t="s">
        <v>97</v>
      </c>
      <c r="B55" s="194"/>
      <c r="C55" s="194"/>
      <c r="D55" s="194"/>
      <c r="E55" s="194"/>
      <c r="F55" s="194"/>
      <c r="G55" s="45"/>
      <c r="H55" s="3"/>
      <c r="I55" s="16"/>
      <c r="J55" s="42"/>
      <c r="L55" s="3"/>
      <c r="M55" s="3"/>
      <c r="N55" s="3"/>
    </row>
    <row r="56" spans="1:14" s="2" customFormat="1" ht="13.5" customHeight="1">
      <c r="A56" s="195" t="s">
        <v>98</v>
      </c>
      <c r="B56" s="195"/>
      <c r="C56" s="195"/>
      <c r="D56" s="195"/>
      <c r="E56" s="196" t="s">
        <v>99</v>
      </c>
      <c r="F56" s="192" t="s">
        <v>100</v>
      </c>
      <c r="G56" s="46"/>
      <c r="H56" s="3"/>
      <c r="I56" s="16"/>
      <c r="J56" s="42"/>
      <c r="L56" s="3"/>
      <c r="M56" s="3"/>
      <c r="N56" s="3"/>
    </row>
    <row r="57" spans="1:14" s="2" customFormat="1" ht="13.5" customHeight="1">
      <c r="A57" s="47" t="s">
        <v>15</v>
      </c>
      <c r="B57" s="47" t="s">
        <v>21</v>
      </c>
      <c r="C57" s="47" t="s">
        <v>20</v>
      </c>
      <c r="D57" s="47" t="s">
        <v>22</v>
      </c>
      <c r="E57" s="197"/>
      <c r="F57" s="192"/>
      <c r="G57" s="48"/>
      <c r="H57" s="3"/>
      <c r="I57" s="3"/>
      <c r="L57" s="3"/>
      <c r="M57" s="3"/>
      <c r="N57" s="3"/>
    </row>
    <row r="58" spans="1:14" s="2" customFormat="1" ht="13.5" customHeight="1">
      <c r="A58" s="17" t="s">
        <v>101</v>
      </c>
      <c r="B58" s="49"/>
      <c r="C58" s="50">
        <v>37</v>
      </c>
      <c r="D58" s="50">
        <v>0</v>
      </c>
      <c r="E58" s="23">
        <f>COUNTIFS($A$12:$A$43,"Cond Ar Janela 7.500 BTU/h")</f>
        <v>0</v>
      </c>
      <c r="F58" s="51">
        <f>B58-E58</f>
        <v>0</v>
      </c>
      <c r="G58" s="52"/>
      <c r="H58" s="3"/>
      <c r="I58" s="3"/>
      <c r="L58" s="3"/>
      <c r="M58" s="3"/>
      <c r="N58" s="3"/>
    </row>
    <row r="59" spans="1:14" s="2" customFormat="1" ht="13.5" customHeight="1">
      <c r="A59" s="17" t="s">
        <v>102</v>
      </c>
      <c r="B59" s="49"/>
      <c r="C59" s="53">
        <v>210</v>
      </c>
      <c r="D59" s="53">
        <f t="shared" ref="D59:D68" si="7">B59*C59</f>
        <v>0</v>
      </c>
      <c r="E59" s="23">
        <f>COUNTIFS($A$12:$A$43,"Cond Ar Janela 10.000 BTU/h")</f>
        <v>0</v>
      </c>
      <c r="F59" s="51">
        <f t="shared" ref="F59:F80" si="8">B59-E59</f>
        <v>0</v>
      </c>
      <c r="G59" s="52"/>
      <c r="H59" s="3"/>
      <c r="I59" s="3"/>
      <c r="L59" s="3"/>
      <c r="M59" s="3"/>
      <c r="N59" s="3"/>
    </row>
    <row r="60" spans="1:14" s="2" customFormat="1" ht="13.5" customHeight="1">
      <c r="A60" s="17" t="s">
        <v>103</v>
      </c>
      <c r="B60" s="49"/>
      <c r="C60" s="53">
        <v>208</v>
      </c>
      <c r="D60" s="53">
        <f t="shared" si="7"/>
        <v>0</v>
      </c>
      <c r="E60" s="23">
        <f>COUNTIFS($A$12:$A$43,"Cond Ar Janela 18.000 BTU/h")</f>
        <v>0</v>
      </c>
      <c r="F60" s="51">
        <f t="shared" si="8"/>
        <v>0</v>
      </c>
      <c r="G60" s="52"/>
      <c r="H60" s="3"/>
      <c r="I60" s="3"/>
      <c r="L60" s="3"/>
      <c r="M60" s="3"/>
      <c r="N60" s="3"/>
    </row>
    <row r="61" spans="1:14" s="2" customFormat="1" ht="13.5" customHeight="1">
      <c r="A61" s="17" t="s">
        <v>104</v>
      </c>
      <c r="B61" s="49"/>
      <c r="C61" s="53">
        <v>57</v>
      </c>
      <c r="D61" s="53">
        <f t="shared" si="7"/>
        <v>0</v>
      </c>
      <c r="E61" s="23">
        <f>COUNTIFS($A$12:$A$43,"Cond Ar Janela 21.000 BTU/h")</f>
        <v>0</v>
      </c>
      <c r="F61" s="51">
        <f t="shared" si="8"/>
        <v>0</v>
      </c>
      <c r="G61" s="52"/>
      <c r="H61" s="3"/>
      <c r="I61" s="3"/>
      <c r="L61" s="3"/>
      <c r="M61" s="3"/>
      <c r="N61" s="3"/>
    </row>
    <row r="62" spans="1:14" s="2" customFormat="1" ht="13.5" customHeight="1">
      <c r="A62" s="17" t="s">
        <v>25</v>
      </c>
      <c r="B62" s="49">
        <v>87</v>
      </c>
      <c r="C62" s="53">
        <v>147</v>
      </c>
      <c r="D62" s="53">
        <f t="shared" si="7"/>
        <v>12789</v>
      </c>
      <c r="E62" s="23">
        <f>COUNTIFS($A$12:$A$43,"Cond Ar Split 9.000 BTU/h Hi Wall")</f>
        <v>5</v>
      </c>
      <c r="F62" s="51">
        <f t="shared" si="8"/>
        <v>82</v>
      </c>
      <c r="G62" s="52"/>
      <c r="H62" s="3"/>
      <c r="I62" s="3"/>
      <c r="L62" s="3"/>
      <c r="M62" s="3"/>
      <c r="N62" s="3"/>
    </row>
    <row r="63" spans="1:14" s="2" customFormat="1" ht="13.5" customHeight="1">
      <c r="A63" s="17" t="s">
        <v>56</v>
      </c>
      <c r="B63" s="49">
        <v>160</v>
      </c>
      <c r="C63" s="53">
        <v>235</v>
      </c>
      <c r="D63" s="53">
        <f t="shared" si="7"/>
        <v>37600</v>
      </c>
      <c r="E63" s="23">
        <f>COUNTIFS($A$12:$A$43,"Cond Ar Split 12.000 BTU/h Hi Wall")</f>
        <v>0</v>
      </c>
      <c r="F63" s="51">
        <f t="shared" si="8"/>
        <v>160</v>
      </c>
      <c r="G63" s="52"/>
      <c r="H63" s="3"/>
      <c r="I63" s="3"/>
      <c r="L63" s="3"/>
      <c r="M63" s="3"/>
      <c r="N63" s="3"/>
    </row>
    <row r="64" spans="1:14" s="2" customFormat="1" ht="13.5" customHeight="1">
      <c r="A64" s="17" t="s">
        <v>39</v>
      </c>
      <c r="B64" s="49">
        <v>59</v>
      </c>
      <c r="C64" s="53">
        <v>238</v>
      </c>
      <c r="D64" s="53">
        <f t="shared" si="7"/>
        <v>14042</v>
      </c>
      <c r="E64" s="23">
        <f>COUNTIFS($A$12:$A$43,"Cond Ar Split 18.000 BTU/h Hi Wall")</f>
        <v>6</v>
      </c>
      <c r="F64" s="51">
        <f t="shared" si="8"/>
        <v>53</v>
      </c>
      <c r="G64" s="52"/>
      <c r="H64" s="3"/>
      <c r="I64" s="3"/>
      <c r="L64" s="3"/>
      <c r="M64" s="3"/>
      <c r="N64" s="3"/>
    </row>
    <row r="65" spans="1:14" s="2" customFormat="1" ht="13.5" customHeight="1">
      <c r="A65" s="17" t="s">
        <v>31</v>
      </c>
      <c r="B65" s="49">
        <v>51</v>
      </c>
      <c r="C65" s="53">
        <v>242</v>
      </c>
      <c r="D65" s="53">
        <f t="shared" si="7"/>
        <v>12342</v>
      </c>
      <c r="E65" s="23">
        <f>COUNTIFS($A$12:$A$43,"Cond Ar Split 22.000 BTU/h Hi Wall")</f>
        <v>1</v>
      </c>
      <c r="F65" s="51">
        <f t="shared" si="8"/>
        <v>50</v>
      </c>
      <c r="G65" s="52"/>
      <c r="H65" s="3"/>
      <c r="I65" s="3"/>
      <c r="L65" s="3"/>
      <c r="M65" s="3"/>
      <c r="N65" s="3"/>
    </row>
    <row r="66" spans="1:14" s="2" customFormat="1" ht="13.5" customHeight="1">
      <c r="A66" s="17" t="s">
        <v>105</v>
      </c>
      <c r="B66" s="49">
        <v>2</v>
      </c>
      <c r="C66" s="53">
        <v>260</v>
      </c>
      <c r="D66" s="53">
        <f t="shared" si="7"/>
        <v>520</v>
      </c>
      <c r="E66" s="23">
        <f>COUNTIFS($A$12:$A$43,"Cond Ar Split 24.000 BTU/h Hi Wall")</f>
        <v>0</v>
      </c>
      <c r="F66" s="51">
        <f t="shared" si="8"/>
        <v>2</v>
      </c>
      <c r="G66" s="52"/>
      <c r="H66" s="3"/>
      <c r="I66" s="3"/>
      <c r="L66" s="3"/>
      <c r="M66" s="3"/>
      <c r="N66" s="3"/>
    </row>
    <row r="67" spans="1:14" s="2" customFormat="1" ht="13.5" customHeight="1">
      <c r="A67" s="17" t="s">
        <v>106</v>
      </c>
      <c r="B67" s="49">
        <v>1</v>
      </c>
      <c r="C67" s="53">
        <v>347</v>
      </c>
      <c r="D67" s="53">
        <f t="shared" si="7"/>
        <v>347</v>
      </c>
      <c r="E67" s="23">
        <f>COUNTIFS($A$12:$A$43,"Cond Ar Split 30.000 BTU/h Hi Wall")</f>
        <v>0</v>
      </c>
      <c r="F67" s="51">
        <f t="shared" si="8"/>
        <v>1</v>
      </c>
      <c r="G67" s="52"/>
      <c r="H67" s="3"/>
      <c r="I67" s="3"/>
      <c r="L67" s="3"/>
      <c r="M67" s="3"/>
      <c r="N67" s="3"/>
    </row>
    <row r="68" spans="1:14" s="2" customFormat="1" ht="13.5" customHeight="1">
      <c r="A68" s="17" t="s">
        <v>107</v>
      </c>
      <c r="B68" s="49"/>
      <c r="C68" s="53">
        <v>367</v>
      </c>
      <c r="D68" s="53">
        <f t="shared" si="7"/>
        <v>0</v>
      </c>
      <c r="E68" s="23">
        <f>COUNTIFS($A$12:$A$43,"Cond Ar Split 24.000 BTU/h Piso/Teto")</f>
        <v>0</v>
      </c>
      <c r="F68" s="51">
        <f t="shared" si="8"/>
        <v>0</v>
      </c>
      <c r="G68" s="52"/>
      <c r="H68" s="3"/>
      <c r="I68" s="3"/>
      <c r="L68" s="3"/>
      <c r="M68" s="3"/>
      <c r="N68" s="3"/>
    </row>
    <row r="69" spans="1:14" s="2" customFormat="1" ht="13.5" customHeight="1">
      <c r="A69" s="17" t="s">
        <v>108</v>
      </c>
      <c r="B69" s="49"/>
      <c r="C69" s="53">
        <v>367</v>
      </c>
      <c r="D69" s="53">
        <f>B69*C69</f>
        <v>0</v>
      </c>
      <c r="E69" s="23">
        <f>COUNTIFS($A$12:$A$43,"Cond Ar Split 30.000 BTU/h Piso/Teto")</f>
        <v>0</v>
      </c>
      <c r="F69" s="51">
        <f t="shared" si="8"/>
        <v>0</v>
      </c>
      <c r="G69" s="52"/>
      <c r="H69" s="3"/>
      <c r="I69" s="3"/>
      <c r="L69" s="3"/>
      <c r="M69" s="3"/>
      <c r="N69" s="3"/>
    </row>
    <row r="70" spans="1:14" s="2" customFormat="1" ht="13.5" customHeight="1">
      <c r="A70" s="17" t="s">
        <v>54</v>
      </c>
      <c r="B70" s="49">
        <v>64</v>
      </c>
      <c r="C70" s="53">
        <v>447</v>
      </c>
      <c r="D70" s="53">
        <f>B70*C70</f>
        <v>28608</v>
      </c>
      <c r="E70" s="23">
        <f>COUNTIFS($A$12:$A$43,"Cond Ar Split 36.000 BTU/h Piso/Teto")</f>
        <v>6</v>
      </c>
      <c r="F70" s="51">
        <f t="shared" si="8"/>
        <v>58</v>
      </c>
      <c r="G70" s="52"/>
      <c r="H70" s="3"/>
      <c r="I70" s="3"/>
      <c r="L70" s="3"/>
      <c r="M70" s="3"/>
      <c r="N70" s="3"/>
    </row>
    <row r="71" spans="1:14" s="2" customFormat="1" ht="13.5" customHeight="1">
      <c r="A71" s="17" t="s">
        <v>109</v>
      </c>
      <c r="B71" s="49">
        <v>2</v>
      </c>
      <c r="C71" s="53">
        <v>497</v>
      </c>
      <c r="D71" s="53">
        <f>B71*C71</f>
        <v>994</v>
      </c>
      <c r="E71" s="23">
        <f>COUNTIFS($A$12:$A$43,"Cond Ar Split 48.000 BTU/h Piso/Teto")</f>
        <v>0</v>
      </c>
      <c r="F71" s="51">
        <f t="shared" si="8"/>
        <v>2</v>
      </c>
      <c r="G71" s="52"/>
      <c r="H71" s="3"/>
      <c r="I71" s="3"/>
      <c r="L71" s="3"/>
      <c r="M71" s="3"/>
      <c r="N71" s="3"/>
    </row>
    <row r="72" spans="1:14" s="2" customFormat="1" ht="13.5" customHeight="1">
      <c r="A72" s="17" t="s">
        <v>110</v>
      </c>
      <c r="B72" s="49"/>
      <c r="C72" s="53">
        <v>597</v>
      </c>
      <c r="D72" s="53">
        <f t="shared" ref="D72:D80" si="9">B72*C72</f>
        <v>0</v>
      </c>
      <c r="E72" s="23">
        <f>COUNTIFS($A$12:$A$43,"Cond Ar Split 60.000 BTU/h Piso/Teto")</f>
        <v>0</v>
      </c>
      <c r="F72" s="51">
        <f t="shared" si="8"/>
        <v>0</v>
      </c>
      <c r="G72" s="52"/>
      <c r="H72" s="3"/>
      <c r="I72" s="3"/>
      <c r="L72" s="3"/>
      <c r="M72" s="3"/>
      <c r="N72" s="3"/>
    </row>
    <row r="73" spans="1:14" s="2" customFormat="1" ht="13.5" customHeight="1">
      <c r="A73" s="17" t="s">
        <v>111</v>
      </c>
      <c r="B73" s="49"/>
      <c r="C73" s="53">
        <v>395</v>
      </c>
      <c r="D73" s="53">
        <f t="shared" si="9"/>
        <v>0</v>
      </c>
      <c r="E73" s="23">
        <f>COUNTIFS($A$12:$A$43,"Cond Ar Split 18.000 BTU/h Cassete")</f>
        <v>0</v>
      </c>
      <c r="F73" s="51">
        <f t="shared" si="8"/>
        <v>0</v>
      </c>
      <c r="G73" s="52"/>
      <c r="H73" s="3"/>
      <c r="I73" s="3"/>
    </row>
    <row r="74" spans="1:14" s="2" customFormat="1" ht="13.5" customHeight="1">
      <c r="A74" s="17" t="s">
        <v>112</v>
      </c>
      <c r="B74" s="49"/>
      <c r="C74" s="53">
        <v>442.75</v>
      </c>
      <c r="D74" s="53">
        <f t="shared" si="9"/>
        <v>0</v>
      </c>
      <c r="E74" s="23">
        <f>COUNTIFS($A$12:$A$43,"Cond Ar Split 24.000 BTU/h Cassete")</f>
        <v>0</v>
      </c>
      <c r="F74" s="51">
        <f t="shared" si="8"/>
        <v>0</v>
      </c>
      <c r="G74" s="52"/>
      <c r="H74" s="3"/>
      <c r="I74" s="3"/>
    </row>
    <row r="75" spans="1:14" s="2" customFormat="1" ht="13.5" customHeight="1">
      <c r="A75" s="17" t="s">
        <v>113</v>
      </c>
      <c r="B75" s="49"/>
      <c r="C75" s="53">
        <v>430</v>
      </c>
      <c r="D75" s="53">
        <f t="shared" si="9"/>
        <v>0</v>
      </c>
      <c r="E75" s="23">
        <f>COUNTIFS($A$12:$A$43,"Cond Ar Split 30.000 BTU/h Cassete")</f>
        <v>0</v>
      </c>
      <c r="F75" s="51">
        <f t="shared" si="8"/>
        <v>0</v>
      </c>
      <c r="G75" s="52"/>
      <c r="H75" s="3"/>
      <c r="I75" s="3"/>
    </row>
    <row r="76" spans="1:14" s="2" customFormat="1" ht="13.5" customHeight="1">
      <c r="A76" s="17" t="s">
        <v>114</v>
      </c>
      <c r="B76" s="49"/>
      <c r="C76" s="53">
        <v>478</v>
      </c>
      <c r="D76" s="53">
        <f t="shared" si="9"/>
        <v>0</v>
      </c>
      <c r="E76" s="23">
        <f>COUNTIFS($A$12:$A$43,"Cond Ar Split 36.000 BTU/h Cassete")</f>
        <v>0</v>
      </c>
      <c r="F76" s="51">
        <f t="shared" si="8"/>
        <v>0</v>
      </c>
      <c r="G76" s="52"/>
      <c r="H76" s="3"/>
      <c r="I76" s="3"/>
    </row>
    <row r="77" spans="1:14" s="2" customFormat="1" ht="13.5" customHeight="1">
      <c r="A77" s="17" t="s">
        <v>115</v>
      </c>
      <c r="B77" s="49"/>
      <c r="C77" s="53">
        <v>577</v>
      </c>
      <c r="D77" s="53">
        <f t="shared" si="9"/>
        <v>0</v>
      </c>
      <c r="E77" s="23">
        <f>COUNTIFS($A$12:$A$43,"Cond Ar Split 48.000 BTU/h Cassete")</f>
        <v>0</v>
      </c>
      <c r="F77" s="51">
        <f t="shared" si="8"/>
        <v>0</v>
      </c>
      <c r="G77" s="52"/>
      <c r="H77" s="3"/>
      <c r="I77" s="3"/>
    </row>
    <row r="78" spans="1:14" s="2" customFormat="1" ht="13.5" customHeight="1">
      <c r="A78" s="17" t="s">
        <v>116</v>
      </c>
      <c r="B78" s="49"/>
      <c r="C78" s="53">
        <v>645</v>
      </c>
      <c r="D78" s="53">
        <f t="shared" si="9"/>
        <v>0</v>
      </c>
      <c r="E78" s="23">
        <f>COUNTIFS($A$12:$A$43,"Cond Ar Split 60.000 BTU/h Cassete")</f>
        <v>0</v>
      </c>
      <c r="F78" s="51">
        <f t="shared" si="8"/>
        <v>0</v>
      </c>
      <c r="G78" s="52"/>
      <c r="H78" s="3"/>
      <c r="I78" s="3"/>
    </row>
    <row r="79" spans="1:14" s="2" customFormat="1" ht="13.5" customHeight="1">
      <c r="A79" s="17" t="s">
        <v>117</v>
      </c>
      <c r="B79" s="49"/>
      <c r="C79" s="53">
        <v>147</v>
      </c>
      <c r="D79" s="53">
        <f t="shared" si="9"/>
        <v>0</v>
      </c>
      <c r="E79" s="23">
        <f>COUNTIFS($A$12:$A$43,"Cond Ar Tri Split 36.000 BTU/h (3x12.000)")</f>
        <v>0</v>
      </c>
      <c r="F79" s="51">
        <f t="shared" si="8"/>
        <v>0</v>
      </c>
      <c r="G79" s="52"/>
      <c r="H79" s="3"/>
      <c r="I79" s="3"/>
    </row>
    <row r="80" spans="1:14" s="2" customFormat="1" ht="13.5" customHeight="1">
      <c r="A80" s="17" t="s">
        <v>118</v>
      </c>
      <c r="B80" s="49"/>
      <c r="C80" s="53">
        <v>100</v>
      </c>
      <c r="D80" s="53">
        <f t="shared" si="9"/>
        <v>0</v>
      </c>
      <c r="E80" s="23">
        <f>COUNTIFS($A$12:$A$43,"Cond Ar Portátil 12.000 BTU/h")</f>
        <v>0</v>
      </c>
      <c r="F80" s="51">
        <f t="shared" si="8"/>
        <v>0</v>
      </c>
      <c r="G80" s="52"/>
      <c r="H80" s="3"/>
      <c r="I80" s="3"/>
    </row>
    <row r="81" spans="1:14" s="2" customFormat="1" ht="13.5" customHeight="1">
      <c r="A81" s="54" t="s">
        <v>119</v>
      </c>
      <c r="B81" s="12">
        <f>SUM(B58:B80)</f>
        <v>426</v>
      </c>
      <c r="C81" s="55"/>
      <c r="D81" s="56">
        <f>SUM(D58:D80)</f>
        <v>107242</v>
      </c>
      <c r="E81" s="12">
        <f>SUM(E58:E80)</f>
        <v>18</v>
      </c>
      <c r="F81" s="57">
        <f>SUM(F58:F80)</f>
        <v>408</v>
      </c>
      <c r="G81" s="58"/>
      <c r="H81" s="3"/>
      <c r="I81" s="3"/>
    </row>
    <row r="82" spans="1:14" s="2" customFormat="1" ht="13.5" customHeight="1">
      <c r="A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s="2" customFormat="1" ht="13.5" customHeight="1">
      <c r="A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s="2" customFormat="1" ht="13.5" customHeight="1">
      <c r="A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s="2" customFormat="1" ht="13.5" customHeight="1">
      <c r="A85" s="3"/>
      <c r="C85" s="3"/>
      <c r="D85" s="3"/>
      <c r="E85" s="3"/>
      <c r="F85" s="59"/>
      <c r="G85" s="3"/>
      <c r="H85" s="3"/>
      <c r="I85" s="3"/>
      <c r="J85" s="42"/>
    </row>
  </sheetData>
  <mergeCells count="28">
    <mergeCell ref="A51:C51"/>
    <mergeCell ref="D51:I51"/>
    <mergeCell ref="A55:F55"/>
    <mergeCell ref="A56:D56"/>
    <mergeCell ref="E56:E57"/>
    <mergeCell ref="F56:F57"/>
    <mergeCell ref="A47:I47"/>
    <mergeCell ref="A50:C50"/>
    <mergeCell ref="D50:I50"/>
    <mergeCell ref="A10:I10"/>
    <mergeCell ref="C11:E11"/>
    <mergeCell ref="G11:I11"/>
    <mergeCell ref="D13:E13"/>
    <mergeCell ref="A6:I6"/>
    <mergeCell ref="A7:I7"/>
    <mergeCell ref="A9:B9"/>
    <mergeCell ref="C9:F9"/>
    <mergeCell ref="G9:I9"/>
    <mergeCell ref="G8:I8"/>
    <mergeCell ref="A8:F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119"/>
  <sheetViews>
    <sheetView showGridLines="0" tabSelected="1" workbookViewId="0">
      <pane ySplit="13" topLeftCell="A50" activePane="bottomLeft" state="frozen"/>
      <selection activeCell="H242" sqref="H242"/>
      <selection pane="bottomLeft" activeCell="E55" sqref="E55"/>
    </sheetView>
  </sheetViews>
  <sheetFormatPr defaultRowHeight="13.5" customHeight="1"/>
  <cols>
    <col min="1" max="1" width="39.42578125" style="3" customWidth="1"/>
    <col min="2" max="2" width="12.42578125" style="2" bestFit="1" customWidth="1"/>
    <col min="3" max="3" width="11.140625" style="3" bestFit="1" customWidth="1"/>
    <col min="4" max="5" width="12.5703125" style="3" bestFit="1" customWidth="1"/>
    <col min="6" max="6" width="10" style="3" bestFit="1" customWidth="1"/>
    <col min="7" max="7" width="11.140625" style="3" bestFit="1" customWidth="1"/>
    <col min="8" max="8" width="11.7109375" style="3" bestFit="1" customWidth="1"/>
    <col min="9" max="9" width="17.7109375" style="3" bestFit="1" customWidth="1"/>
    <col min="10" max="10" width="24.7109375" style="2" customWidth="1"/>
    <col min="11" max="11" width="10.42578125" style="2" customWidth="1"/>
    <col min="12" max="12" width="10" style="3" bestFit="1" customWidth="1"/>
    <col min="13" max="16384" width="9.140625" style="3"/>
  </cols>
  <sheetData>
    <row r="1" spans="1:11" ht="23.2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</row>
    <row r="2" spans="1:11" ht="13.5" customHeight="1">
      <c r="J2" s="1"/>
    </row>
    <row r="3" spans="1:11" ht="15" customHeight="1" thickBot="1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4"/>
    </row>
    <row r="4" spans="1:11" ht="13.5" customHeight="1" thickTop="1">
      <c r="A4" s="174" t="s">
        <v>2</v>
      </c>
      <c r="B4" s="174"/>
      <c r="C4" s="174"/>
      <c r="D4" s="175" t="s">
        <v>3</v>
      </c>
      <c r="E4" s="176"/>
      <c r="F4" s="177"/>
      <c r="G4" s="174" t="s">
        <v>4</v>
      </c>
      <c r="H4" s="174"/>
      <c r="I4" s="174"/>
      <c r="J4" s="4"/>
    </row>
    <row r="5" spans="1:11" ht="13.5" customHeight="1">
      <c r="A5" s="168" t="s">
        <v>5</v>
      </c>
      <c r="B5" s="169"/>
      <c r="C5" s="170"/>
      <c r="D5" s="168" t="s">
        <v>6</v>
      </c>
      <c r="E5" s="169"/>
      <c r="F5" s="170"/>
      <c r="G5" s="171" t="s">
        <v>7</v>
      </c>
      <c r="H5" s="171"/>
      <c r="I5" s="171"/>
      <c r="J5" s="4"/>
    </row>
    <row r="6" spans="1:11" ht="13.5" customHeight="1">
      <c r="A6" s="178"/>
      <c r="B6" s="178"/>
      <c r="C6" s="178"/>
      <c r="D6" s="178"/>
      <c r="E6" s="178"/>
      <c r="F6" s="178"/>
      <c r="G6" s="178"/>
      <c r="H6" s="178"/>
      <c r="I6" s="178"/>
      <c r="J6" s="1"/>
    </row>
    <row r="7" spans="1:11" ht="15" customHeight="1" thickBot="1">
      <c r="A7" s="173" t="s">
        <v>128</v>
      </c>
      <c r="B7" s="173"/>
      <c r="C7" s="173"/>
      <c r="D7" s="173"/>
      <c r="E7" s="173"/>
      <c r="F7" s="173"/>
      <c r="G7" s="173"/>
      <c r="H7" s="173"/>
      <c r="I7" s="173"/>
      <c r="J7" s="5"/>
    </row>
    <row r="8" spans="1:11" s="8" customFormat="1" ht="13.5" customHeight="1" thickTop="1">
      <c r="A8" s="179" t="s">
        <v>9</v>
      </c>
      <c r="B8" s="180"/>
      <c r="C8" s="180"/>
      <c r="D8" s="180"/>
      <c r="E8" s="180"/>
      <c r="F8" s="181"/>
      <c r="G8" s="179" t="s">
        <v>133</v>
      </c>
      <c r="H8" s="180"/>
      <c r="I8" s="181"/>
      <c r="J8" s="6"/>
      <c r="K8" s="7"/>
    </row>
    <row r="9" spans="1:11" s="8" customFormat="1" ht="13.5" customHeight="1">
      <c r="A9" s="171" t="s">
        <v>10</v>
      </c>
      <c r="B9" s="171"/>
      <c r="C9" s="168" t="s">
        <v>11</v>
      </c>
      <c r="D9" s="169"/>
      <c r="E9" s="169"/>
      <c r="F9" s="170"/>
      <c r="G9" s="168" t="s">
        <v>164</v>
      </c>
      <c r="H9" s="169"/>
      <c r="I9" s="170"/>
      <c r="J9" s="6"/>
      <c r="K9" s="7"/>
    </row>
    <row r="10" spans="1:11" ht="13.5" customHeight="1">
      <c r="A10" s="178"/>
      <c r="B10" s="178"/>
      <c r="C10" s="178"/>
      <c r="D10" s="178"/>
      <c r="E10" s="178"/>
      <c r="F10" s="178"/>
      <c r="G10" s="178"/>
      <c r="H10" s="178"/>
      <c r="I10" s="178"/>
      <c r="J10" s="1"/>
    </row>
    <row r="11" spans="1:11" ht="13.5" customHeight="1">
      <c r="A11" s="9" t="s">
        <v>12</v>
      </c>
      <c r="B11" s="10"/>
      <c r="C11" s="186" t="s">
        <v>13</v>
      </c>
      <c r="D11" s="187"/>
      <c r="E11" s="188"/>
      <c r="F11" s="11"/>
      <c r="G11" s="189" t="s">
        <v>14</v>
      </c>
      <c r="H11" s="190"/>
      <c r="I11" s="191"/>
      <c r="J11" s="3"/>
    </row>
    <row r="12" spans="1:11" ht="13.5" customHeight="1">
      <c r="J12" s="1"/>
    </row>
    <row r="13" spans="1:11" s="13" customFormat="1" ht="13.5" customHeight="1">
      <c r="A13" s="12" t="s">
        <v>15</v>
      </c>
      <c r="B13" s="12" t="s">
        <v>16</v>
      </c>
      <c r="C13" s="12" t="s">
        <v>17</v>
      </c>
      <c r="D13" s="192" t="s">
        <v>18</v>
      </c>
      <c r="E13" s="192"/>
      <c r="F13" s="12" t="s">
        <v>19</v>
      </c>
      <c r="G13" s="12" t="s">
        <v>20</v>
      </c>
      <c r="H13" s="12" t="s">
        <v>21</v>
      </c>
      <c r="I13" s="12" t="s">
        <v>22</v>
      </c>
      <c r="J13" s="12" t="s">
        <v>23</v>
      </c>
      <c r="K13" s="12" t="s">
        <v>24</v>
      </c>
    </row>
    <row r="14" spans="1:11" ht="13.5" customHeight="1">
      <c r="D14" s="14"/>
      <c r="E14" s="14"/>
      <c r="F14" s="15"/>
      <c r="G14" s="16"/>
      <c r="I14" s="16"/>
      <c r="J14" s="1"/>
    </row>
    <row r="15" spans="1:11" ht="13.5" customHeight="1">
      <c r="A15" s="17" t="s">
        <v>56</v>
      </c>
      <c r="B15" s="20">
        <v>45580</v>
      </c>
      <c r="C15" s="126">
        <v>15361</v>
      </c>
      <c r="D15" s="20">
        <v>45658</v>
      </c>
      <c r="E15" s="20">
        <v>45687</v>
      </c>
      <c r="F15" s="21">
        <f>(E15-D15)+1</f>
        <v>30</v>
      </c>
      <c r="G15" s="22">
        <v>235</v>
      </c>
      <c r="H15" s="124">
        <v>1</v>
      </c>
      <c r="I15" s="24">
        <f t="shared" ref="I15:I20" si="0">G15/30*H15*F15</f>
        <v>235</v>
      </c>
      <c r="J15" s="25"/>
      <c r="K15" s="124"/>
    </row>
    <row r="16" spans="1:11" ht="13.5" customHeight="1">
      <c r="A16" s="17" t="s">
        <v>54</v>
      </c>
      <c r="B16" s="20">
        <v>45536</v>
      </c>
      <c r="C16" s="33">
        <v>2851</v>
      </c>
      <c r="D16" s="20">
        <v>45658</v>
      </c>
      <c r="E16" s="20">
        <v>45687</v>
      </c>
      <c r="F16" s="21">
        <f>(E16-D16)+1</f>
        <v>30</v>
      </c>
      <c r="G16" s="22">
        <v>447</v>
      </c>
      <c r="H16" s="23">
        <v>1</v>
      </c>
      <c r="I16" s="24">
        <f t="shared" si="0"/>
        <v>447</v>
      </c>
      <c r="J16" s="25" t="s">
        <v>61</v>
      </c>
      <c r="K16" s="23">
        <v>68535</v>
      </c>
    </row>
    <row r="17" spans="1:11" ht="13.5" customHeight="1">
      <c r="A17" s="17" t="s">
        <v>54</v>
      </c>
      <c r="B17" s="20">
        <v>45536</v>
      </c>
      <c r="C17" s="33">
        <v>2299</v>
      </c>
      <c r="D17" s="20">
        <v>45658</v>
      </c>
      <c r="E17" s="20">
        <v>45687</v>
      </c>
      <c r="F17" s="21">
        <f>(E17-D17)+1</f>
        <v>30</v>
      </c>
      <c r="G17" s="22">
        <v>447</v>
      </c>
      <c r="H17" s="23">
        <v>1</v>
      </c>
      <c r="I17" s="24">
        <f t="shared" si="0"/>
        <v>447</v>
      </c>
      <c r="J17" s="25" t="s">
        <v>61</v>
      </c>
      <c r="K17" s="23">
        <v>68535</v>
      </c>
    </row>
    <row r="18" spans="1:11" ht="13.5" customHeight="1">
      <c r="A18" s="17" t="s">
        <v>54</v>
      </c>
      <c r="B18" s="20">
        <v>45536</v>
      </c>
      <c r="C18" s="33">
        <v>369</v>
      </c>
      <c r="D18" s="20">
        <v>45658</v>
      </c>
      <c r="E18" s="20">
        <v>45687</v>
      </c>
      <c r="F18" s="21">
        <f>(E18-D18)+1</f>
        <v>30</v>
      </c>
      <c r="G18" s="22">
        <v>447</v>
      </c>
      <c r="H18" s="23">
        <v>1</v>
      </c>
      <c r="I18" s="24">
        <f t="shared" si="0"/>
        <v>447</v>
      </c>
      <c r="J18" s="25" t="s">
        <v>61</v>
      </c>
      <c r="K18" s="23">
        <v>68535</v>
      </c>
    </row>
    <row r="19" spans="1:11" ht="13.5" customHeight="1">
      <c r="A19" s="17" t="s">
        <v>54</v>
      </c>
      <c r="B19" s="20">
        <v>45536</v>
      </c>
      <c r="C19" s="33">
        <v>4362</v>
      </c>
      <c r="D19" s="20">
        <v>45658</v>
      </c>
      <c r="E19" s="20">
        <v>45687</v>
      </c>
      <c r="F19" s="21">
        <f>(E19-D19)+1</f>
        <v>30</v>
      </c>
      <c r="G19" s="22">
        <v>447</v>
      </c>
      <c r="H19" s="23">
        <v>1</v>
      </c>
      <c r="I19" s="24">
        <f t="shared" si="0"/>
        <v>447</v>
      </c>
      <c r="J19" s="25" t="s">
        <v>61</v>
      </c>
      <c r="K19" s="23">
        <v>68535</v>
      </c>
    </row>
    <row r="20" spans="1:11" ht="13.5" customHeight="1">
      <c r="A20" s="26"/>
      <c r="B20" s="20"/>
      <c r="C20" s="34"/>
      <c r="D20" s="20"/>
      <c r="E20" s="20"/>
      <c r="F20" s="21"/>
      <c r="G20" s="22"/>
      <c r="H20" s="23"/>
      <c r="I20" s="24">
        <f t="shared" si="0"/>
        <v>0</v>
      </c>
      <c r="J20" s="25"/>
      <c r="K20" s="23"/>
    </row>
    <row r="21" spans="1:11" ht="13.5" customHeight="1">
      <c r="A21" s="9" t="s">
        <v>85</v>
      </c>
      <c r="B21" s="27"/>
      <c r="C21" s="35"/>
      <c r="D21" s="28"/>
      <c r="E21" s="28"/>
      <c r="F21" s="29"/>
      <c r="G21" s="28"/>
      <c r="H21" s="12">
        <f>SUM(H15:H20)</f>
        <v>5</v>
      </c>
      <c r="I21" s="30">
        <f>SUM(I15:I20)</f>
        <v>2023</v>
      </c>
      <c r="J21" s="31"/>
      <c r="K21" s="32"/>
    </row>
    <row r="22" spans="1:11" ht="13.5" customHeight="1">
      <c r="D22" s="14"/>
      <c r="E22" s="14"/>
      <c r="F22" s="15"/>
      <c r="G22" s="16"/>
      <c r="I22" s="16"/>
      <c r="J22" s="1"/>
    </row>
    <row r="23" spans="1:11" ht="13.5" customHeight="1">
      <c r="A23" s="17" t="s">
        <v>56</v>
      </c>
      <c r="B23" s="20">
        <v>45512</v>
      </c>
      <c r="C23" s="33">
        <v>7202</v>
      </c>
      <c r="D23" s="20">
        <v>45658</v>
      </c>
      <c r="E23" s="20">
        <v>45687</v>
      </c>
      <c r="F23" s="21">
        <f>(E23-D23)+1</f>
        <v>30</v>
      </c>
      <c r="G23" s="22">
        <v>235</v>
      </c>
      <c r="H23" s="23">
        <v>1</v>
      </c>
      <c r="I23" s="24">
        <f>G23/30*H23*F23</f>
        <v>235</v>
      </c>
      <c r="J23" s="25" t="s">
        <v>86</v>
      </c>
      <c r="K23" s="23"/>
    </row>
    <row r="24" spans="1:11" ht="13.5" customHeight="1">
      <c r="A24" s="17" t="s">
        <v>31</v>
      </c>
      <c r="B24" s="20">
        <v>45512</v>
      </c>
      <c r="C24" s="33">
        <v>5930</v>
      </c>
      <c r="D24" s="20">
        <v>45658</v>
      </c>
      <c r="E24" s="20">
        <v>45687</v>
      </c>
      <c r="F24" s="21">
        <f t="shared" ref="F24:F34" si="1">(E24-D24)+1</f>
        <v>30</v>
      </c>
      <c r="G24" s="22">
        <v>242</v>
      </c>
      <c r="H24" s="133">
        <v>1</v>
      </c>
      <c r="I24" s="24">
        <f t="shared" ref="I24:I34" si="2">G24/30*H24*F24</f>
        <v>242</v>
      </c>
      <c r="J24" s="25" t="s">
        <v>87</v>
      </c>
      <c r="K24" s="23"/>
    </row>
    <row r="25" spans="1:11" ht="13.5" customHeight="1">
      <c r="A25" s="17" t="s">
        <v>31</v>
      </c>
      <c r="B25" s="20">
        <v>45512</v>
      </c>
      <c r="C25" s="33">
        <v>5409</v>
      </c>
      <c r="D25" s="20">
        <v>45658</v>
      </c>
      <c r="E25" s="20">
        <v>45687</v>
      </c>
      <c r="F25" s="21">
        <f>(E25-D25)+1</f>
        <v>30</v>
      </c>
      <c r="G25" s="22">
        <v>242</v>
      </c>
      <c r="H25" s="133">
        <v>1</v>
      </c>
      <c r="I25" s="24">
        <f>G25/30*H25*F25</f>
        <v>242</v>
      </c>
      <c r="J25" s="25" t="s">
        <v>29</v>
      </c>
      <c r="K25" s="23"/>
    </row>
    <row r="26" spans="1:11" ht="13.5" customHeight="1">
      <c r="A26" s="17" t="s">
        <v>31</v>
      </c>
      <c r="B26" s="20">
        <v>45512</v>
      </c>
      <c r="C26" s="33">
        <v>11219</v>
      </c>
      <c r="D26" s="20">
        <v>45658</v>
      </c>
      <c r="E26" s="20">
        <v>45687</v>
      </c>
      <c r="F26" s="21">
        <f>(E26-D26)+1</f>
        <v>30</v>
      </c>
      <c r="G26" s="22">
        <v>242</v>
      </c>
      <c r="H26" s="133">
        <v>1</v>
      </c>
      <c r="I26" s="24">
        <f t="shared" si="2"/>
        <v>242</v>
      </c>
      <c r="J26" s="25" t="s">
        <v>88</v>
      </c>
      <c r="K26" s="23"/>
    </row>
    <row r="27" spans="1:11" ht="13.5" customHeight="1">
      <c r="A27" s="17" t="s">
        <v>25</v>
      </c>
      <c r="B27" s="20">
        <v>45512</v>
      </c>
      <c r="C27" s="33">
        <v>7955</v>
      </c>
      <c r="D27" s="20">
        <v>45658</v>
      </c>
      <c r="E27" s="20">
        <v>45687</v>
      </c>
      <c r="F27" s="21">
        <f t="shared" si="1"/>
        <v>30</v>
      </c>
      <c r="G27" s="22">
        <v>242</v>
      </c>
      <c r="H27" s="133">
        <v>1</v>
      </c>
      <c r="I27" s="24">
        <f t="shared" si="2"/>
        <v>242</v>
      </c>
      <c r="J27" s="25" t="s">
        <v>89</v>
      </c>
      <c r="K27" s="23"/>
    </row>
    <row r="28" spans="1:11" ht="13.5" customHeight="1">
      <c r="A28" s="17" t="s">
        <v>54</v>
      </c>
      <c r="B28" s="20">
        <v>45512</v>
      </c>
      <c r="C28" s="33">
        <v>6006</v>
      </c>
      <c r="D28" s="20">
        <v>45658</v>
      </c>
      <c r="E28" s="20">
        <v>45687</v>
      </c>
      <c r="F28" s="21">
        <f t="shared" si="1"/>
        <v>30</v>
      </c>
      <c r="G28" s="22">
        <v>447</v>
      </c>
      <c r="H28" s="133">
        <v>1</v>
      </c>
      <c r="I28" s="24">
        <f t="shared" si="2"/>
        <v>447</v>
      </c>
      <c r="J28" s="25" t="s">
        <v>90</v>
      </c>
      <c r="K28" s="23"/>
    </row>
    <row r="29" spans="1:11" ht="13.5" customHeight="1">
      <c r="A29" s="17" t="s">
        <v>54</v>
      </c>
      <c r="B29" s="20">
        <v>45512</v>
      </c>
      <c r="C29" s="33">
        <v>6003</v>
      </c>
      <c r="D29" s="20">
        <v>45658</v>
      </c>
      <c r="E29" s="20">
        <v>45687</v>
      </c>
      <c r="F29" s="21">
        <f t="shared" si="1"/>
        <v>30</v>
      </c>
      <c r="G29" s="22">
        <v>447</v>
      </c>
      <c r="H29" s="133">
        <v>1</v>
      </c>
      <c r="I29" s="24">
        <f t="shared" si="2"/>
        <v>447</v>
      </c>
      <c r="J29" s="25" t="s">
        <v>90</v>
      </c>
      <c r="K29" s="23"/>
    </row>
    <row r="30" spans="1:11" ht="13.5" customHeight="1">
      <c r="A30" s="17" t="s">
        <v>54</v>
      </c>
      <c r="B30" s="20">
        <v>45512</v>
      </c>
      <c r="C30" s="33">
        <v>6670</v>
      </c>
      <c r="D30" s="20">
        <v>45658</v>
      </c>
      <c r="E30" s="20">
        <v>45687</v>
      </c>
      <c r="F30" s="21">
        <f t="shared" si="1"/>
        <v>30</v>
      </c>
      <c r="G30" s="22">
        <v>447</v>
      </c>
      <c r="H30" s="133">
        <v>1</v>
      </c>
      <c r="I30" s="24">
        <f t="shared" si="2"/>
        <v>447</v>
      </c>
      <c r="J30" s="25" t="s">
        <v>91</v>
      </c>
      <c r="K30" s="23"/>
    </row>
    <row r="31" spans="1:11" ht="13.5" customHeight="1">
      <c r="A31" s="17" t="s">
        <v>54</v>
      </c>
      <c r="B31" s="20">
        <v>45512</v>
      </c>
      <c r="C31" s="33">
        <v>6008</v>
      </c>
      <c r="D31" s="20">
        <v>45658</v>
      </c>
      <c r="E31" s="20">
        <v>45687</v>
      </c>
      <c r="F31" s="21">
        <f t="shared" si="1"/>
        <v>30</v>
      </c>
      <c r="G31" s="22">
        <v>447</v>
      </c>
      <c r="H31" s="133">
        <v>1</v>
      </c>
      <c r="I31" s="24">
        <f t="shared" si="2"/>
        <v>447</v>
      </c>
      <c r="J31" s="25" t="s">
        <v>91</v>
      </c>
      <c r="K31" s="23"/>
    </row>
    <row r="32" spans="1:11" ht="13.5" customHeight="1">
      <c r="A32" s="17" t="s">
        <v>54</v>
      </c>
      <c r="B32" s="20">
        <v>45512</v>
      </c>
      <c r="C32" s="33">
        <v>6799</v>
      </c>
      <c r="D32" s="20">
        <v>45658</v>
      </c>
      <c r="E32" s="20">
        <v>45687</v>
      </c>
      <c r="F32" s="21">
        <f t="shared" si="1"/>
        <v>30</v>
      </c>
      <c r="G32" s="22">
        <v>447</v>
      </c>
      <c r="H32" s="133">
        <v>1</v>
      </c>
      <c r="I32" s="24">
        <f t="shared" si="2"/>
        <v>447</v>
      </c>
      <c r="J32" s="25" t="s">
        <v>91</v>
      </c>
      <c r="K32" s="23"/>
    </row>
    <row r="33" spans="1:11" ht="13.5" customHeight="1">
      <c r="A33" s="17" t="s">
        <v>54</v>
      </c>
      <c r="B33" s="20">
        <v>45512</v>
      </c>
      <c r="C33" s="33">
        <v>6671</v>
      </c>
      <c r="D33" s="20">
        <v>45658</v>
      </c>
      <c r="E33" s="20">
        <v>45687</v>
      </c>
      <c r="F33" s="21">
        <f t="shared" si="1"/>
        <v>30</v>
      </c>
      <c r="G33" s="22">
        <v>447</v>
      </c>
      <c r="H33" s="133">
        <v>1</v>
      </c>
      <c r="I33" s="24">
        <f t="shared" si="2"/>
        <v>447</v>
      </c>
      <c r="J33" s="25" t="s">
        <v>91</v>
      </c>
      <c r="K33" s="23"/>
    </row>
    <row r="34" spans="1:11" ht="13.5" customHeight="1">
      <c r="A34" s="17" t="s">
        <v>54</v>
      </c>
      <c r="B34" s="20">
        <v>45512</v>
      </c>
      <c r="C34" s="33">
        <v>5935</v>
      </c>
      <c r="D34" s="20">
        <v>45658</v>
      </c>
      <c r="E34" s="20">
        <v>45687</v>
      </c>
      <c r="F34" s="21">
        <f t="shared" si="1"/>
        <v>30</v>
      </c>
      <c r="G34" s="22">
        <v>447</v>
      </c>
      <c r="H34" s="133">
        <v>1</v>
      </c>
      <c r="I34" s="24">
        <f t="shared" si="2"/>
        <v>447</v>
      </c>
      <c r="J34" s="25" t="s">
        <v>91</v>
      </c>
      <c r="K34" s="23"/>
    </row>
    <row r="35" spans="1:11" ht="13.5" customHeight="1">
      <c r="A35" s="26"/>
      <c r="B35" s="20"/>
      <c r="C35" s="26"/>
      <c r="D35" s="20"/>
      <c r="E35" s="20"/>
      <c r="F35" s="21"/>
      <c r="G35" s="22"/>
      <c r="H35" s="23"/>
      <c r="I35" s="24"/>
      <c r="J35" s="25"/>
      <c r="K35" s="23"/>
    </row>
    <row r="36" spans="1:11" ht="13.5" customHeight="1">
      <c r="A36" s="9" t="s">
        <v>92</v>
      </c>
      <c r="B36" s="27"/>
      <c r="C36" s="27"/>
      <c r="D36" s="28"/>
      <c r="E36" s="28"/>
      <c r="F36" s="29"/>
      <c r="G36" s="28"/>
      <c r="H36" s="12">
        <f>SUM(H23:H35)</f>
        <v>12</v>
      </c>
      <c r="I36" s="30">
        <f>SUM(I23:I35)</f>
        <v>4332</v>
      </c>
      <c r="J36" s="31"/>
      <c r="K36" s="32"/>
    </row>
    <row r="37" spans="1:11" ht="12" customHeight="1">
      <c r="D37" s="14"/>
      <c r="E37" s="14"/>
      <c r="F37" s="15"/>
      <c r="G37" s="16"/>
      <c r="H37" s="4"/>
      <c r="I37" s="137"/>
      <c r="J37" s="1"/>
    </row>
    <row r="38" spans="1:11" ht="13.5" customHeight="1">
      <c r="A38" s="17" t="s">
        <v>25</v>
      </c>
      <c r="B38" s="20">
        <v>45566</v>
      </c>
      <c r="C38" s="126">
        <v>13313</v>
      </c>
      <c r="D38" s="20">
        <v>45658</v>
      </c>
      <c r="E38" s="20">
        <v>45687</v>
      </c>
      <c r="F38" s="21">
        <f>(E38-D38)+1</f>
        <v>30</v>
      </c>
      <c r="G38" s="22">
        <v>147</v>
      </c>
      <c r="H38" s="76">
        <v>1</v>
      </c>
      <c r="I38" s="24">
        <f t="shared" ref="I38:I45" si="3">G38/30*H38*F38</f>
        <v>147</v>
      </c>
      <c r="J38" s="25" t="s">
        <v>125</v>
      </c>
      <c r="K38" s="78">
        <v>61846</v>
      </c>
    </row>
    <row r="39" spans="1:11" ht="13.5" customHeight="1">
      <c r="A39" s="17" t="s">
        <v>56</v>
      </c>
      <c r="B39" s="20">
        <v>45566</v>
      </c>
      <c r="C39" s="126">
        <v>13409</v>
      </c>
      <c r="D39" s="20">
        <v>45658</v>
      </c>
      <c r="E39" s="20">
        <v>45687</v>
      </c>
      <c r="F39" s="21">
        <f>(E39-D39)+1</f>
        <v>30</v>
      </c>
      <c r="G39" s="22">
        <v>235</v>
      </c>
      <c r="H39" s="76">
        <v>1</v>
      </c>
      <c r="I39" s="24">
        <f t="shared" si="3"/>
        <v>235</v>
      </c>
      <c r="J39" s="25" t="s">
        <v>126</v>
      </c>
      <c r="K39" s="78">
        <v>61846</v>
      </c>
    </row>
    <row r="40" spans="1:11" ht="13.5" customHeight="1">
      <c r="A40" s="17" t="s">
        <v>54</v>
      </c>
      <c r="B40" s="20">
        <v>45566</v>
      </c>
      <c r="C40" s="126">
        <v>10388</v>
      </c>
      <c r="D40" s="20">
        <v>45658</v>
      </c>
      <c r="E40" s="20">
        <v>45687</v>
      </c>
      <c r="F40" s="21">
        <f>(E40-D40)+1</f>
        <v>30</v>
      </c>
      <c r="G40" s="22">
        <v>447</v>
      </c>
      <c r="H40" s="76">
        <v>1</v>
      </c>
      <c r="I40" s="24">
        <f t="shared" si="3"/>
        <v>447</v>
      </c>
      <c r="J40" s="25" t="s">
        <v>127</v>
      </c>
      <c r="K40" s="78">
        <v>61846</v>
      </c>
    </row>
    <row r="41" spans="1:11" ht="13.5" customHeight="1">
      <c r="A41" s="17" t="s">
        <v>54</v>
      </c>
      <c r="B41" s="20">
        <v>45566</v>
      </c>
      <c r="C41" s="126">
        <v>10354</v>
      </c>
      <c r="D41" s="20">
        <v>45658</v>
      </c>
      <c r="E41" s="20">
        <v>45687</v>
      </c>
      <c r="F41" s="21">
        <f>(E41-D41)+1</f>
        <v>30</v>
      </c>
      <c r="G41" s="22">
        <v>447</v>
      </c>
      <c r="H41" s="76">
        <v>1</v>
      </c>
      <c r="I41" s="24">
        <f t="shared" si="3"/>
        <v>447</v>
      </c>
      <c r="J41" s="25" t="s">
        <v>127</v>
      </c>
      <c r="K41" s="78">
        <v>61846</v>
      </c>
    </row>
    <row r="42" spans="1:11" ht="13.5" customHeight="1">
      <c r="A42" s="17" t="s">
        <v>54</v>
      </c>
      <c r="B42" s="20">
        <v>45566</v>
      </c>
      <c r="C42" s="126">
        <v>12431</v>
      </c>
      <c r="D42" s="20">
        <v>45658</v>
      </c>
      <c r="E42" s="20">
        <v>45687</v>
      </c>
      <c r="F42" s="21">
        <f>(E42-D42)+1</f>
        <v>30</v>
      </c>
      <c r="G42" s="22">
        <v>447</v>
      </c>
      <c r="H42" s="78">
        <v>1</v>
      </c>
      <c r="I42" s="24">
        <f t="shared" si="3"/>
        <v>447</v>
      </c>
      <c r="J42" s="25" t="s">
        <v>127</v>
      </c>
      <c r="K42" s="78">
        <v>61846</v>
      </c>
    </row>
    <row r="43" spans="1:11" ht="13.5" customHeight="1">
      <c r="A43" s="17" t="s">
        <v>54</v>
      </c>
      <c r="B43" s="20">
        <v>45566</v>
      </c>
      <c r="C43" s="126">
        <v>8054</v>
      </c>
      <c r="D43" s="20">
        <v>45658</v>
      </c>
      <c r="E43" s="20">
        <v>45687</v>
      </c>
      <c r="F43" s="21">
        <f t="shared" ref="F43:F44" si="4">(E43-D43)+1</f>
        <v>30</v>
      </c>
      <c r="G43" s="22">
        <v>447</v>
      </c>
      <c r="H43" s="116">
        <v>1</v>
      </c>
      <c r="I43" s="24">
        <f t="shared" si="3"/>
        <v>447</v>
      </c>
      <c r="J43" s="25" t="s">
        <v>127</v>
      </c>
      <c r="K43" s="116"/>
    </row>
    <row r="44" spans="1:11" ht="13.5" customHeight="1">
      <c r="A44" s="17" t="s">
        <v>54</v>
      </c>
      <c r="B44" s="20">
        <v>45566</v>
      </c>
      <c r="C44" s="126">
        <v>7587</v>
      </c>
      <c r="D44" s="20">
        <v>45658</v>
      </c>
      <c r="E44" s="20">
        <v>45687</v>
      </c>
      <c r="F44" s="21">
        <f t="shared" si="4"/>
        <v>30</v>
      </c>
      <c r="G44" s="22">
        <v>447</v>
      </c>
      <c r="H44" s="116">
        <v>1</v>
      </c>
      <c r="I44" s="24">
        <f t="shared" si="3"/>
        <v>447</v>
      </c>
      <c r="J44" s="25" t="s">
        <v>127</v>
      </c>
      <c r="K44" s="116"/>
    </row>
    <row r="45" spans="1:11" ht="13.5" customHeight="1">
      <c r="A45" s="26"/>
      <c r="B45" s="20"/>
      <c r="C45" s="34"/>
      <c r="D45" s="20"/>
      <c r="E45" s="20"/>
      <c r="F45" s="21"/>
      <c r="G45" s="22"/>
      <c r="H45" s="76"/>
      <c r="I45" s="24">
        <f t="shared" si="3"/>
        <v>0</v>
      </c>
      <c r="J45" s="25"/>
      <c r="K45" s="78"/>
    </row>
    <row r="46" spans="1:11" ht="13.5" customHeight="1">
      <c r="A46" s="79" t="s">
        <v>124</v>
      </c>
      <c r="B46" s="27"/>
      <c r="C46" s="35"/>
      <c r="D46" s="28"/>
      <c r="E46" s="28"/>
      <c r="F46" s="29"/>
      <c r="G46" s="28"/>
      <c r="H46" s="77">
        <f>SUM(H38:H45)</f>
        <v>7</v>
      </c>
      <c r="I46" s="30">
        <f>SUM(I38:I45)</f>
        <v>2617</v>
      </c>
      <c r="J46" s="28"/>
      <c r="K46" s="28"/>
    </row>
    <row r="47" spans="1:11" ht="13.5" customHeight="1">
      <c r="D47" s="14"/>
      <c r="E47" s="14"/>
      <c r="F47" s="15"/>
      <c r="G47" s="16"/>
      <c r="I47" s="16"/>
      <c r="J47" s="1"/>
    </row>
    <row r="48" spans="1:11" ht="13.5" customHeight="1">
      <c r="A48" s="17" t="s">
        <v>25</v>
      </c>
      <c r="B48" s="20">
        <v>45658</v>
      </c>
      <c r="C48" s="144">
        <v>14432</v>
      </c>
      <c r="D48" s="20">
        <v>45658</v>
      </c>
      <c r="E48" s="20">
        <v>45687</v>
      </c>
      <c r="F48" s="21">
        <f>(E48-D48)+1</f>
        <v>30</v>
      </c>
      <c r="G48" s="22">
        <v>147</v>
      </c>
      <c r="H48" s="162">
        <v>1</v>
      </c>
      <c r="I48" s="24">
        <f t="shared" ref="I48:I61" si="5">G48/30*H48*F48</f>
        <v>147</v>
      </c>
      <c r="J48" s="1"/>
    </row>
    <row r="49" spans="1:10" ht="13.5" customHeight="1">
      <c r="A49" s="17" t="s">
        <v>25</v>
      </c>
      <c r="B49" s="20">
        <v>45658</v>
      </c>
      <c r="C49" s="144">
        <v>14882</v>
      </c>
      <c r="D49" s="20">
        <v>45658</v>
      </c>
      <c r="E49" s="20">
        <v>45687</v>
      </c>
      <c r="F49" s="21">
        <f>(E49-D49)+1</f>
        <v>30</v>
      </c>
      <c r="G49" s="22">
        <v>147</v>
      </c>
      <c r="H49" s="162">
        <v>1</v>
      </c>
      <c r="I49" s="24">
        <f t="shared" si="5"/>
        <v>147</v>
      </c>
      <c r="J49" s="1"/>
    </row>
    <row r="50" spans="1:10" ht="13.5" customHeight="1">
      <c r="A50" s="17" t="s">
        <v>56</v>
      </c>
      <c r="B50" s="20">
        <v>45658</v>
      </c>
      <c r="C50" s="144">
        <v>16121</v>
      </c>
      <c r="D50" s="20">
        <v>45658</v>
      </c>
      <c r="E50" s="20">
        <v>45687</v>
      </c>
      <c r="F50" s="21">
        <f>(E50-D50)+1</f>
        <v>30</v>
      </c>
      <c r="G50" s="22">
        <v>235</v>
      </c>
      <c r="H50" s="162">
        <v>1</v>
      </c>
      <c r="I50" s="24">
        <f t="shared" si="5"/>
        <v>235</v>
      </c>
      <c r="J50" s="1"/>
    </row>
    <row r="51" spans="1:10" ht="13.5" customHeight="1">
      <c r="A51" s="17" t="s">
        <v>56</v>
      </c>
      <c r="B51" s="20">
        <v>45658</v>
      </c>
      <c r="C51" s="144">
        <v>16116</v>
      </c>
      <c r="D51" s="20">
        <v>45658</v>
      </c>
      <c r="E51" s="20">
        <v>45687</v>
      </c>
      <c r="F51" s="21">
        <f>(E51-D51)+1</f>
        <v>30</v>
      </c>
      <c r="G51" s="22">
        <v>235</v>
      </c>
      <c r="H51" s="162">
        <v>1</v>
      </c>
      <c r="I51" s="24">
        <f t="shared" si="5"/>
        <v>235</v>
      </c>
      <c r="J51" s="1"/>
    </row>
    <row r="52" spans="1:10" ht="13.5" customHeight="1">
      <c r="A52" s="17" t="s">
        <v>39</v>
      </c>
      <c r="B52" s="20">
        <v>45658</v>
      </c>
      <c r="C52" s="144">
        <v>16502</v>
      </c>
      <c r="D52" s="20">
        <v>45658</v>
      </c>
      <c r="E52" s="20">
        <v>45687</v>
      </c>
      <c r="F52" s="21">
        <f>(E52-D52)+1</f>
        <v>30</v>
      </c>
      <c r="G52" s="22">
        <v>238</v>
      </c>
      <c r="H52" s="162">
        <v>1</v>
      </c>
      <c r="I52" s="24">
        <f t="shared" si="5"/>
        <v>238</v>
      </c>
      <c r="J52" s="1"/>
    </row>
    <row r="53" spans="1:10" ht="13.5" customHeight="1">
      <c r="A53" s="17" t="s">
        <v>54</v>
      </c>
      <c r="B53" s="20">
        <v>45658</v>
      </c>
      <c r="C53" s="144">
        <v>6702</v>
      </c>
      <c r="D53" s="20">
        <v>45658</v>
      </c>
      <c r="E53" s="20">
        <v>45687</v>
      </c>
      <c r="F53" s="21">
        <f t="shared" ref="F53:F60" si="6">(E53-D53)+1</f>
        <v>30</v>
      </c>
      <c r="G53" s="22">
        <v>447</v>
      </c>
      <c r="H53" s="162">
        <v>1</v>
      </c>
      <c r="I53" s="24">
        <f t="shared" si="5"/>
        <v>447</v>
      </c>
      <c r="J53" s="1"/>
    </row>
    <row r="54" spans="1:10" ht="13.5" customHeight="1">
      <c r="A54" s="17" t="s">
        <v>54</v>
      </c>
      <c r="B54" s="20">
        <v>45658</v>
      </c>
      <c r="C54" s="144">
        <v>1621</v>
      </c>
      <c r="D54" s="20">
        <v>45658</v>
      </c>
      <c r="E54" s="20">
        <v>45687</v>
      </c>
      <c r="F54" s="21">
        <f t="shared" si="6"/>
        <v>30</v>
      </c>
      <c r="G54" s="22">
        <v>447</v>
      </c>
      <c r="H54" s="162">
        <v>1</v>
      </c>
      <c r="I54" s="24">
        <f t="shared" si="5"/>
        <v>447</v>
      </c>
      <c r="J54" s="1"/>
    </row>
    <row r="55" spans="1:10" ht="13.5" customHeight="1">
      <c r="A55" s="17" t="s">
        <v>54</v>
      </c>
      <c r="B55" s="20">
        <v>45658</v>
      </c>
      <c r="C55" s="144">
        <v>883</v>
      </c>
      <c r="D55" s="20">
        <v>45658</v>
      </c>
      <c r="E55" s="20">
        <v>45687</v>
      </c>
      <c r="F55" s="21">
        <f t="shared" si="6"/>
        <v>30</v>
      </c>
      <c r="G55" s="22">
        <v>447</v>
      </c>
      <c r="H55" s="162">
        <v>1</v>
      </c>
      <c r="I55" s="24">
        <f t="shared" si="5"/>
        <v>447</v>
      </c>
      <c r="J55" s="1"/>
    </row>
    <row r="56" spans="1:10" ht="13.5" customHeight="1">
      <c r="A56" s="17" t="s">
        <v>54</v>
      </c>
      <c r="B56" s="20">
        <v>45658</v>
      </c>
      <c r="C56" s="144">
        <v>4213</v>
      </c>
      <c r="D56" s="20">
        <v>45658</v>
      </c>
      <c r="E56" s="20">
        <v>45687</v>
      </c>
      <c r="F56" s="21">
        <f t="shared" si="6"/>
        <v>30</v>
      </c>
      <c r="G56" s="22">
        <v>447</v>
      </c>
      <c r="H56" s="162">
        <v>1</v>
      </c>
      <c r="I56" s="24">
        <f t="shared" si="5"/>
        <v>447</v>
      </c>
      <c r="J56" s="1"/>
    </row>
    <row r="57" spans="1:10" ht="13.5" customHeight="1">
      <c r="A57" s="17" t="s">
        <v>54</v>
      </c>
      <c r="B57" s="20">
        <v>45658</v>
      </c>
      <c r="C57" s="144">
        <v>4361</v>
      </c>
      <c r="D57" s="20">
        <v>45658</v>
      </c>
      <c r="E57" s="20">
        <v>45687</v>
      </c>
      <c r="F57" s="21">
        <f t="shared" si="6"/>
        <v>30</v>
      </c>
      <c r="G57" s="22">
        <v>447</v>
      </c>
      <c r="H57" s="162">
        <v>1</v>
      </c>
      <c r="I57" s="24">
        <f t="shared" si="5"/>
        <v>447</v>
      </c>
      <c r="J57" s="1"/>
    </row>
    <row r="58" spans="1:10" ht="13.5" customHeight="1">
      <c r="A58" s="17" t="s">
        <v>54</v>
      </c>
      <c r="B58" s="20">
        <v>45658</v>
      </c>
      <c r="C58" s="144">
        <v>7504</v>
      </c>
      <c r="D58" s="20">
        <v>45658</v>
      </c>
      <c r="E58" s="20">
        <v>45687</v>
      </c>
      <c r="F58" s="21">
        <f t="shared" si="6"/>
        <v>30</v>
      </c>
      <c r="G58" s="22">
        <v>447</v>
      </c>
      <c r="H58" s="162">
        <v>1</v>
      </c>
      <c r="I58" s="24">
        <f t="shared" si="5"/>
        <v>447</v>
      </c>
      <c r="J58" s="1"/>
    </row>
    <row r="59" spans="1:10" ht="13.5" customHeight="1">
      <c r="A59" s="17" t="s">
        <v>54</v>
      </c>
      <c r="B59" s="20">
        <v>45658</v>
      </c>
      <c r="C59" s="144">
        <v>4185</v>
      </c>
      <c r="D59" s="20">
        <v>45658</v>
      </c>
      <c r="E59" s="20">
        <v>45687</v>
      </c>
      <c r="F59" s="21">
        <f t="shared" si="6"/>
        <v>30</v>
      </c>
      <c r="G59" s="22">
        <v>447</v>
      </c>
      <c r="H59" s="162">
        <v>1</v>
      </c>
      <c r="I59" s="24">
        <f t="shared" si="5"/>
        <v>447</v>
      </c>
      <c r="J59" s="1"/>
    </row>
    <row r="60" spans="1:10" ht="13.5" customHeight="1">
      <c r="A60" s="17" t="s">
        <v>54</v>
      </c>
      <c r="B60" s="20">
        <v>45658</v>
      </c>
      <c r="C60" s="144">
        <v>7150</v>
      </c>
      <c r="D60" s="20">
        <v>45658</v>
      </c>
      <c r="E60" s="20">
        <v>45687</v>
      </c>
      <c r="F60" s="21">
        <f t="shared" si="6"/>
        <v>30</v>
      </c>
      <c r="G60" s="22">
        <v>447</v>
      </c>
      <c r="H60" s="162">
        <v>1</v>
      </c>
      <c r="I60" s="24">
        <f t="shared" si="5"/>
        <v>447</v>
      </c>
      <c r="J60" s="1"/>
    </row>
    <row r="61" spans="1:10" ht="13.5" customHeight="1">
      <c r="A61" s="26"/>
      <c r="B61" s="20"/>
      <c r="C61" s="34"/>
      <c r="D61" s="20"/>
      <c r="E61" s="20"/>
      <c r="F61" s="21"/>
      <c r="G61" s="22"/>
      <c r="H61" s="162"/>
      <c r="I61" s="24">
        <f t="shared" si="5"/>
        <v>0</v>
      </c>
      <c r="J61" s="1"/>
    </row>
    <row r="62" spans="1:10" ht="13.5" customHeight="1">
      <c r="A62" s="161" t="s">
        <v>176</v>
      </c>
      <c r="B62" s="27"/>
      <c r="C62" s="35"/>
      <c r="D62" s="28"/>
      <c r="E62" s="28"/>
      <c r="F62" s="29"/>
      <c r="G62" s="28"/>
      <c r="H62" s="163">
        <f>SUM(H48:H61)</f>
        <v>13</v>
      </c>
      <c r="I62" s="30">
        <f>SUM(I48:I61)</f>
        <v>4578</v>
      </c>
      <c r="J62" s="1"/>
    </row>
    <row r="63" spans="1:10" ht="13.5" customHeight="1">
      <c r="D63" s="14"/>
      <c r="E63" s="14"/>
      <c r="F63" s="15"/>
      <c r="G63" s="16"/>
      <c r="I63" s="16"/>
      <c r="J63" s="1"/>
    </row>
    <row r="64" spans="1:10" ht="13.5" customHeight="1">
      <c r="A64" s="17" t="s">
        <v>56</v>
      </c>
      <c r="B64" s="20">
        <v>45658</v>
      </c>
      <c r="C64" s="144">
        <v>15262</v>
      </c>
      <c r="D64" s="20">
        <v>45658</v>
      </c>
      <c r="E64" s="20">
        <v>45687</v>
      </c>
      <c r="F64" s="21">
        <f>(E64-D64)+1</f>
        <v>30</v>
      </c>
      <c r="G64" s="22">
        <v>235</v>
      </c>
      <c r="H64" s="162">
        <v>1</v>
      </c>
      <c r="I64" s="24">
        <f t="shared" ref="I64:I75" si="7">G64/30*H64*F64</f>
        <v>235</v>
      </c>
      <c r="J64" s="1"/>
    </row>
    <row r="65" spans="1:10" ht="13.5" customHeight="1">
      <c r="A65" s="17" t="s">
        <v>56</v>
      </c>
      <c r="B65" s="20">
        <v>45658</v>
      </c>
      <c r="C65" s="144">
        <v>15203</v>
      </c>
      <c r="D65" s="20">
        <v>45658</v>
      </c>
      <c r="E65" s="20">
        <v>45687</v>
      </c>
      <c r="F65" s="21">
        <f>(E65-D65)+1</f>
        <v>30</v>
      </c>
      <c r="G65" s="22">
        <v>235</v>
      </c>
      <c r="H65" s="162">
        <v>1</v>
      </c>
      <c r="I65" s="24">
        <f t="shared" si="7"/>
        <v>235</v>
      </c>
      <c r="J65" s="1"/>
    </row>
    <row r="66" spans="1:10" ht="13.5" customHeight="1">
      <c r="A66" s="17" t="s">
        <v>56</v>
      </c>
      <c r="B66" s="20">
        <v>45658</v>
      </c>
      <c r="C66" s="144">
        <v>16198</v>
      </c>
      <c r="D66" s="20">
        <v>45658</v>
      </c>
      <c r="E66" s="20">
        <v>45687</v>
      </c>
      <c r="F66" s="21">
        <f>(E66-D66)+1</f>
        <v>30</v>
      </c>
      <c r="G66" s="22">
        <v>235</v>
      </c>
      <c r="H66" s="162">
        <v>1</v>
      </c>
      <c r="I66" s="24">
        <f t="shared" si="7"/>
        <v>235</v>
      </c>
      <c r="J66" s="1"/>
    </row>
    <row r="67" spans="1:10" ht="13.5" customHeight="1">
      <c r="A67" s="17" t="s">
        <v>56</v>
      </c>
      <c r="B67" s="20">
        <v>45658</v>
      </c>
      <c r="C67" s="144">
        <v>16159</v>
      </c>
      <c r="D67" s="20">
        <v>45658</v>
      </c>
      <c r="E67" s="20">
        <v>45687</v>
      </c>
      <c r="F67" s="21">
        <f t="shared" ref="F67:F74" si="8">(E67-D67)+1</f>
        <v>30</v>
      </c>
      <c r="G67" s="22">
        <v>235</v>
      </c>
      <c r="H67" s="162">
        <v>1</v>
      </c>
      <c r="I67" s="24">
        <f t="shared" si="7"/>
        <v>235</v>
      </c>
      <c r="J67" s="1"/>
    </row>
    <row r="68" spans="1:10" ht="13.5" customHeight="1">
      <c r="A68" s="17" t="s">
        <v>54</v>
      </c>
      <c r="B68" s="20">
        <v>45658</v>
      </c>
      <c r="C68" s="144">
        <v>6009</v>
      </c>
      <c r="D68" s="20">
        <v>45658</v>
      </c>
      <c r="E68" s="20">
        <v>45687</v>
      </c>
      <c r="F68" s="21">
        <f t="shared" si="8"/>
        <v>30</v>
      </c>
      <c r="G68" s="22">
        <v>447</v>
      </c>
      <c r="H68" s="162">
        <v>1</v>
      </c>
      <c r="I68" s="24">
        <f t="shared" si="7"/>
        <v>447</v>
      </c>
      <c r="J68" s="1"/>
    </row>
    <row r="69" spans="1:10" ht="13.5" customHeight="1">
      <c r="A69" s="17" t="s">
        <v>54</v>
      </c>
      <c r="B69" s="20">
        <v>45658</v>
      </c>
      <c r="C69" s="144">
        <v>5935</v>
      </c>
      <c r="D69" s="20">
        <v>45658</v>
      </c>
      <c r="E69" s="20">
        <v>45687</v>
      </c>
      <c r="F69" s="21">
        <f t="shared" si="8"/>
        <v>30</v>
      </c>
      <c r="G69" s="22">
        <v>447</v>
      </c>
      <c r="H69" s="162">
        <v>1</v>
      </c>
      <c r="I69" s="24">
        <f t="shared" si="7"/>
        <v>447</v>
      </c>
      <c r="J69" s="1"/>
    </row>
    <row r="70" spans="1:10" ht="13.5" customHeight="1">
      <c r="A70" s="17" t="s">
        <v>54</v>
      </c>
      <c r="B70" s="20">
        <v>45658</v>
      </c>
      <c r="C70" s="144">
        <v>1289</v>
      </c>
      <c r="D70" s="20">
        <v>45658</v>
      </c>
      <c r="E70" s="20">
        <v>45687</v>
      </c>
      <c r="F70" s="21">
        <f t="shared" si="8"/>
        <v>30</v>
      </c>
      <c r="G70" s="22">
        <v>447</v>
      </c>
      <c r="H70" s="162">
        <v>1</v>
      </c>
      <c r="I70" s="24">
        <f t="shared" si="7"/>
        <v>447</v>
      </c>
      <c r="J70" s="1"/>
    </row>
    <row r="71" spans="1:10" ht="13.5" customHeight="1">
      <c r="A71" s="17" t="s">
        <v>54</v>
      </c>
      <c r="B71" s="20">
        <v>45658</v>
      </c>
      <c r="C71" s="144">
        <v>1888</v>
      </c>
      <c r="D71" s="20">
        <v>45658</v>
      </c>
      <c r="E71" s="20">
        <v>45687</v>
      </c>
      <c r="F71" s="21">
        <f t="shared" si="8"/>
        <v>30</v>
      </c>
      <c r="G71" s="22">
        <v>447</v>
      </c>
      <c r="H71" s="162">
        <v>1</v>
      </c>
      <c r="I71" s="24">
        <f t="shared" si="7"/>
        <v>447</v>
      </c>
      <c r="J71" s="1"/>
    </row>
    <row r="72" spans="1:10" ht="13.5" customHeight="1">
      <c r="A72" s="17" t="s">
        <v>54</v>
      </c>
      <c r="B72" s="20">
        <v>45658</v>
      </c>
      <c r="C72" s="144">
        <v>373</v>
      </c>
      <c r="D72" s="20">
        <v>45658</v>
      </c>
      <c r="E72" s="20">
        <v>45687</v>
      </c>
      <c r="F72" s="21">
        <f t="shared" si="8"/>
        <v>30</v>
      </c>
      <c r="G72" s="22">
        <v>447</v>
      </c>
      <c r="H72" s="162">
        <v>1</v>
      </c>
      <c r="I72" s="24">
        <f t="shared" si="7"/>
        <v>447</v>
      </c>
      <c r="J72" s="1"/>
    </row>
    <row r="73" spans="1:10" ht="13.5" customHeight="1">
      <c r="A73" s="17" t="s">
        <v>54</v>
      </c>
      <c r="B73" s="20">
        <v>45658</v>
      </c>
      <c r="C73" s="144">
        <v>2849</v>
      </c>
      <c r="D73" s="20">
        <v>45658</v>
      </c>
      <c r="E73" s="20">
        <v>45687</v>
      </c>
      <c r="F73" s="21">
        <f t="shared" si="8"/>
        <v>30</v>
      </c>
      <c r="G73" s="22">
        <v>447</v>
      </c>
      <c r="H73" s="162">
        <v>1</v>
      </c>
      <c r="I73" s="24">
        <f t="shared" si="7"/>
        <v>447</v>
      </c>
      <c r="J73" s="1"/>
    </row>
    <row r="74" spans="1:10" ht="13.5" customHeight="1">
      <c r="A74" s="17" t="s">
        <v>54</v>
      </c>
      <c r="B74" s="20">
        <v>45658</v>
      </c>
      <c r="C74" s="144">
        <v>1693</v>
      </c>
      <c r="D74" s="20">
        <v>45658</v>
      </c>
      <c r="E74" s="20">
        <v>45687</v>
      </c>
      <c r="F74" s="21">
        <f t="shared" si="8"/>
        <v>30</v>
      </c>
      <c r="G74" s="22">
        <v>447</v>
      </c>
      <c r="H74" s="164">
        <v>1</v>
      </c>
      <c r="I74" s="24">
        <f t="shared" si="7"/>
        <v>447</v>
      </c>
      <c r="J74" s="1"/>
    </row>
    <row r="75" spans="1:10" ht="13.5" customHeight="1">
      <c r="A75" s="26"/>
      <c r="B75" s="20"/>
      <c r="C75" s="34"/>
      <c r="D75" s="20"/>
      <c r="E75" s="20"/>
      <c r="F75" s="21"/>
      <c r="G75" s="22"/>
      <c r="H75" s="162"/>
      <c r="I75" s="24">
        <f t="shared" si="7"/>
        <v>0</v>
      </c>
      <c r="J75" s="1"/>
    </row>
    <row r="76" spans="1:10" ht="13.5" customHeight="1">
      <c r="A76" s="161" t="s">
        <v>177</v>
      </c>
      <c r="B76" s="27"/>
      <c r="C76" s="35"/>
      <c r="D76" s="28"/>
      <c r="E76" s="28"/>
      <c r="F76" s="29"/>
      <c r="G76" s="28"/>
      <c r="H76" s="163">
        <f>SUM(H64:H75)</f>
        <v>11</v>
      </c>
      <c r="I76" s="30">
        <f>SUM(I64:I75)</f>
        <v>4069</v>
      </c>
      <c r="J76" s="1"/>
    </row>
    <row r="77" spans="1:10" ht="13.5" customHeight="1">
      <c r="D77" s="14"/>
      <c r="E77" s="14"/>
      <c r="F77" s="15"/>
      <c r="G77" s="16"/>
      <c r="I77" s="16"/>
      <c r="J77" s="1"/>
    </row>
    <row r="78" spans="1:10" ht="13.5" customHeight="1">
      <c r="D78" s="14"/>
      <c r="E78" s="14"/>
      <c r="F78" s="15"/>
      <c r="G78" s="4"/>
      <c r="H78" s="80">
        <f>H21+H36+H46+H62+H76</f>
        <v>48</v>
      </c>
      <c r="I78" s="85">
        <f>I21+I36+I46+I62+I76</f>
        <v>17619</v>
      </c>
      <c r="J78" s="1"/>
    </row>
    <row r="79" spans="1:10" ht="13.5" customHeight="1">
      <c r="D79" s="14"/>
      <c r="E79" s="14"/>
      <c r="F79" s="15"/>
      <c r="G79" s="16"/>
      <c r="I79" s="16"/>
      <c r="J79" s="3"/>
    </row>
    <row r="80" spans="1:10" ht="13.5" customHeight="1">
      <c r="D80" s="14"/>
      <c r="E80" s="14"/>
      <c r="F80" s="15"/>
      <c r="G80" s="16"/>
      <c r="I80" s="16"/>
      <c r="J80" s="3"/>
    </row>
    <row r="81" spans="1:14" ht="13.5" customHeight="1">
      <c r="A81" s="182" t="s">
        <v>93</v>
      </c>
      <c r="B81" s="182"/>
      <c r="C81" s="182"/>
      <c r="D81" s="182"/>
      <c r="E81" s="182"/>
      <c r="F81" s="182"/>
      <c r="G81" s="182"/>
      <c r="H81" s="182"/>
      <c r="I81" s="182"/>
      <c r="J81" s="3"/>
    </row>
    <row r="82" spans="1:14" s="2" customFormat="1" ht="13.5" customHeight="1">
      <c r="A82" s="3"/>
      <c r="C82" s="3"/>
      <c r="D82" s="3"/>
      <c r="E82" s="3"/>
      <c r="F82" s="3"/>
      <c r="G82" s="3"/>
      <c r="H82" s="3"/>
      <c r="I82" s="3"/>
      <c r="J82" s="3"/>
      <c r="L82" s="3"/>
      <c r="M82" s="3"/>
      <c r="N82" s="3"/>
    </row>
    <row r="83" spans="1:14" s="2" customFormat="1" ht="13.5" customHeight="1">
      <c r="A83" s="4" t="s">
        <v>94</v>
      </c>
      <c r="B83" s="3"/>
      <c r="C83" s="3"/>
      <c r="D83" s="3"/>
      <c r="E83" s="3"/>
      <c r="F83" s="43"/>
      <c r="G83" s="16"/>
      <c r="H83" s="3"/>
      <c r="I83" s="44"/>
      <c r="J83" s="3"/>
      <c r="L83" s="3"/>
      <c r="M83" s="3"/>
      <c r="N83" s="3"/>
    </row>
    <row r="84" spans="1:14" s="2" customFormat="1" ht="60" customHeight="1">
      <c r="A84" s="183"/>
      <c r="B84" s="178"/>
      <c r="C84" s="184"/>
      <c r="D84" s="185"/>
      <c r="E84" s="185"/>
      <c r="F84" s="185"/>
      <c r="G84" s="185"/>
      <c r="H84" s="185"/>
      <c r="I84" s="185"/>
      <c r="J84" s="3"/>
      <c r="L84" s="3"/>
      <c r="M84" s="3"/>
      <c r="N84" s="3"/>
    </row>
    <row r="85" spans="1:14" s="2" customFormat="1" ht="13.5" customHeight="1">
      <c r="A85" s="193" t="s">
        <v>95</v>
      </c>
      <c r="B85" s="193"/>
      <c r="C85" s="193"/>
      <c r="D85" s="193" t="s">
        <v>96</v>
      </c>
      <c r="E85" s="193"/>
      <c r="F85" s="193"/>
      <c r="G85" s="193"/>
      <c r="H85" s="193"/>
      <c r="I85" s="193"/>
      <c r="J85" s="3"/>
      <c r="L85" s="3"/>
      <c r="M85" s="3"/>
      <c r="N85" s="3"/>
    </row>
    <row r="86" spans="1:14" s="2" customFormat="1" ht="13.5" customHeight="1">
      <c r="A86" s="3"/>
      <c r="C86" s="3"/>
      <c r="D86" s="14"/>
      <c r="E86" s="14"/>
      <c r="F86" s="15"/>
      <c r="G86" s="16"/>
      <c r="H86" s="3"/>
      <c r="I86" s="16"/>
      <c r="J86" s="3"/>
      <c r="L86" s="3"/>
      <c r="M86" s="3"/>
      <c r="N86" s="3"/>
    </row>
    <row r="87" spans="1:14" s="2" customFormat="1" ht="13.5" customHeight="1">
      <c r="A87" s="3"/>
      <c r="C87" s="3"/>
      <c r="D87" s="14"/>
      <c r="E87" s="14"/>
      <c r="F87" s="15"/>
      <c r="G87" s="16"/>
      <c r="H87" s="3"/>
      <c r="I87" s="16"/>
      <c r="J87" s="3"/>
      <c r="L87" s="3"/>
      <c r="M87" s="3"/>
      <c r="N87" s="3"/>
    </row>
    <row r="88" spans="1:14" s="2" customFormat="1" ht="13.5" customHeight="1">
      <c r="A88" s="3"/>
      <c r="C88" s="3"/>
      <c r="D88" s="14"/>
      <c r="E88" s="14"/>
      <c r="F88" s="15"/>
      <c r="G88" s="16"/>
      <c r="H88" s="3"/>
      <c r="I88" s="16"/>
      <c r="J88" s="3"/>
      <c r="L88" s="3"/>
      <c r="M88" s="3"/>
      <c r="N88" s="3"/>
    </row>
    <row r="89" spans="1:14" s="2" customFormat="1" ht="13.5" customHeight="1">
      <c r="A89" s="194" t="s">
        <v>97</v>
      </c>
      <c r="B89" s="194"/>
      <c r="C89" s="194"/>
      <c r="D89" s="194"/>
      <c r="E89" s="194"/>
      <c r="F89" s="194"/>
      <c r="G89" s="45"/>
      <c r="H89" s="3"/>
      <c r="I89" s="16"/>
      <c r="J89" s="42"/>
      <c r="L89" s="3"/>
      <c r="M89" s="3"/>
      <c r="N89" s="3"/>
    </row>
    <row r="90" spans="1:14" s="2" customFormat="1" ht="13.5" customHeight="1">
      <c r="A90" s="195" t="s">
        <v>98</v>
      </c>
      <c r="B90" s="195"/>
      <c r="C90" s="195"/>
      <c r="D90" s="195"/>
      <c r="E90" s="196" t="s">
        <v>99</v>
      </c>
      <c r="F90" s="192" t="s">
        <v>100</v>
      </c>
      <c r="G90" s="46"/>
      <c r="H90" s="3"/>
      <c r="I90" s="16"/>
      <c r="J90" s="42"/>
      <c r="L90" s="3"/>
      <c r="M90" s="3"/>
      <c r="N90" s="3"/>
    </row>
    <row r="91" spans="1:14" s="2" customFormat="1" ht="13.5" customHeight="1">
      <c r="A91" s="47" t="s">
        <v>15</v>
      </c>
      <c r="B91" s="47" t="s">
        <v>21</v>
      </c>
      <c r="C91" s="47" t="s">
        <v>20</v>
      </c>
      <c r="D91" s="47" t="s">
        <v>22</v>
      </c>
      <c r="E91" s="197"/>
      <c r="F91" s="192"/>
      <c r="G91" s="48"/>
      <c r="H91" s="3"/>
      <c r="I91" s="3"/>
      <c r="L91" s="3"/>
      <c r="M91" s="3"/>
      <c r="N91" s="3"/>
    </row>
    <row r="92" spans="1:14" s="2" customFormat="1" ht="13.5" customHeight="1">
      <c r="A92" s="17" t="s">
        <v>101</v>
      </c>
      <c r="B92" s="49"/>
      <c r="C92" s="50">
        <v>37</v>
      </c>
      <c r="D92" s="50">
        <v>0</v>
      </c>
      <c r="E92" s="23">
        <f>COUNTIFS($A$12:$A$79,"Cond Ar Janela 7.500 BTU/h")</f>
        <v>0</v>
      </c>
      <c r="F92" s="51">
        <f>B92-E92</f>
        <v>0</v>
      </c>
      <c r="G92" s="52"/>
      <c r="H92" s="3"/>
      <c r="I92" s="3"/>
      <c r="L92" s="3"/>
      <c r="M92" s="3"/>
      <c r="N92" s="3"/>
    </row>
    <row r="93" spans="1:14" s="2" customFormat="1" ht="13.5" customHeight="1">
      <c r="A93" s="17" t="s">
        <v>102</v>
      </c>
      <c r="B93" s="49"/>
      <c r="C93" s="53">
        <v>210</v>
      </c>
      <c r="D93" s="53">
        <f t="shared" ref="D93:D102" si="9">B93*C93</f>
        <v>0</v>
      </c>
      <c r="E93" s="23">
        <f>COUNTIFS($A$12:$A$79,"Cond Ar Janela 10.000 BTU/h")</f>
        <v>0</v>
      </c>
      <c r="F93" s="51">
        <f t="shared" ref="F93:F114" si="10">B93-E93</f>
        <v>0</v>
      </c>
      <c r="G93" s="52"/>
      <c r="H93" s="3"/>
      <c r="I93" s="3"/>
      <c r="L93" s="3"/>
      <c r="M93" s="3"/>
      <c r="N93" s="3"/>
    </row>
    <row r="94" spans="1:14" s="2" customFormat="1" ht="13.5" customHeight="1">
      <c r="A94" s="17" t="s">
        <v>103</v>
      </c>
      <c r="B94" s="49"/>
      <c r="C94" s="53">
        <v>208</v>
      </c>
      <c r="D94" s="53">
        <f t="shared" si="9"/>
        <v>0</v>
      </c>
      <c r="E94" s="23">
        <f>COUNTIFS($A$12:$A$79,"Cond Ar Janela 18.000 BTU/h")</f>
        <v>0</v>
      </c>
      <c r="F94" s="51">
        <f t="shared" si="10"/>
        <v>0</v>
      </c>
      <c r="G94" s="52"/>
      <c r="H94" s="3"/>
      <c r="I94" s="3"/>
      <c r="L94" s="3"/>
      <c r="M94" s="3"/>
      <c r="N94" s="3"/>
    </row>
    <row r="95" spans="1:14" s="2" customFormat="1" ht="13.5" customHeight="1">
      <c r="A95" s="17" t="s">
        <v>104</v>
      </c>
      <c r="B95" s="49"/>
      <c r="C95" s="53">
        <v>57</v>
      </c>
      <c r="D95" s="53">
        <f t="shared" si="9"/>
        <v>0</v>
      </c>
      <c r="E95" s="23">
        <f>COUNTIFS($A$12:$A$79,"Cond Ar Janela 21.000 BTU/h")</f>
        <v>0</v>
      </c>
      <c r="F95" s="51">
        <f t="shared" si="10"/>
        <v>0</v>
      </c>
      <c r="G95" s="52"/>
      <c r="H95" s="3"/>
      <c r="I95" s="3"/>
      <c r="L95" s="3"/>
      <c r="M95" s="3"/>
      <c r="N95" s="3"/>
    </row>
    <row r="96" spans="1:14" s="2" customFormat="1" ht="13.5" customHeight="1">
      <c r="A96" s="17" t="s">
        <v>25</v>
      </c>
      <c r="B96" s="49">
        <v>87</v>
      </c>
      <c r="C96" s="53">
        <v>147</v>
      </c>
      <c r="D96" s="53">
        <f t="shared" si="9"/>
        <v>12789</v>
      </c>
      <c r="E96" s="23">
        <f>COUNTIFS($A$12:$A$79,"Cond Ar Split 9.000 BTU/h Hi Wall")</f>
        <v>4</v>
      </c>
      <c r="F96" s="51">
        <f t="shared" si="10"/>
        <v>83</v>
      </c>
      <c r="G96" s="52"/>
      <c r="H96" s="3"/>
      <c r="I96" s="3"/>
      <c r="L96" s="3"/>
      <c r="M96" s="3"/>
      <c r="N96" s="3"/>
    </row>
    <row r="97" spans="1:14" s="2" customFormat="1" ht="13.5" customHeight="1">
      <c r="A97" s="17" t="s">
        <v>56</v>
      </c>
      <c r="B97" s="49">
        <v>160</v>
      </c>
      <c r="C97" s="53">
        <v>235</v>
      </c>
      <c r="D97" s="53">
        <f t="shared" si="9"/>
        <v>37600</v>
      </c>
      <c r="E97" s="23">
        <f>COUNTIFS($A$12:$A$79,"Cond Ar Split 12.000 BTU/h Hi Wall")</f>
        <v>9</v>
      </c>
      <c r="F97" s="51">
        <f t="shared" si="10"/>
        <v>151</v>
      </c>
      <c r="G97" s="52"/>
      <c r="H97" s="3"/>
      <c r="I97" s="3"/>
      <c r="L97" s="3"/>
      <c r="M97" s="3"/>
      <c r="N97" s="3"/>
    </row>
    <row r="98" spans="1:14" s="2" customFormat="1" ht="13.5" customHeight="1">
      <c r="A98" s="17" t="s">
        <v>39</v>
      </c>
      <c r="B98" s="49">
        <v>59</v>
      </c>
      <c r="C98" s="53">
        <v>238</v>
      </c>
      <c r="D98" s="53">
        <f t="shared" si="9"/>
        <v>14042</v>
      </c>
      <c r="E98" s="23">
        <f>COUNTIFS($A$12:$A$79,"Cond Ar Split 18.000 BTU/h Hi Wall")</f>
        <v>1</v>
      </c>
      <c r="F98" s="51">
        <f t="shared" si="10"/>
        <v>58</v>
      </c>
      <c r="G98" s="52"/>
      <c r="H98" s="3"/>
      <c r="I98" s="3"/>
      <c r="L98" s="3"/>
      <c r="M98" s="3"/>
      <c r="N98" s="3"/>
    </row>
    <row r="99" spans="1:14" s="2" customFormat="1" ht="13.5" customHeight="1">
      <c r="A99" s="17" t="s">
        <v>31</v>
      </c>
      <c r="B99" s="49">
        <v>51</v>
      </c>
      <c r="C99" s="53">
        <v>242</v>
      </c>
      <c r="D99" s="53">
        <f t="shared" si="9"/>
        <v>12342</v>
      </c>
      <c r="E99" s="23">
        <f>COUNTIFS($A$12:$A$79,"Cond Ar Split 22.000 BTU/h Hi Wall")</f>
        <v>3</v>
      </c>
      <c r="F99" s="51">
        <f t="shared" si="10"/>
        <v>48</v>
      </c>
      <c r="G99" s="52"/>
      <c r="H99" s="3"/>
      <c r="I99" s="3"/>
      <c r="L99" s="3"/>
      <c r="M99" s="3"/>
      <c r="N99" s="3"/>
    </row>
    <row r="100" spans="1:14" s="2" customFormat="1" ht="13.5" customHeight="1">
      <c r="A100" s="17" t="s">
        <v>105</v>
      </c>
      <c r="B100" s="49">
        <v>2</v>
      </c>
      <c r="C100" s="53">
        <v>260</v>
      </c>
      <c r="D100" s="53">
        <f t="shared" si="9"/>
        <v>520</v>
      </c>
      <c r="E100" s="23">
        <f>COUNTIFS($A$12:$A$79,"Cond Ar Split 24.000 BTU/h Hi Wall")</f>
        <v>0</v>
      </c>
      <c r="F100" s="51">
        <f t="shared" si="10"/>
        <v>2</v>
      </c>
      <c r="G100" s="52"/>
      <c r="H100" s="3"/>
      <c r="I100" s="3"/>
      <c r="L100" s="3"/>
      <c r="M100" s="3"/>
      <c r="N100" s="3"/>
    </row>
    <row r="101" spans="1:14" s="2" customFormat="1" ht="13.5" customHeight="1">
      <c r="A101" s="17" t="s">
        <v>106</v>
      </c>
      <c r="B101" s="49">
        <v>1</v>
      </c>
      <c r="C101" s="53">
        <v>347</v>
      </c>
      <c r="D101" s="53">
        <f t="shared" si="9"/>
        <v>347</v>
      </c>
      <c r="E101" s="23">
        <f>COUNTIFS($A$12:$A$79,"Cond Ar Split 30.000 BTU/h Hi Wall")</f>
        <v>0</v>
      </c>
      <c r="F101" s="51">
        <f t="shared" si="10"/>
        <v>1</v>
      </c>
      <c r="G101" s="52"/>
      <c r="H101" s="3"/>
      <c r="I101" s="3"/>
      <c r="L101" s="3"/>
      <c r="M101" s="3"/>
      <c r="N101" s="3"/>
    </row>
    <row r="102" spans="1:14" s="2" customFormat="1" ht="13.5" customHeight="1">
      <c r="A102" s="17" t="s">
        <v>107</v>
      </c>
      <c r="B102" s="49"/>
      <c r="C102" s="53">
        <v>367</v>
      </c>
      <c r="D102" s="53">
        <f t="shared" si="9"/>
        <v>0</v>
      </c>
      <c r="E102" s="23">
        <f>COUNTIFS($A$12:$A$79,"Cond Ar Split 24.000 BTU/h Piso/Teto")</f>
        <v>0</v>
      </c>
      <c r="F102" s="51">
        <f t="shared" si="10"/>
        <v>0</v>
      </c>
      <c r="G102" s="52"/>
      <c r="H102" s="3"/>
      <c r="I102" s="3"/>
      <c r="L102" s="3"/>
      <c r="M102" s="3"/>
      <c r="N102" s="3"/>
    </row>
    <row r="103" spans="1:14" s="2" customFormat="1" ht="13.5" customHeight="1">
      <c r="A103" s="17" t="s">
        <v>108</v>
      </c>
      <c r="B103" s="49"/>
      <c r="C103" s="53">
        <v>367</v>
      </c>
      <c r="D103" s="53">
        <f>B103*C103</f>
        <v>0</v>
      </c>
      <c r="E103" s="23">
        <f>COUNTIFS($A$12:$A$79,"Cond Ar Split 30.000 BTU/h Piso/Teto")</f>
        <v>0</v>
      </c>
      <c r="F103" s="51">
        <f t="shared" si="10"/>
        <v>0</v>
      </c>
      <c r="G103" s="52"/>
      <c r="H103" s="3"/>
      <c r="I103" s="3"/>
      <c r="L103" s="3"/>
      <c r="M103" s="3"/>
      <c r="N103" s="3"/>
    </row>
    <row r="104" spans="1:14" s="2" customFormat="1" ht="13.5" customHeight="1">
      <c r="A104" s="17" t="s">
        <v>54</v>
      </c>
      <c r="B104" s="49">
        <v>64</v>
      </c>
      <c r="C104" s="53">
        <v>447</v>
      </c>
      <c r="D104" s="53">
        <f>B104*C104</f>
        <v>28608</v>
      </c>
      <c r="E104" s="23">
        <f>COUNTIFS($A$12:$A$79,"Cond Ar Split 36.000 BTU/h Piso/Teto")</f>
        <v>31</v>
      </c>
      <c r="F104" s="51">
        <f t="shared" si="10"/>
        <v>33</v>
      </c>
      <c r="G104" s="52"/>
      <c r="H104" s="3"/>
      <c r="I104" s="3"/>
      <c r="L104" s="3"/>
      <c r="M104" s="3"/>
      <c r="N104" s="3"/>
    </row>
    <row r="105" spans="1:14" s="2" customFormat="1" ht="13.5" customHeight="1">
      <c r="A105" s="17" t="s">
        <v>109</v>
      </c>
      <c r="B105" s="49">
        <v>2</v>
      </c>
      <c r="C105" s="53">
        <v>497</v>
      </c>
      <c r="D105" s="53">
        <f>B105*C105</f>
        <v>994</v>
      </c>
      <c r="E105" s="23">
        <f>COUNTIFS($A$12:$A$79,"Cond Ar Split 48.000 BTU/h Piso/Teto")</f>
        <v>0</v>
      </c>
      <c r="F105" s="51">
        <f t="shared" si="10"/>
        <v>2</v>
      </c>
      <c r="G105" s="52"/>
      <c r="H105" s="3"/>
      <c r="I105" s="3"/>
      <c r="L105" s="3"/>
      <c r="M105" s="3"/>
      <c r="N105" s="3"/>
    </row>
    <row r="106" spans="1:14" s="2" customFormat="1" ht="13.5" customHeight="1">
      <c r="A106" s="17" t="s">
        <v>110</v>
      </c>
      <c r="B106" s="49"/>
      <c r="C106" s="53">
        <v>597</v>
      </c>
      <c r="D106" s="53">
        <f t="shared" ref="D106:D114" si="11">B106*C106</f>
        <v>0</v>
      </c>
      <c r="E106" s="23">
        <f>COUNTIFS($A$12:$A$79,"Cond Ar Split 60.000 BTU/h Piso/Teto")</f>
        <v>0</v>
      </c>
      <c r="F106" s="51">
        <f t="shared" si="10"/>
        <v>0</v>
      </c>
      <c r="G106" s="52"/>
      <c r="H106" s="3"/>
      <c r="I106" s="3"/>
      <c r="L106" s="3"/>
      <c r="M106" s="3"/>
      <c r="N106" s="3"/>
    </row>
    <row r="107" spans="1:14" s="2" customFormat="1" ht="13.5" customHeight="1">
      <c r="A107" s="17" t="s">
        <v>111</v>
      </c>
      <c r="B107" s="49"/>
      <c r="C107" s="53">
        <v>395</v>
      </c>
      <c r="D107" s="53">
        <f t="shared" si="11"/>
        <v>0</v>
      </c>
      <c r="E107" s="23">
        <f>COUNTIFS($A$12:$A$79,"Cond Ar Split 18.000 BTU/h Cassete")</f>
        <v>0</v>
      </c>
      <c r="F107" s="51">
        <f t="shared" si="10"/>
        <v>0</v>
      </c>
      <c r="G107" s="52"/>
      <c r="H107" s="3"/>
      <c r="I107" s="3"/>
    </row>
    <row r="108" spans="1:14" s="2" customFormat="1" ht="13.5" customHeight="1">
      <c r="A108" s="17" t="s">
        <v>112</v>
      </c>
      <c r="B108" s="49"/>
      <c r="C108" s="53">
        <v>442.75</v>
      </c>
      <c r="D108" s="53">
        <f t="shared" si="11"/>
        <v>0</v>
      </c>
      <c r="E108" s="23">
        <f>COUNTIFS($A$12:$A$79,"Cond Ar Split 24.000 BTU/h Cassete")</f>
        <v>0</v>
      </c>
      <c r="F108" s="51">
        <f t="shared" si="10"/>
        <v>0</v>
      </c>
      <c r="G108" s="52"/>
      <c r="H108" s="3"/>
      <c r="I108" s="3"/>
    </row>
    <row r="109" spans="1:14" s="2" customFormat="1" ht="13.5" customHeight="1">
      <c r="A109" s="17" t="s">
        <v>113</v>
      </c>
      <c r="B109" s="49"/>
      <c r="C109" s="53">
        <v>430</v>
      </c>
      <c r="D109" s="53">
        <f t="shared" si="11"/>
        <v>0</v>
      </c>
      <c r="E109" s="23">
        <f>COUNTIFS($A$12:$A$79,"Cond Ar Split 30.000 BTU/h Cassete")</f>
        <v>0</v>
      </c>
      <c r="F109" s="51">
        <f t="shared" si="10"/>
        <v>0</v>
      </c>
      <c r="G109" s="52"/>
      <c r="H109" s="3"/>
      <c r="I109" s="3"/>
    </row>
    <row r="110" spans="1:14" s="2" customFormat="1" ht="13.5" customHeight="1">
      <c r="A110" s="17" t="s">
        <v>114</v>
      </c>
      <c r="B110" s="49"/>
      <c r="C110" s="53">
        <v>478</v>
      </c>
      <c r="D110" s="53">
        <f t="shared" si="11"/>
        <v>0</v>
      </c>
      <c r="E110" s="23">
        <f>COUNTIFS($A$12:$A$79,"Cond Ar Split 36.000 BTU/h Cassete")</f>
        <v>0</v>
      </c>
      <c r="F110" s="51">
        <f t="shared" si="10"/>
        <v>0</v>
      </c>
      <c r="G110" s="52"/>
      <c r="H110" s="3"/>
      <c r="I110" s="3"/>
    </row>
    <row r="111" spans="1:14" s="2" customFormat="1" ht="13.5" customHeight="1">
      <c r="A111" s="17" t="s">
        <v>115</v>
      </c>
      <c r="B111" s="49"/>
      <c r="C111" s="53">
        <v>577</v>
      </c>
      <c r="D111" s="53">
        <f t="shared" si="11"/>
        <v>0</v>
      </c>
      <c r="E111" s="23">
        <f>COUNTIFS($A$12:$A$79,"Cond Ar Split 48.000 BTU/h Cassete")</f>
        <v>0</v>
      </c>
      <c r="F111" s="51">
        <f t="shared" si="10"/>
        <v>0</v>
      </c>
      <c r="G111" s="52"/>
      <c r="H111" s="3"/>
      <c r="I111" s="3"/>
    </row>
    <row r="112" spans="1:14" s="2" customFormat="1" ht="13.5" customHeight="1">
      <c r="A112" s="17" t="s">
        <v>116</v>
      </c>
      <c r="B112" s="49"/>
      <c r="C112" s="53">
        <v>645</v>
      </c>
      <c r="D112" s="53">
        <f t="shared" si="11"/>
        <v>0</v>
      </c>
      <c r="E112" s="23">
        <f>COUNTIFS($A$12:$A$79,"Cond Ar Split 60.000 BTU/h Cassete")</f>
        <v>0</v>
      </c>
      <c r="F112" s="51">
        <f t="shared" si="10"/>
        <v>0</v>
      </c>
      <c r="G112" s="52"/>
      <c r="H112" s="3"/>
      <c r="I112" s="3"/>
    </row>
    <row r="113" spans="1:14" s="2" customFormat="1" ht="13.5" customHeight="1">
      <c r="A113" s="17" t="s">
        <v>117</v>
      </c>
      <c r="B113" s="49"/>
      <c r="C113" s="53">
        <v>147</v>
      </c>
      <c r="D113" s="53">
        <f t="shared" si="11"/>
        <v>0</v>
      </c>
      <c r="E113" s="23">
        <f>COUNTIFS($A$12:$A$79,"Cond Ar Tri Split 36.000 BTU/h (3x12.000)")</f>
        <v>0</v>
      </c>
      <c r="F113" s="51">
        <f t="shared" si="10"/>
        <v>0</v>
      </c>
      <c r="G113" s="52"/>
      <c r="H113" s="3"/>
      <c r="I113" s="3"/>
    </row>
    <row r="114" spans="1:14" s="2" customFormat="1" ht="13.5" customHeight="1">
      <c r="A114" s="17" t="s">
        <v>118</v>
      </c>
      <c r="B114" s="49"/>
      <c r="C114" s="53">
        <v>100</v>
      </c>
      <c r="D114" s="53">
        <f t="shared" si="11"/>
        <v>0</v>
      </c>
      <c r="E114" s="23">
        <f>COUNTIFS($A$12:$A$79,"Cond Ar Portátil 12.000 BTU/h")</f>
        <v>0</v>
      </c>
      <c r="F114" s="51">
        <f t="shared" si="10"/>
        <v>0</v>
      </c>
      <c r="G114" s="52"/>
      <c r="H114" s="3"/>
      <c r="I114" s="3"/>
    </row>
    <row r="115" spans="1:14" s="2" customFormat="1" ht="13.5" customHeight="1">
      <c r="A115" s="54" t="s">
        <v>119</v>
      </c>
      <c r="B115" s="12">
        <f>SUM(B92:B114)</f>
        <v>426</v>
      </c>
      <c r="C115" s="55"/>
      <c r="D115" s="56">
        <f>SUM(D92:D114)</f>
        <v>107242</v>
      </c>
      <c r="E115" s="12">
        <f>SUM(E92:E114)</f>
        <v>48</v>
      </c>
      <c r="F115" s="57">
        <f>SUM(F92:F114)</f>
        <v>378</v>
      </c>
      <c r="G115" s="58"/>
      <c r="H115" s="3"/>
      <c r="I115" s="3"/>
    </row>
    <row r="116" spans="1:14" s="2" customFormat="1" ht="13.5" customHeight="1">
      <c r="A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s="2" customFormat="1" ht="13.5" customHeight="1">
      <c r="A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s="2" customFormat="1" ht="13.5" customHeight="1">
      <c r="A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s="2" customFormat="1" ht="13.5" customHeight="1">
      <c r="A119" s="3"/>
      <c r="C119" s="3"/>
      <c r="D119" s="3"/>
      <c r="E119" s="3"/>
      <c r="F119" s="59"/>
      <c r="G119" s="3"/>
      <c r="H119" s="3"/>
      <c r="I119" s="3"/>
      <c r="J119" s="42"/>
    </row>
  </sheetData>
  <mergeCells count="28">
    <mergeCell ref="A85:C85"/>
    <mergeCell ref="D85:I85"/>
    <mergeCell ref="A89:F89"/>
    <mergeCell ref="A90:D90"/>
    <mergeCell ref="E90:E91"/>
    <mergeCell ref="F90:F91"/>
    <mergeCell ref="A81:I81"/>
    <mergeCell ref="A84:C84"/>
    <mergeCell ref="D84:I84"/>
    <mergeCell ref="A10:I10"/>
    <mergeCell ref="C11:E11"/>
    <mergeCell ref="G11:I11"/>
    <mergeCell ref="D13:E13"/>
    <mergeCell ref="A6:I6"/>
    <mergeCell ref="A7:I7"/>
    <mergeCell ref="A9:B9"/>
    <mergeCell ref="C9:F9"/>
    <mergeCell ref="G9:I9"/>
    <mergeCell ref="G8:I8"/>
    <mergeCell ref="A8:F8"/>
    <mergeCell ref="A5:C5"/>
    <mergeCell ref="D5:F5"/>
    <mergeCell ref="G5:I5"/>
    <mergeCell ref="A1:I1"/>
    <mergeCell ref="A3:I3"/>
    <mergeCell ref="A4:C4"/>
    <mergeCell ref="D4:F4"/>
    <mergeCell ref="G4:I4"/>
  </mergeCells>
  <printOptions horizontalCentered="1"/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  <colBreaks count="1" manualBreakCount="1">
    <brk id="9" max="3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I82"/>
  <sheetViews>
    <sheetView showGridLines="0" workbookViewId="0">
      <pane ySplit="10" topLeftCell="A48" activePane="bottomLeft" state="frozen"/>
      <selection activeCell="A200" sqref="A200"/>
      <selection pane="bottomLeft" activeCell="C49" sqref="C49"/>
    </sheetView>
  </sheetViews>
  <sheetFormatPr defaultRowHeight="13.5" customHeight="1"/>
  <cols>
    <col min="1" max="1" width="36.5703125" style="3" bestFit="1" customWidth="1"/>
    <col min="2" max="2" width="12.28515625" style="3" customWidth="1"/>
    <col min="3" max="3" width="15.42578125" style="3" customWidth="1"/>
    <col min="4" max="4" width="13.7109375" style="3" customWidth="1"/>
    <col min="5" max="5" width="13.5703125" style="3" bestFit="1" customWidth="1"/>
    <col min="6" max="6" width="33.140625" style="3" customWidth="1"/>
    <col min="7" max="9" width="9.140625" style="3"/>
    <col min="10" max="11" width="0" style="3" hidden="1" customWidth="1"/>
    <col min="12" max="16384" width="9.140625" style="3"/>
  </cols>
  <sheetData>
    <row r="1" spans="1:6" ht="23.25" customHeight="1">
      <c r="A1" s="172" t="s">
        <v>120</v>
      </c>
      <c r="B1" s="172"/>
      <c r="C1" s="172"/>
      <c r="D1" s="172"/>
      <c r="E1" s="172"/>
      <c r="F1" s="172"/>
    </row>
    <row r="3" spans="1:6" ht="15" customHeight="1" thickBot="1">
      <c r="A3" s="198" t="s">
        <v>1</v>
      </c>
      <c r="B3" s="199"/>
      <c r="C3" s="199"/>
      <c r="D3" s="199"/>
      <c r="E3" s="199"/>
      <c r="F3" s="200"/>
    </row>
    <row r="4" spans="1:6" ht="13.5" customHeight="1" thickTop="1">
      <c r="A4" s="179" t="s">
        <v>2</v>
      </c>
      <c r="B4" s="180"/>
      <c r="C4" s="181"/>
      <c r="D4" s="179" t="s">
        <v>3</v>
      </c>
      <c r="E4" s="181"/>
      <c r="F4" s="60" t="s">
        <v>4</v>
      </c>
    </row>
    <row r="5" spans="1:6" ht="13.5" customHeight="1">
      <c r="A5" s="168" t="s">
        <v>5</v>
      </c>
      <c r="B5" s="169"/>
      <c r="C5" s="170"/>
      <c r="D5" s="168" t="s">
        <v>6</v>
      </c>
      <c r="E5" s="170"/>
      <c r="F5" s="26" t="s">
        <v>121</v>
      </c>
    </row>
    <row r="7" spans="1:6" ht="15" customHeight="1" thickBot="1">
      <c r="A7" s="198" t="s">
        <v>8</v>
      </c>
      <c r="B7" s="199"/>
      <c r="C7" s="199"/>
      <c r="D7" s="199"/>
      <c r="E7" s="199"/>
      <c r="F7" s="200"/>
    </row>
    <row r="8" spans="1:6" ht="13.5" customHeight="1" thickTop="1">
      <c r="A8" s="179" t="s">
        <v>9</v>
      </c>
      <c r="B8" s="180"/>
      <c r="C8" s="180"/>
      <c r="D8" s="180"/>
      <c r="E8" s="180"/>
      <c r="F8" s="181"/>
    </row>
    <row r="9" spans="1:6" ht="13.5" customHeight="1">
      <c r="A9" s="61" t="s">
        <v>122</v>
      </c>
      <c r="B9" s="171" t="s">
        <v>11</v>
      </c>
      <c r="C9" s="171"/>
      <c r="D9" s="171"/>
      <c r="E9" s="168" t="s">
        <v>164</v>
      </c>
      <c r="F9" s="170"/>
    </row>
    <row r="11" spans="1:6" ht="13.5" customHeight="1">
      <c r="A11" s="65"/>
      <c r="B11" s="65"/>
      <c r="C11" s="65"/>
      <c r="D11" s="66"/>
      <c r="E11" s="67"/>
      <c r="F11" s="68"/>
    </row>
    <row r="12" spans="1:6" ht="13.5" customHeight="1">
      <c r="A12" s="192" t="s">
        <v>15</v>
      </c>
      <c r="B12" s="192"/>
      <c r="C12" s="125" t="s">
        <v>21</v>
      </c>
      <c r="D12" s="125" t="s">
        <v>20</v>
      </c>
      <c r="E12" s="125" t="s">
        <v>19</v>
      </c>
      <c r="F12" s="125" t="s">
        <v>22</v>
      </c>
    </row>
    <row r="13" spans="1:6" ht="13.5" customHeight="1">
      <c r="A13" s="201" t="s">
        <v>31</v>
      </c>
      <c r="B13" s="202"/>
      <c r="C13" s="62">
        <v>1</v>
      </c>
      <c r="D13" s="63">
        <v>242</v>
      </c>
      <c r="E13" s="21">
        <v>11</v>
      </c>
      <c r="F13" s="64">
        <f t="shared" ref="F13:F14" si="0">D13/30*C13*E13</f>
        <v>88.733333333333334</v>
      </c>
    </row>
    <row r="14" spans="1:6" ht="13.5" customHeight="1">
      <c r="A14" s="203"/>
      <c r="B14" s="203"/>
      <c r="C14" s="127"/>
      <c r="D14" s="63"/>
      <c r="E14" s="21"/>
      <c r="F14" s="64">
        <f t="shared" si="0"/>
        <v>0</v>
      </c>
    </row>
    <row r="15" spans="1:6" ht="13.5" customHeight="1">
      <c r="A15" s="171" t="s">
        <v>173</v>
      </c>
      <c r="B15" s="171"/>
      <c r="C15" s="125">
        <f>SUM(C13:C14)</f>
        <v>1</v>
      </c>
      <c r="D15" s="27"/>
      <c r="E15" s="27"/>
      <c r="F15" s="122">
        <f>SUM(F13:F14)</f>
        <v>88.733333333333334</v>
      </c>
    </row>
    <row r="16" spans="1:6" ht="13.5" customHeight="1">
      <c r="A16" s="118"/>
      <c r="B16" s="118"/>
      <c r="C16" s="118"/>
      <c r="D16" s="119"/>
      <c r="E16" s="120"/>
      <c r="F16" s="121"/>
    </row>
    <row r="17" spans="1:6" ht="13.5" customHeight="1">
      <c r="A17" s="192" t="s">
        <v>15</v>
      </c>
      <c r="B17" s="192"/>
      <c r="C17" s="141" t="s">
        <v>21</v>
      </c>
      <c r="D17" s="141" t="s">
        <v>20</v>
      </c>
      <c r="E17" s="141" t="s">
        <v>19</v>
      </c>
      <c r="F17" s="141" t="s">
        <v>22</v>
      </c>
    </row>
    <row r="18" spans="1:6" ht="13.5" customHeight="1">
      <c r="A18" s="201" t="s">
        <v>56</v>
      </c>
      <c r="B18" s="202"/>
      <c r="C18" s="62">
        <v>1</v>
      </c>
      <c r="D18" s="63">
        <v>235</v>
      </c>
      <c r="E18" s="21">
        <v>16</v>
      </c>
      <c r="F18" s="64">
        <f t="shared" ref="F18:F20" si="1">D18/30*C18*E18</f>
        <v>125.33333333333333</v>
      </c>
    </row>
    <row r="19" spans="1:6" ht="13.5" customHeight="1">
      <c r="A19" s="201" t="s">
        <v>56</v>
      </c>
      <c r="B19" s="202"/>
      <c r="C19" s="62">
        <v>1</v>
      </c>
      <c r="D19" s="63">
        <v>235</v>
      </c>
      <c r="E19" s="21">
        <v>16</v>
      </c>
      <c r="F19" s="64">
        <f t="shared" si="1"/>
        <v>125.33333333333333</v>
      </c>
    </row>
    <row r="20" spans="1:6" ht="13.5" customHeight="1">
      <c r="A20" s="203"/>
      <c r="B20" s="203"/>
      <c r="C20" s="127"/>
      <c r="D20" s="63"/>
      <c r="E20" s="21"/>
      <c r="F20" s="64">
        <f t="shared" si="1"/>
        <v>0</v>
      </c>
    </row>
    <row r="21" spans="1:6" ht="13.5" customHeight="1">
      <c r="A21" s="171" t="s">
        <v>174</v>
      </c>
      <c r="B21" s="171"/>
      <c r="C21" s="141">
        <f>SUM(C18:C20)</f>
        <v>2</v>
      </c>
      <c r="D21" s="27"/>
      <c r="E21" s="27"/>
      <c r="F21" s="122">
        <f>SUM(F18:F20)</f>
        <v>250.66666666666666</v>
      </c>
    </row>
    <row r="22" spans="1:6" ht="13.5" customHeight="1">
      <c r="A22" s="118"/>
      <c r="B22" s="118"/>
      <c r="C22" s="118"/>
      <c r="D22" s="119"/>
      <c r="E22" s="120"/>
      <c r="F22" s="121"/>
    </row>
    <row r="23" spans="1:6" ht="13.5" customHeight="1">
      <c r="A23" s="192" t="s">
        <v>15</v>
      </c>
      <c r="B23" s="192"/>
      <c r="C23" s="141" t="s">
        <v>21</v>
      </c>
      <c r="D23" s="141" t="s">
        <v>20</v>
      </c>
      <c r="E23" s="141" t="s">
        <v>19</v>
      </c>
      <c r="F23" s="141" t="s">
        <v>22</v>
      </c>
    </row>
    <row r="24" spans="1:6" ht="13.5" customHeight="1">
      <c r="A24" s="201" t="s">
        <v>39</v>
      </c>
      <c r="B24" s="202"/>
      <c r="C24" s="62">
        <v>5</v>
      </c>
      <c r="D24" s="63">
        <v>238</v>
      </c>
      <c r="E24" s="21">
        <v>15</v>
      </c>
      <c r="F24" s="64">
        <f t="shared" ref="F24:F25" si="2">D24/30*C24*E24</f>
        <v>595.00000000000011</v>
      </c>
    </row>
    <row r="25" spans="1:6" ht="13.5" customHeight="1">
      <c r="A25" s="203"/>
      <c r="B25" s="203"/>
      <c r="C25" s="127"/>
      <c r="D25" s="63"/>
      <c r="E25" s="21"/>
      <c r="F25" s="64">
        <f t="shared" si="2"/>
        <v>0</v>
      </c>
    </row>
    <row r="26" spans="1:6" ht="17.25" customHeight="1">
      <c r="A26" s="171" t="s">
        <v>175</v>
      </c>
      <c r="B26" s="171"/>
      <c r="C26" s="141">
        <f>SUM(C24:C25)</f>
        <v>5</v>
      </c>
      <c r="D26" s="27"/>
      <c r="E26" s="27"/>
      <c r="F26" s="122">
        <f>SUM(F24:F25)</f>
        <v>595.00000000000011</v>
      </c>
    </row>
    <row r="27" spans="1:6" ht="9.75" customHeight="1">
      <c r="F27" s="140"/>
    </row>
    <row r="28" spans="1:6" ht="9.75" customHeight="1">
      <c r="F28" s="140"/>
    </row>
    <row r="29" spans="1:6" ht="16.5" customHeight="1">
      <c r="A29" s="192" t="s">
        <v>15</v>
      </c>
      <c r="B29" s="192"/>
      <c r="C29" s="141" t="s">
        <v>21</v>
      </c>
      <c r="D29" s="141" t="s">
        <v>20</v>
      </c>
      <c r="E29" s="141" t="s">
        <v>19</v>
      </c>
      <c r="F29" s="141" t="s">
        <v>22</v>
      </c>
    </row>
    <row r="30" spans="1:6" ht="14.25" customHeight="1">
      <c r="A30" s="204" t="s">
        <v>25</v>
      </c>
      <c r="B30" s="205"/>
      <c r="C30" s="157">
        <v>3</v>
      </c>
      <c r="D30" s="63">
        <v>147</v>
      </c>
      <c r="E30" s="21">
        <v>24</v>
      </c>
      <c r="F30" s="158">
        <f t="shared" ref="F30:F31" si="3">D30/30*C30*E30</f>
        <v>352.8</v>
      </c>
    </row>
    <row r="31" spans="1:6" ht="14.25" customHeight="1">
      <c r="A31" s="185"/>
      <c r="B31" s="185"/>
      <c r="C31" s="159"/>
      <c r="D31" s="63"/>
      <c r="E31" s="21"/>
      <c r="F31" s="158">
        <f t="shared" si="3"/>
        <v>0</v>
      </c>
    </row>
    <row r="32" spans="1:6" ht="15.75" customHeight="1">
      <c r="A32" s="171" t="s">
        <v>178</v>
      </c>
      <c r="B32" s="171"/>
      <c r="C32" s="141">
        <f>SUM(C30:C31)</f>
        <v>3</v>
      </c>
      <c r="D32" s="27"/>
      <c r="E32" s="27"/>
      <c r="F32" s="122">
        <f>SUM(F30:F31)</f>
        <v>352.8</v>
      </c>
    </row>
    <row r="33" spans="1:6" ht="9.75" customHeight="1">
      <c r="F33" s="140"/>
    </row>
    <row r="34" spans="1:6" ht="9.75" customHeight="1">
      <c r="F34" s="140"/>
    </row>
    <row r="35" spans="1:6" ht="15" customHeight="1">
      <c r="A35" s="192" t="s">
        <v>15</v>
      </c>
      <c r="B35" s="192"/>
      <c r="C35" s="165" t="s">
        <v>21</v>
      </c>
      <c r="D35" s="165" t="s">
        <v>20</v>
      </c>
      <c r="E35" s="165" t="s">
        <v>19</v>
      </c>
      <c r="F35" s="165" t="s">
        <v>22</v>
      </c>
    </row>
    <row r="36" spans="1:6" ht="15.75" customHeight="1">
      <c r="A36" s="204" t="s">
        <v>25</v>
      </c>
      <c r="B36" s="205"/>
      <c r="C36" s="157">
        <v>2</v>
      </c>
      <c r="D36" s="63">
        <v>147</v>
      </c>
      <c r="E36" s="21">
        <v>30</v>
      </c>
      <c r="F36" s="158">
        <f t="shared" ref="F36:F41" si="4">D36/30*C36*E36</f>
        <v>294</v>
      </c>
    </row>
    <row r="37" spans="1:6" ht="15.75" customHeight="1">
      <c r="A37" s="204" t="s">
        <v>56</v>
      </c>
      <c r="B37" s="205"/>
      <c r="C37" s="157">
        <v>2</v>
      </c>
      <c r="D37" s="63">
        <v>235</v>
      </c>
      <c r="E37" s="21">
        <v>30</v>
      </c>
      <c r="F37" s="158">
        <f t="shared" si="4"/>
        <v>470</v>
      </c>
    </row>
    <row r="38" spans="1:6" ht="15.75" customHeight="1">
      <c r="A38" s="204" t="s">
        <v>39</v>
      </c>
      <c r="B38" s="205"/>
      <c r="C38" s="157">
        <v>1</v>
      </c>
      <c r="D38" s="63">
        <v>238</v>
      </c>
      <c r="E38" s="21">
        <v>30</v>
      </c>
      <c r="F38" s="158">
        <f t="shared" si="4"/>
        <v>238</v>
      </c>
    </row>
    <row r="39" spans="1:6" ht="15.75" customHeight="1">
      <c r="A39" s="204" t="s">
        <v>179</v>
      </c>
      <c r="B39" s="205"/>
      <c r="C39" s="157">
        <v>8</v>
      </c>
      <c r="D39" s="63">
        <v>447</v>
      </c>
      <c r="E39" s="21">
        <v>30</v>
      </c>
      <c r="F39" s="158">
        <f t="shared" si="4"/>
        <v>3576</v>
      </c>
    </row>
    <row r="40" spans="1:6" ht="15.75" customHeight="1">
      <c r="A40" s="166"/>
      <c r="B40" s="167"/>
      <c r="C40" s="157"/>
      <c r="D40" s="63"/>
      <c r="E40" s="21"/>
      <c r="F40" s="158">
        <f t="shared" si="4"/>
        <v>0</v>
      </c>
    </row>
    <row r="41" spans="1:6" ht="15" customHeight="1">
      <c r="A41" s="185"/>
      <c r="B41" s="185"/>
      <c r="C41" s="159"/>
      <c r="D41" s="63"/>
      <c r="E41" s="21"/>
      <c r="F41" s="158">
        <f t="shared" si="4"/>
        <v>0</v>
      </c>
    </row>
    <row r="42" spans="1:6" ht="13.5" customHeight="1">
      <c r="A42" s="171" t="s">
        <v>180</v>
      </c>
      <c r="B42" s="171"/>
      <c r="C42" s="165">
        <f>SUM(C36:C41)</f>
        <v>13</v>
      </c>
      <c r="D42" s="27"/>
      <c r="E42" s="27"/>
      <c r="F42" s="122">
        <f>SUM(F36:F41)</f>
        <v>4578</v>
      </c>
    </row>
    <row r="43" spans="1:6" ht="9.75" customHeight="1">
      <c r="F43" s="140"/>
    </row>
    <row r="44" spans="1:6" ht="9.75" customHeight="1">
      <c r="F44" s="140"/>
    </row>
    <row r="45" spans="1:6" ht="9.75" customHeight="1">
      <c r="F45" s="140"/>
    </row>
    <row r="46" spans="1:6" ht="9.75" customHeight="1">
      <c r="A46" s="192" t="s">
        <v>15</v>
      </c>
      <c r="B46" s="192"/>
      <c r="C46" s="165" t="s">
        <v>21</v>
      </c>
      <c r="D46" s="165" t="s">
        <v>20</v>
      </c>
      <c r="E46" s="165" t="s">
        <v>19</v>
      </c>
      <c r="F46" s="165" t="s">
        <v>22</v>
      </c>
    </row>
    <row r="47" spans="1:6" ht="15" customHeight="1">
      <c r="A47" s="204" t="s">
        <v>56</v>
      </c>
      <c r="B47" s="205"/>
      <c r="C47" s="157">
        <v>4</v>
      </c>
      <c r="D47" s="63">
        <v>235</v>
      </c>
      <c r="E47" s="21">
        <v>30</v>
      </c>
      <c r="F47" s="158">
        <f t="shared" ref="F47:F49" si="5">D47/30*C47*E47</f>
        <v>940</v>
      </c>
    </row>
    <row r="48" spans="1:6" ht="14.25" customHeight="1">
      <c r="A48" s="204" t="s">
        <v>179</v>
      </c>
      <c r="B48" s="205"/>
      <c r="C48" s="157">
        <v>7</v>
      </c>
      <c r="D48" s="63">
        <v>447</v>
      </c>
      <c r="E48" s="21">
        <v>30</v>
      </c>
      <c r="F48" s="158">
        <f t="shared" si="5"/>
        <v>3129</v>
      </c>
    </row>
    <row r="49" spans="1:6" ht="15" customHeight="1">
      <c r="A49" s="166"/>
      <c r="B49" s="167"/>
      <c r="C49" s="157"/>
      <c r="D49" s="63"/>
      <c r="E49" s="21"/>
      <c r="F49" s="158">
        <f t="shared" si="5"/>
        <v>0</v>
      </c>
    </row>
    <row r="50" spans="1:6" ht="18" customHeight="1">
      <c r="A50" s="171" t="s">
        <v>180</v>
      </c>
      <c r="B50" s="171"/>
      <c r="C50" s="165">
        <f>SUM(C47:C49)</f>
        <v>11</v>
      </c>
      <c r="D50" s="27"/>
      <c r="E50" s="27"/>
      <c r="F50" s="122">
        <f>SUM(F47:F49)</f>
        <v>4069</v>
      </c>
    </row>
    <row r="51" spans="1:6" ht="9.75" customHeight="1">
      <c r="F51" s="140"/>
    </row>
    <row r="52" spans="1:6" ht="9.75" customHeight="1">
      <c r="F52" s="140"/>
    </row>
    <row r="53" spans="1:6" ht="9.75" customHeight="1">
      <c r="F53" s="140"/>
    </row>
    <row r="54" spans="1:6" ht="9.75" customHeight="1">
      <c r="F54" s="140"/>
    </row>
    <row r="55" spans="1:6" ht="9.75" customHeight="1">
      <c r="F55" s="140"/>
    </row>
    <row r="56" spans="1:6" ht="9.75" customHeight="1">
      <c r="F56" s="140"/>
    </row>
    <row r="57" spans="1:6" ht="9.75" customHeight="1">
      <c r="F57" s="140"/>
    </row>
    <row r="58" spans="1:6" ht="9.75" customHeight="1">
      <c r="F58" s="140"/>
    </row>
    <row r="59" spans="1:6" ht="9.75" customHeight="1">
      <c r="F59" s="140"/>
    </row>
    <row r="60" spans="1:6" ht="9.75" customHeight="1">
      <c r="F60" s="140"/>
    </row>
    <row r="61" spans="1:6" ht="9.75" customHeight="1">
      <c r="F61" s="140"/>
    </row>
    <row r="62" spans="1:6" ht="9.75" customHeight="1">
      <c r="F62" s="140"/>
    </row>
    <row r="63" spans="1:6" ht="9.75" customHeight="1">
      <c r="F63" s="140"/>
    </row>
    <row r="64" spans="1:6" ht="9.75" customHeight="1">
      <c r="F64" s="140"/>
    </row>
    <row r="65" spans="1:9" ht="9.75" customHeight="1">
      <c r="F65" s="140"/>
    </row>
    <row r="66" spans="1:9" ht="9.75" customHeight="1">
      <c r="F66" s="140"/>
    </row>
    <row r="67" spans="1:9" ht="18" customHeight="1">
      <c r="F67" s="160">
        <f>'Fat 1'!I233+'Fat 2'!I22+'Fat 3'!I29+'Fat 4'!I42+'Fat 5'!I78</f>
        <v>57740.200000000004</v>
      </c>
    </row>
    <row r="68" spans="1:9" ht="9.75" customHeight="1">
      <c r="F68" s="140"/>
    </row>
    <row r="69" spans="1:9" ht="9.75" customHeight="1">
      <c r="F69" s="140"/>
    </row>
    <row r="70" spans="1:9" ht="9.75" customHeight="1">
      <c r="F70" s="140"/>
    </row>
    <row r="71" spans="1:9" ht="9.75" customHeight="1">
      <c r="F71" s="140"/>
    </row>
    <row r="72" spans="1:9" ht="9.75" customHeight="1">
      <c r="F72" s="140"/>
    </row>
    <row r="73" spans="1:9" ht="9.75" customHeight="1">
      <c r="F73" s="140"/>
    </row>
    <row r="74" spans="1:9" ht="9.75" customHeight="1">
      <c r="F74" s="140"/>
    </row>
    <row r="75" spans="1:9" ht="9.75" customHeight="1">
      <c r="F75" s="140"/>
    </row>
    <row r="76" spans="1:9" ht="13.5" customHeight="1">
      <c r="A76" s="182" t="s">
        <v>93</v>
      </c>
      <c r="B76" s="182"/>
      <c r="C76" s="182"/>
      <c r="D76" s="182"/>
      <c r="E76" s="182"/>
      <c r="F76" s="182"/>
      <c r="G76" s="69"/>
      <c r="H76" s="69"/>
      <c r="I76" s="69"/>
    </row>
    <row r="78" spans="1:9" ht="13.5" customHeight="1">
      <c r="A78" s="4" t="s">
        <v>94</v>
      </c>
      <c r="B78" s="4"/>
      <c r="F78" s="70"/>
      <c r="G78" s="16"/>
      <c r="I78" s="71"/>
    </row>
    <row r="79" spans="1:9" ht="60" customHeight="1">
      <c r="A79" s="183"/>
      <c r="B79" s="178"/>
      <c r="C79" s="184"/>
      <c r="D79" s="185"/>
      <c r="E79" s="185"/>
      <c r="F79" s="185"/>
    </row>
    <row r="80" spans="1:9" ht="13.5" customHeight="1">
      <c r="A80" s="193" t="s">
        <v>95</v>
      </c>
      <c r="B80" s="193"/>
      <c r="C80" s="193"/>
      <c r="D80" s="72"/>
      <c r="E80" s="72" t="s">
        <v>96</v>
      </c>
      <c r="F80" s="72"/>
      <c r="G80" s="4"/>
      <c r="H80" s="4"/>
      <c r="I80" s="4"/>
    </row>
    <row r="82" spans="9:9" ht="13.5" customHeight="1">
      <c r="I82" s="3">
        <f>SUM(I17:I81)</f>
        <v>0</v>
      </c>
    </row>
  </sheetData>
  <mergeCells count="42">
    <mergeCell ref="A50:B50"/>
    <mergeCell ref="A46:B46"/>
    <mergeCell ref="A47:B47"/>
    <mergeCell ref="A48:B48"/>
    <mergeCell ref="A35:B35"/>
    <mergeCell ref="A36:B36"/>
    <mergeCell ref="A41:B41"/>
    <mergeCell ref="A42:B42"/>
    <mergeCell ref="A37:B37"/>
    <mergeCell ref="A38:B38"/>
    <mergeCell ref="A39:B39"/>
    <mergeCell ref="A24:B24"/>
    <mergeCell ref="A31:B31"/>
    <mergeCell ref="A25:B25"/>
    <mergeCell ref="A26:B26"/>
    <mergeCell ref="A29:B29"/>
    <mergeCell ref="A30:B30"/>
    <mergeCell ref="A80:C80"/>
    <mergeCell ref="E9:F9"/>
    <mergeCell ref="A76:F76"/>
    <mergeCell ref="A79:C79"/>
    <mergeCell ref="D79:F79"/>
    <mergeCell ref="A12:B12"/>
    <mergeCell ref="A13:B13"/>
    <mergeCell ref="A14:B14"/>
    <mergeCell ref="A15:B15"/>
    <mergeCell ref="A17:B17"/>
    <mergeCell ref="A18:B18"/>
    <mergeCell ref="A32:B32"/>
    <mergeCell ref="A19:B19"/>
    <mergeCell ref="A20:B20"/>
    <mergeCell ref="A21:B21"/>
    <mergeCell ref="A23:B23"/>
    <mergeCell ref="A8:F8"/>
    <mergeCell ref="B9:D9"/>
    <mergeCell ref="A1:F1"/>
    <mergeCell ref="A3:F3"/>
    <mergeCell ref="A4:C4"/>
    <mergeCell ref="D4:E4"/>
    <mergeCell ref="A5:C5"/>
    <mergeCell ref="D5:E5"/>
    <mergeCell ref="A7:F7"/>
  </mergeCells>
  <pageMargins left="0.27559055118110237" right="0.19685039370078741" top="0.27559055118110237" bottom="0.35433070866141736" header="0.23622047244094491" footer="0.15748031496062992"/>
  <pageSetup paperSize="9" scale="70" orientation="portrait" r:id="rId1"/>
  <headerFooter alignWithMargins="0">
    <oddFooter>&amp;L&amp;F/&amp;A&amp;C&amp;D&amp;R&amp;P/&amp;N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J28" sqref="J28"/>
    </sheetView>
  </sheetViews>
  <sheetFormatPr defaultRowHeight="15"/>
  <cols>
    <col min="1" max="1" width="36.5703125" bestFit="1" customWidth="1"/>
    <col min="2" max="2" width="11.5703125" bestFit="1" customWidth="1"/>
    <col min="3" max="3" width="11" bestFit="1" customWidth="1"/>
    <col min="4" max="4" width="15.42578125" bestFit="1" customWidth="1"/>
    <col min="5" max="5" width="12.28515625" customWidth="1"/>
    <col min="7" max="7" width="12" bestFit="1" customWidth="1"/>
    <col min="10" max="10" width="10.42578125" customWidth="1"/>
    <col min="11" max="11" width="10.140625" bestFit="1" customWidth="1"/>
  </cols>
  <sheetData>
    <row r="1" spans="1:11" ht="15.75" thickBot="1"/>
    <row r="2" spans="1:11" ht="15.75" thickBot="1">
      <c r="A2" s="206" t="s">
        <v>134</v>
      </c>
      <c r="B2" s="207"/>
      <c r="C2" s="207"/>
      <c r="D2" s="207"/>
      <c r="E2" s="207"/>
      <c r="F2" s="207"/>
      <c r="G2" s="207"/>
      <c r="H2" s="207"/>
      <c r="I2" s="207"/>
      <c r="J2" s="207"/>
      <c r="K2" s="208"/>
    </row>
    <row r="3" spans="1:11" s="87" customFormat="1" ht="14.25" customHeight="1" thickBot="1">
      <c r="A3" s="209" t="s">
        <v>142</v>
      </c>
      <c r="B3" s="210"/>
      <c r="C3" s="210"/>
      <c r="D3" s="211"/>
      <c r="E3" s="209" t="s">
        <v>143</v>
      </c>
      <c r="F3" s="210"/>
      <c r="G3" s="210"/>
      <c r="H3" s="210"/>
      <c r="I3" s="210"/>
      <c r="J3" s="212" t="s">
        <v>135</v>
      </c>
      <c r="K3" s="214" t="s">
        <v>136</v>
      </c>
    </row>
    <row r="4" spans="1:11" ht="15.75" thickBot="1">
      <c r="A4" s="88" t="s">
        <v>15</v>
      </c>
      <c r="B4" s="89" t="s">
        <v>21</v>
      </c>
      <c r="C4" s="89" t="s">
        <v>20</v>
      </c>
      <c r="D4" s="90" t="s">
        <v>22</v>
      </c>
      <c r="E4" s="88" t="s">
        <v>137</v>
      </c>
      <c r="F4" s="89" t="s">
        <v>138</v>
      </c>
      <c r="G4" s="89" t="s">
        <v>139</v>
      </c>
      <c r="H4" s="89" t="s">
        <v>140</v>
      </c>
      <c r="I4" s="89" t="s">
        <v>141</v>
      </c>
      <c r="J4" s="213"/>
      <c r="K4" s="215"/>
    </row>
    <row r="5" spans="1:11">
      <c r="A5" s="91" t="s">
        <v>101</v>
      </c>
      <c r="B5" s="94"/>
      <c r="C5" s="92">
        <v>37</v>
      </c>
      <c r="D5" s="93">
        <f t="shared" ref="D5:D27" si="0">B5*C5</f>
        <v>0</v>
      </c>
      <c r="E5" s="94">
        <f>'Fat 1'!E246</f>
        <v>0</v>
      </c>
      <c r="F5" s="95">
        <f>'Fat 2'!E33</f>
        <v>0</v>
      </c>
      <c r="G5" s="96">
        <f>'Fat 3'!E41</f>
        <v>0</v>
      </c>
      <c r="H5" s="95">
        <f>'Fat 4'!E58</f>
        <v>0</v>
      </c>
      <c r="I5" s="95">
        <f>'Fat 5'!E92</f>
        <v>0</v>
      </c>
      <c r="J5" s="97">
        <f t="shared" ref="J5:J27" si="1">SUM(E5:I5)</f>
        <v>0</v>
      </c>
      <c r="K5" s="97">
        <f t="shared" ref="K5:K27" si="2">B5-J5</f>
        <v>0</v>
      </c>
    </row>
    <row r="6" spans="1:11">
      <c r="A6" s="98" t="s">
        <v>102</v>
      </c>
      <c r="B6" s="94"/>
      <c r="C6" s="53">
        <v>210</v>
      </c>
      <c r="D6" s="99">
        <f t="shared" si="0"/>
        <v>0</v>
      </c>
      <c r="E6" s="94">
        <f>'Fat 1'!E247</f>
        <v>0</v>
      </c>
      <c r="F6" s="95">
        <f>'Fat 2'!E34</f>
        <v>0</v>
      </c>
      <c r="G6" s="96">
        <f>'Fat 3'!E42</f>
        <v>0</v>
      </c>
      <c r="H6" s="95">
        <f>'Fat 4'!E59</f>
        <v>0</v>
      </c>
      <c r="I6" s="95">
        <f>'Fat 5'!E93</f>
        <v>0</v>
      </c>
      <c r="J6" s="97">
        <f t="shared" si="1"/>
        <v>0</v>
      </c>
      <c r="K6" s="100">
        <f t="shared" si="2"/>
        <v>0</v>
      </c>
    </row>
    <row r="7" spans="1:11">
      <c r="A7" s="98" t="s">
        <v>103</v>
      </c>
      <c r="B7" s="94"/>
      <c r="C7" s="53">
        <v>208</v>
      </c>
      <c r="D7" s="99">
        <f t="shared" si="0"/>
        <v>0</v>
      </c>
      <c r="E7" s="94">
        <f>'Fat 1'!E248</f>
        <v>0</v>
      </c>
      <c r="F7" s="95">
        <f>'Fat 2'!E35</f>
        <v>0</v>
      </c>
      <c r="G7" s="96">
        <f>'Fat 3'!E43</f>
        <v>0</v>
      </c>
      <c r="H7" s="95">
        <f>'Fat 4'!E60</f>
        <v>0</v>
      </c>
      <c r="I7" s="95">
        <f>'Fat 5'!E94</f>
        <v>0</v>
      </c>
      <c r="J7" s="97">
        <f t="shared" si="1"/>
        <v>0</v>
      </c>
      <c r="K7" s="100">
        <f t="shared" si="2"/>
        <v>0</v>
      </c>
    </row>
    <row r="8" spans="1:11">
      <c r="A8" s="98" t="s">
        <v>104</v>
      </c>
      <c r="B8" s="94"/>
      <c r="C8" s="53">
        <v>57</v>
      </c>
      <c r="D8" s="99">
        <f t="shared" si="0"/>
        <v>0</v>
      </c>
      <c r="E8" s="94">
        <f>'Fat 1'!E249</f>
        <v>0</v>
      </c>
      <c r="F8" s="95">
        <f>'Fat 2'!E36</f>
        <v>0</v>
      </c>
      <c r="G8" s="96">
        <f>'Fat 3'!E44</f>
        <v>0</v>
      </c>
      <c r="H8" s="95">
        <f>'Fat 4'!E61</f>
        <v>0</v>
      </c>
      <c r="I8" s="95">
        <f>'Fat 5'!E95</f>
        <v>0</v>
      </c>
      <c r="J8" s="97">
        <f t="shared" si="1"/>
        <v>0</v>
      </c>
      <c r="K8" s="100">
        <f t="shared" si="2"/>
        <v>0</v>
      </c>
    </row>
    <row r="9" spans="1:11">
      <c r="A9" s="98" t="s">
        <v>25</v>
      </c>
      <c r="B9" s="94">
        <v>87</v>
      </c>
      <c r="C9" s="53">
        <v>147</v>
      </c>
      <c r="D9" s="99">
        <f t="shared" si="0"/>
        <v>12789</v>
      </c>
      <c r="E9" s="94">
        <f>'Fat 1'!E250</f>
        <v>47</v>
      </c>
      <c r="F9" s="95">
        <f>'Fat 2'!E37</f>
        <v>0</v>
      </c>
      <c r="G9" s="96">
        <f>'Fat 3'!E45</f>
        <v>2</v>
      </c>
      <c r="H9" s="95">
        <f>'Fat 4'!E62</f>
        <v>5</v>
      </c>
      <c r="I9" s="95">
        <f>'Fat 5'!E96</f>
        <v>4</v>
      </c>
      <c r="J9" s="97">
        <f t="shared" si="1"/>
        <v>58</v>
      </c>
      <c r="K9" s="100">
        <f t="shared" si="2"/>
        <v>29</v>
      </c>
    </row>
    <row r="10" spans="1:11">
      <c r="A10" s="98" t="s">
        <v>56</v>
      </c>
      <c r="B10" s="94">
        <v>160</v>
      </c>
      <c r="C10" s="53">
        <v>235</v>
      </c>
      <c r="D10" s="99">
        <f t="shared" si="0"/>
        <v>37600</v>
      </c>
      <c r="E10" s="94">
        <f>'Fat 1'!E251</f>
        <v>53</v>
      </c>
      <c r="F10" s="95">
        <f>'Fat 2'!E38</f>
        <v>3</v>
      </c>
      <c r="G10" s="96">
        <f>'Fat 3'!E46</f>
        <v>2</v>
      </c>
      <c r="H10" s="95">
        <f>'Fat 4'!E63</f>
        <v>0</v>
      </c>
      <c r="I10" s="95">
        <f>'Fat 5'!E97</f>
        <v>9</v>
      </c>
      <c r="J10" s="97">
        <f t="shared" si="1"/>
        <v>67</v>
      </c>
      <c r="K10" s="100">
        <f t="shared" si="2"/>
        <v>93</v>
      </c>
    </row>
    <row r="11" spans="1:11">
      <c r="A11" s="98" t="s">
        <v>39</v>
      </c>
      <c r="B11" s="94">
        <v>59</v>
      </c>
      <c r="C11" s="53">
        <v>238</v>
      </c>
      <c r="D11" s="99">
        <f t="shared" si="0"/>
        <v>14042</v>
      </c>
      <c r="E11" s="94">
        <f>'Fat 1'!E252</f>
        <v>15</v>
      </c>
      <c r="F11" s="95">
        <f>'Fat 2'!E39</f>
        <v>0</v>
      </c>
      <c r="G11" s="96">
        <f>'Fat 3'!E47</f>
        <v>0</v>
      </c>
      <c r="H11" s="95">
        <f>'Fat 4'!E64</f>
        <v>6</v>
      </c>
      <c r="I11" s="95">
        <f>'Fat 5'!E98</f>
        <v>1</v>
      </c>
      <c r="J11" s="97">
        <f t="shared" si="1"/>
        <v>22</v>
      </c>
      <c r="K11" s="100">
        <f t="shared" si="2"/>
        <v>37</v>
      </c>
    </row>
    <row r="12" spans="1:11">
      <c r="A12" s="98" t="s">
        <v>31</v>
      </c>
      <c r="B12" s="94">
        <v>51</v>
      </c>
      <c r="C12" s="53">
        <v>242</v>
      </c>
      <c r="D12" s="99">
        <f t="shared" si="0"/>
        <v>12342</v>
      </c>
      <c r="E12" s="94">
        <f>'Fat 1'!E253</f>
        <v>27</v>
      </c>
      <c r="F12" s="95">
        <f>'Fat 2'!E40</f>
        <v>1</v>
      </c>
      <c r="G12" s="96">
        <f>'Fat 3'!E48</f>
        <v>1</v>
      </c>
      <c r="H12" s="95">
        <f>'Fat 4'!E65</f>
        <v>1</v>
      </c>
      <c r="I12" s="95">
        <f>'Fat 5'!E99</f>
        <v>3</v>
      </c>
      <c r="J12" s="97">
        <f t="shared" si="1"/>
        <v>33</v>
      </c>
      <c r="K12" s="100">
        <f t="shared" si="2"/>
        <v>18</v>
      </c>
    </row>
    <row r="13" spans="1:11">
      <c r="A13" s="98" t="s">
        <v>105</v>
      </c>
      <c r="B13" s="94">
        <v>2</v>
      </c>
      <c r="C13" s="53">
        <v>260</v>
      </c>
      <c r="D13" s="99">
        <f t="shared" si="0"/>
        <v>520</v>
      </c>
      <c r="E13" s="94">
        <f>'Fat 1'!E254</f>
        <v>0</v>
      </c>
      <c r="F13" s="95">
        <f>'Fat 2'!E41</f>
        <v>0</v>
      </c>
      <c r="G13" s="96">
        <f>'Fat 3'!E49</f>
        <v>0</v>
      </c>
      <c r="H13" s="95">
        <f>'Fat 4'!E66</f>
        <v>0</v>
      </c>
      <c r="I13" s="95">
        <f>'Fat 5'!E100</f>
        <v>0</v>
      </c>
      <c r="J13" s="97">
        <f t="shared" si="1"/>
        <v>0</v>
      </c>
      <c r="K13" s="100">
        <f t="shared" si="2"/>
        <v>2</v>
      </c>
    </row>
    <row r="14" spans="1:11">
      <c r="A14" s="98" t="s">
        <v>106</v>
      </c>
      <c r="B14" s="94">
        <v>1</v>
      </c>
      <c r="C14" s="53">
        <v>347</v>
      </c>
      <c r="D14" s="99">
        <f t="shared" si="0"/>
        <v>347</v>
      </c>
      <c r="E14" s="94">
        <f>'Fat 1'!E255</f>
        <v>1</v>
      </c>
      <c r="F14" s="95">
        <f>'Fat 2'!E42</f>
        <v>0</v>
      </c>
      <c r="G14" s="96">
        <f>'Fat 3'!E50</f>
        <v>0</v>
      </c>
      <c r="H14" s="95">
        <f>'Fat 4'!E67</f>
        <v>0</v>
      </c>
      <c r="I14" s="95">
        <f>'Fat 5'!E101</f>
        <v>0</v>
      </c>
      <c r="J14" s="97">
        <f t="shared" si="1"/>
        <v>1</v>
      </c>
      <c r="K14" s="100">
        <f t="shared" si="2"/>
        <v>0</v>
      </c>
    </row>
    <row r="15" spans="1:11">
      <c r="A15" s="98" t="s">
        <v>107</v>
      </c>
      <c r="B15" s="94"/>
      <c r="C15" s="53">
        <v>367</v>
      </c>
      <c r="D15" s="99">
        <f t="shared" si="0"/>
        <v>0</v>
      </c>
      <c r="E15" s="94">
        <f>'Fat 1'!E256</f>
        <v>0</v>
      </c>
      <c r="F15" s="95">
        <f>'Fat 2'!E43</f>
        <v>0</v>
      </c>
      <c r="G15" s="96">
        <f>'Fat 3'!E51</f>
        <v>0</v>
      </c>
      <c r="H15" s="95">
        <f>'Fat 4'!E68</f>
        <v>0</v>
      </c>
      <c r="I15" s="95">
        <f>'Fat 5'!E102</f>
        <v>0</v>
      </c>
      <c r="J15" s="97">
        <f t="shared" si="1"/>
        <v>0</v>
      </c>
      <c r="K15" s="100">
        <f t="shared" si="2"/>
        <v>0</v>
      </c>
    </row>
    <row r="16" spans="1:11">
      <c r="A16" s="98" t="s">
        <v>108</v>
      </c>
      <c r="B16" s="94"/>
      <c r="C16" s="53">
        <v>367</v>
      </c>
      <c r="D16" s="99">
        <f t="shared" si="0"/>
        <v>0</v>
      </c>
      <c r="E16" s="94">
        <f>'Fat 1'!E257</f>
        <v>0</v>
      </c>
      <c r="F16" s="95">
        <f>'Fat 2'!E44</f>
        <v>0</v>
      </c>
      <c r="G16" s="96">
        <f>'Fat 3'!E52</f>
        <v>0</v>
      </c>
      <c r="H16" s="95">
        <f>'Fat 4'!E69</f>
        <v>0</v>
      </c>
      <c r="I16" s="95">
        <f>'Fat 5'!E103</f>
        <v>0</v>
      </c>
      <c r="J16" s="97">
        <f t="shared" si="1"/>
        <v>0</v>
      </c>
      <c r="K16" s="100">
        <f t="shared" si="2"/>
        <v>0</v>
      </c>
    </row>
    <row r="17" spans="1:11">
      <c r="A17" s="98" t="s">
        <v>54</v>
      </c>
      <c r="B17" s="94">
        <v>64</v>
      </c>
      <c r="C17" s="53">
        <v>447</v>
      </c>
      <c r="D17" s="99">
        <f t="shared" si="0"/>
        <v>28608</v>
      </c>
      <c r="E17" s="94">
        <f>'Fat 1'!E258</f>
        <v>11</v>
      </c>
      <c r="F17" s="95">
        <f>'Fat 2'!E45</f>
        <v>0</v>
      </c>
      <c r="G17" s="96">
        <f>'Fat 3'!E53</f>
        <v>0</v>
      </c>
      <c r="H17" s="95">
        <f>'Fat 4'!E70</f>
        <v>6</v>
      </c>
      <c r="I17" s="95">
        <f>'Fat 5'!E104</f>
        <v>31</v>
      </c>
      <c r="J17" s="97">
        <f t="shared" si="1"/>
        <v>48</v>
      </c>
      <c r="K17" s="100">
        <f t="shared" si="2"/>
        <v>16</v>
      </c>
    </row>
    <row r="18" spans="1:11">
      <c r="A18" s="98" t="s">
        <v>109</v>
      </c>
      <c r="B18" s="94">
        <v>2</v>
      </c>
      <c r="C18" s="53">
        <v>497</v>
      </c>
      <c r="D18" s="99">
        <f t="shared" si="0"/>
        <v>994</v>
      </c>
      <c r="E18" s="94">
        <f>'Fat 1'!E259</f>
        <v>0</v>
      </c>
      <c r="F18" s="95">
        <f>'Fat 2'!E46</f>
        <v>0</v>
      </c>
      <c r="G18" s="96">
        <f>'Fat 3'!E54</f>
        <v>0</v>
      </c>
      <c r="H18" s="95">
        <f>'Fat 4'!E71</f>
        <v>0</v>
      </c>
      <c r="I18" s="95">
        <f>'Fat 5'!E105</f>
        <v>0</v>
      </c>
      <c r="J18" s="97">
        <f t="shared" si="1"/>
        <v>0</v>
      </c>
      <c r="K18" s="100">
        <f t="shared" si="2"/>
        <v>2</v>
      </c>
    </row>
    <row r="19" spans="1:11">
      <c r="A19" s="98" t="s">
        <v>110</v>
      </c>
      <c r="B19" s="94"/>
      <c r="C19" s="53">
        <v>597</v>
      </c>
      <c r="D19" s="99">
        <f t="shared" si="0"/>
        <v>0</v>
      </c>
      <c r="E19" s="94">
        <f>'Fat 1'!E260</f>
        <v>0</v>
      </c>
      <c r="F19" s="95">
        <f>'Fat 2'!E47</f>
        <v>0</v>
      </c>
      <c r="G19" s="96">
        <f>'Fat 3'!E55</f>
        <v>0</v>
      </c>
      <c r="H19" s="95">
        <f>'Fat 4'!E72</f>
        <v>0</v>
      </c>
      <c r="I19" s="95">
        <f>'Fat 5'!E106</f>
        <v>0</v>
      </c>
      <c r="J19" s="97">
        <f t="shared" si="1"/>
        <v>0</v>
      </c>
      <c r="K19" s="100">
        <f t="shared" si="2"/>
        <v>0</v>
      </c>
    </row>
    <row r="20" spans="1:11">
      <c r="A20" s="98" t="s">
        <v>111</v>
      </c>
      <c r="B20" s="94"/>
      <c r="C20" s="53">
        <v>395</v>
      </c>
      <c r="D20" s="99">
        <f t="shared" si="0"/>
        <v>0</v>
      </c>
      <c r="E20" s="94">
        <f>'Fat 1'!E261</f>
        <v>0</v>
      </c>
      <c r="F20" s="95">
        <f>'Fat 2'!E48</f>
        <v>0</v>
      </c>
      <c r="G20" s="96">
        <f>'Fat 3'!E56</f>
        <v>0</v>
      </c>
      <c r="H20" s="95">
        <f>'Fat 4'!E73</f>
        <v>0</v>
      </c>
      <c r="I20" s="95">
        <f>'Fat 5'!E107</f>
        <v>0</v>
      </c>
      <c r="J20" s="97">
        <f t="shared" si="1"/>
        <v>0</v>
      </c>
      <c r="K20" s="100">
        <f t="shared" si="2"/>
        <v>0</v>
      </c>
    </row>
    <row r="21" spans="1:11">
      <c r="A21" s="98" t="s">
        <v>112</v>
      </c>
      <c r="B21" s="94"/>
      <c r="C21" s="53">
        <v>442.75</v>
      </c>
      <c r="D21" s="99">
        <f t="shared" si="0"/>
        <v>0</v>
      </c>
      <c r="E21" s="94">
        <f>'Fat 1'!E262</f>
        <v>0</v>
      </c>
      <c r="F21" s="95">
        <f>'Fat 2'!E49</f>
        <v>0</v>
      </c>
      <c r="G21" s="96">
        <f>'Fat 3'!E57</f>
        <v>0</v>
      </c>
      <c r="H21" s="95">
        <f>'Fat 4'!E74</f>
        <v>0</v>
      </c>
      <c r="I21" s="95">
        <f>'Fat 5'!E108</f>
        <v>0</v>
      </c>
      <c r="J21" s="97">
        <f t="shared" si="1"/>
        <v>0</v>
      </c>
      <c r="K21" s="100">
        <f t="shared" si="2"/>
        <v>0</v>
      </c>
    </row>
    <row r="22" spans="1:11">
      <c r="A22" s="98" t="s">
        <v>113</v>
      </c>
      <c r="B22" s="94"/>
      <c r="C22" s="53">
        <v>430</v>
      </c>
      <c r="D22" s="99">
        <f t="shared" si="0"/>
        <v>0</v>
      </c>
      <c r="E22" s="94">
        <f>'Fat 1'!E263</f>
        <v>0</v>
      </c>
      <c r="F22" s="95">
        <f>'Fat 2'!E50</f>
        <v>0</v>
      </c>
      <c r="G22" s="96">
        <f>'Fat 3'!E58</f>
        <v>0</v>
      </c>
      <c r="H22" s="95">
        <f>'Fat 4'!E75</f>
        <v>0</v>
      </c>
      <c r="I22" s="95">
        <f>'Fat 5'!E109</f>
        <v>0</v>
      </c>
      <c r="J22" s="97">
        <f t="shared" si="1"/>
        <v>0</v>
      </c>
      <c r="K22" s="100">
        <f t="shared" si="2"/>
        <v>0</v>
      </c>
    </row>
    <row r="23" spans="1:11">
      <c r="A23" s="98" t="s">
        <v>114</v>
      </c>
      <c r="B23" s="94"/>
      <c r="C23" s="53">
        <v>478</v>
      </c>
      <c r="D23" s="99">
        <f t="shared" si="0"/>
        <v>0</v>
      </c>
      <c r="E23" s="94">
        <f>'Fat 1'!E264</f>
        <v>0</v>
      </c>
      <c r="F23" s="95">
        <f>'Fat 2'!E51</f>
        <v>0</v>
      </c>
      <c r="G23" s="96">
        <f>'Fat 3'!E59</f>
        <v>0</v>
      </c>
      <c r="H23" s="95">
        <f>'Fat 4'!E76</f>
        <v>0</v>
      </c>
      <c r="I23" s="95">
        <f>'Fat 5'!E110</f>
        <v>0</v>
      </c>
      <c r="J23" s="97">
        <f t="shared" si="1"/>
        <v>0</v>
      </c>
      <c r="K23" s="100">
        <f t="shared" si="2"/>
        <v>0</v>
      </c>
    </row>
    <row r="24" spans="1:11">
      <c r="A24" s="98" t="s">
        <v>115</v>
      </c>
      <c r="B24" s="94"/>
      <c r="C24" s="53">
        <v>577</v>
      </c>
      <c r="D24" s="99">
        <f t="shared" si="0"/>
        <v>0</v>
      </c>
      <c r="E24" s="94">
        <f>'Fat 1'!E265</f>
        <v>0</v>
      </c>
      <c r="F24" s="95">
        <f>'Fat 2'!E52</f>
        <v>0</v>
      </c>
      <c r="G24" s="96">
        <f>'Fat 3'!E60</f>
        <v>0</v>
      </c>
      <c r="H24" s="95">
        <f>'Fat 4'!E77</f>
        <v>0</v>
      </c>
      <c r="I24" s="95">
        <f>'Fat 5'!E111</f>
        <v>0</v>
      </c>
      <c r="J24" s="97">
        <f t="shared" si="1"/>
        <v>0</v>
      </c>
      <c r="K24" s="100">
        <f t="shared" si="2"/>
        <v>0</v>
      </c>
    </row>
    <row r="25" spans="1:11">
      <c r="A25" s="98" t="s">
        <v>116</v>
      </c>
      <c r="B25" s="94"/>
      <c r="C25" s="53">
        <v>645</v>
      </c>
      <c r="D25" s="99">
        <f t="shared" si="0"/>
        <v>0</v>
      </c>
      <c r="E25" s="94">
        <f>'Fat 1'!E266</f>
        <v>0</v>
      </c>
      <c r="F25" s="95">
        <f>'Fat 2'!E53</f>
        <v>0</v>
      </c>
      <c r="G25" s="96">
        <f>'Fat 3'!E61</f>
        <v>0</v>
      </c>
      <c r="H25" s="95">
        <f>'Fat 4'!E78</f>
        <v>0</v>
      </c>
      <c r="I25" s="95">
        <f>'Fat 5'!E112</f>
        <v>0</v>
      </c>
      <c r="J25" s="97">
        <f t="shared" si="1"/>
        <v>0</v>
      </c>
      <c r="K25" s="100">
        <f t="shared" si="2"/>
        <v>0</v>
      </c>
    </row>
    <row r="26" spans="1:11">
      <c r="A26" s="98" t="s">
        <v>117</v>
      </c>
      <c r="B26" s="94"/>
      <c r="C26" s="53">
        <v>147</v>
      </c>
      <c r="D26" s="99">
        <f t="shared" si="0"/>
        <v>0</v>
      </c>
      <c r="E26" s="94">
        <f>'Fat 1'!E267</f>
        <v>0</v>
      </c>
      <c r="F26" s="95">
        <f>'Fat 2'!E54</f>
        <v>0</v>
      </c>
      <c r="G26" s="96">
        <f>'Fat 3'!E62</f>
        <v>0</v>
      </c>
      <c r="H26" s="95">
        <f>'Fat 4'!E79</f>
        <v>0</v>
      </c>
      <c r="I26" s="95">
        <f>'Fat 5'!E113</f>
        <v>0</v>
      </c>
      <c r="J26" s="97">
        <f t="shared" si="1"/>
        <v>0</v>
      </c>
      <c r="K26" s="100">
        <f t="shared" si="2"/>
        <v>0</v>
      </c>
    </row>
    <row r="27" spans="1:11" ht="15.75" thickBot="1">
      <c r="A27" s="101" t="s">
        <v>118</v>
      </c>
      <c r="B27" s="94"/>
      <c r="C27" s="102">
        <v>100</v>
      </c>
      <c r="D27" s="103">
        <f t="shared" si="0"/>
        <v>0</v>
      </c>
      <c r="E27" s="94">
        <f>'Fat 1'!E268</f>
        <v>0</v>
      </c>
      <c r="F27" s="95">
        <f>'Fat 2'!E55</f>
        <v>0</v>
      </c>
      <c r="G27" s="96">
        <f>'Fat 3'!E63</f>
        <v>0</v>
      </c>
      <c r="H27" s="95">
        <f>'Fat 4'!E80</f>
        <v>0</v>
      </c>
      <c r="I27" s="95">
        <f>'Fat 5'!E114</f>
        <v>0</v>
      </c>
      <c r="J27" s="97">
        <f t="shared" si="1"/>
        <v>0</v>
      </c>
      <c r="K27" s="104">
        <f t="shared" si="2"/>
        <v>0</v>
      </c>
    </row>
    <row r="28" spans="1:11" ht="15.75" thickBot="1">
      <c r="A28" s="105" t="s">
        <v>119</v>
      </c>
      <c r="B28" s="106">
        <f>SUM(B5:B27)</f>
        <v>426</v>
      </c>
      <c r="C28" s="107"/>
      <c r="D28" s="108">
        <f t="shared" ref="D28:K28" si="3">SUM(D5:D27)</f>
        <v>107242</v>
      </c>
      <c r="E28" s="109">
        <f t="shared" si="3"/>
        <v>154</v>
      </c>
      <c r="F28" s="109">
        <f t="shared" si="3"/>
        <v>4</v>
      </c>
      <c r="G28" s="109">
        <f t="shared" si="3"/>
        <v>5</v>
      </c>
      <c r="H28" s="109">
        <f t="shared" si="3"/>
        <v>18</v>
      </c>
      <c r="I28" s="109">
        <f t="shared" si="3"/>
        <v>48</v>
      </c>
      <c r="J28" s="110">
        <f t="shared" si="3"/>
        <v>229</v>
      </c>
      <c r="K28" s="111">
        <f t="shared" si="3"/>
        <v>197</v>
      </c>
    </row>
    <row r="29" spans="1:11" ht="15.75" thickBot="1"/>
    <row r="30" spans="1:11" ht="15.75" thickBot="1">
      <c r="D30" s="112"/>
      <c r="J30" s="111" t="s">
        <v>119</v>
      </c>
      <c r="K30" s="113">
        <f>'Fat 1'!I233+'Fat 2'!I22+'Fat 3'!I29+'Fat 4'!I42+'Fat 5'!I78</f>
        <v>57740.200000000004</v>
      </c>
    </row>
    <row r="32" spans="1:11">
      <c r="D32" s="114"/>
    </row>
    <row r="35" spans="4:4">
      <c r="D35" s="115"/>
    </row>
  </sheetData>
  <mergeCells count="5">
    <mergeCell ref="A2:K2"/>
    <mergeCell ref="A3:D3"/>
    <mergeCell ref="E3:I3"/>
    <mergeCell ref="J3:J4"/>
    <mergeCell ref="K3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13</vt:i4>
      </vt:variant>
    </vt:vector>
  </HeadingPairs>
  <TitlesOfParts>
    <vt:vector size="20" baseType="lpstr">
      <vt:lpstr>Fat 1</vt:lpstr>
      <vt:lpstr>Fat 2</vt:lpstr>
      <vt:lpstr>Fat 3</vt:lpstr>
      <vt:lpstr>Fat 4</vt:lpstr>
      <vt:lpstr>Fat 5</vt:lpstr>
      <vt:lpstr>SEMPRE Dem </vt:lpstr>
      <vt:lpstr>Consolidado</vt:lpstr>
      <vt:lpstr>Consolidado!Area_de_impressao</vt:lpstr>
      <vt:lpstr>'Fat 1'!Area_de_impressao</vt:lpstr>
      <vt:lpstr>'Fat 2'!Area_de_impressao</vt:lpstr>
      <vt:lpstr>'Fat 3'!Area_de_impressao</vt:lpstr>
      <vt:lpstr>'Fat 4'!Area_de_impressao</vt:lpstr>
      <vt:lpstr>'Fat 5'!Area_de_impressao</vt:lpstr>
      <vt:lpstr>'SEMPRE Dem '!Area_de_impressao</vt:lpstr>
      <vt:lpstr>'Fat 1'!Titulos_de_impressao</vt:lpstr>
      <vt:lpstr>'Fat 2'!Titulos_de_impressao</vt:lpstr>
      <vt:lpstr>'Fat 3'!Titulos_de_impressao</vt:lpstr>
      <vt:lpstr>'Fat 4'!Titulos_de_impressao</vt:lpstr>
      <vt:lpstr>'Fat 5'!Titulos_de_impressao</vt:lpstr>
      <vt:lpstr>'SEMPRE Dem 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Ariele</dc:creator>
  <cp:lastModifiedBy>Thais</cp:lastModifiedBy>
  <cp:lastPrinted>2024-12-13T19:39:53Z</cp:lastPrinted>
  <dcterms:created xsi:type="dcterms:W3CDTF">2024-10-22T19:57:03Z</dcterms:created>
  <dcterms:modified xsi:type="dcterms:W3CDTF">2025-01-31T18:58:07Z</dcterms:modified>
</cp:coreProperties>
</file>