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Y:\SEMGE MEDIÇÕES\ANO 2025\JANEIRO.25\"/>
    </mc:Choice>
  </mc:AlternateContent>
  <xr:revisionPtr revIDLastSave="0" documentId="13_ncr:1_{E5730B1E-4E41-415C-9D89-B7DA3F685C59}" xr6:coauthVersionLast="47" xr6:coauthVersionMax="47" xr10:uidLastSave="{00000000-0000-0000-0000-000000000000}"/>
  <bookViews>
    <workbookView xWindow="-120" yWindow="-120" windowWidth="20730" windowHeight="11040" tabRatio="900" firstSheet="35" activeTab="43" xr2:uid="{00000000-000D-0000-FFFF-FFFF00000000}"/>
  </bookViews>
  <sheets>
    <sheet name="Modelo Med" sheetId="5" r:id="rId1"/>
    <sheet name="ARSAL Med" sheetId="48" r:id="rId2"/>
    <sheet name="ARSAL Dem " sheetId="49" r:id="rId3"/>
    <sheet name="CGM Med" sheetId="21" r:id="rId4"/>
    <sheet name="CGM Dem" sheetId="22" r:id="rId5"/>
    <sheet name="FCM Med" sheetId="54" r:id="rId6"/>
    <sheet name="FCM Dem" sheetId="55" r:id="rId7"/>
    <sheet name="FGM Med" sheetId="50" r:id="rId8"/>
    <sheet name="FGM Dem " sheetId="51" r:id="rId9"/>
    <sheet name="FMLF Med" sheetId="46" r:id="rId10"/>
    <sheet name="FMLF Dem " sheetId="47" r:id="rId11"/>
    <sheet name="GCM Med" sheetId="60" r:id="rId12"/>
    <sheet name="GCM Dem" sheetId="61" r:id="rId13"/>
    <sheet name="PGMS Med" sheetId="62" r:id="rId14"/>
    <sheet name="PGMS Dem" sheetId="63" r:id="rId15"/>
    <sheet name="SECOM Med" sheetId="64" r:id="rId16"/>
    <sheet name="SECOM Dem" sheetId="65" r:id="rId17"/>
    <sheet name="SECULT Med" sheetId="53" r:id="rId18"/>
    <sheet name="SECULT Dem" sheetId="9" r:id="rId19"/>
    <sheet name="SEDUR Med" sheetId="66" r:id="rId20"/>
    <sheet name="SEDUR Dem" sheetId="67" r:id="rId21"/>
    <sheet name="SEFAZ Med" sheetId="29" r:id="rId22"/>
    <sheet name="SEFAZ Dem" sheetId="32" r:id="rId23"/>
    <sheet name="SEGOV Med" sheetId="25" r:id="rId24"/>
    <sheet name="SEGOV Dem" sheetId="26" r:id="rId25"/>
    <sheet name=" SEINFRA Med" sheetId="42" r:id="rId26"/>
    <sheet name="SEINFRA Dem " sheetId="43" r:id="rId27"/>
    <sheet name="SEMAN Med" sheetId="70" r:id="rId28"/>
    <sheet name="SEMAN Dem" sheetId="71" r:id="rId29"/>
    <sheet name="SEMDEC Med" sheetId="23" r:id="rId30"/>
    <sheet name="SEMDEC Dem" sheetId="24" r:id="rId31"/>
    <sheet name="SEMGE Med" sheetId="37" r:id="rId32"/>
    <sheet name="SEMGE Dem " sheetId="38" r:id="rId33"/>
    <sheet name="SEMOB Med" sheetId="17" r:id="rId34"/>
    <sheet name="SEMOB Dem" sheetId="18" r:id="rId35"/>
    <sheet name="SEMOP Med" sheetId="72" r:id="rId36"/>
    <sheet name="SEMOP Dem " sheetId="73" r:id="rId37"/>
    <sheet name="SEMUR Med" sheetId="33" r:id="rId38"/>
    <sheet name="SEMUR Dem" sheetId="34" r:id="rId39"/>
    <sheet name="SPMJ Med" sheetId="44" r:id="rId40"/>
    <sheet name="SPMJ Dem " sheetId="45" r:id="rId41"/>
    <sheet name="TRANSALVADOR Med" sheetId="7" r:id="rId42"/>
    <sheet name="TRANSALVADOR Dem" sheetId="10" r:id="rId43"/>
    <sheet name="Consolidado" sheetId="3" r:id="rId44"/>
    <sheet name="Plan2" sheetId="74" r:id="rId45"/>
    <sheet name="Plan3" sheetId="75" r:id="rId46"/>
  </sheets>
  <externalReferences>
    <externalReference r:id="rId47"/>
    <externalReference r:id="rId48"/>
    <externalReference r:id="rId49"/>
  </externalReferences>
  <definedNames>
    <definedName name="_xlnm._FilterDatabase" localSheetId="25" hidden="1">' SEINFRA Med'!$A$59:$K$87</definedName>
    <definedName name="_xlnm._FilterDatabase" localSheetId="11" hidden="1">'GCM Med'!$A$19:$K$43</definedName>
    <definedName name="_xlnm._FilterDatabase" localSheetId="13" hidden="1">'PGMS Med'!$A$15:$K$89</definedName>
    <definedName name="_xlnm.Print_Area" localSheetId="25">' SEINFRA Med'!$A$1:$I$97</definedName>
    <definedName name="_xlnm.Print_Area" localSheetId="2">'ARSAL Dem '!$A$1:$F$29</definedName>
    <definedName name="_xlnm.Print_Area" localSheetId="1">'ARSAL Med'!$A$1:$I$35</definedName>
    <definedName name="_xlnm.Print_Area" localSheetId="4">'CGM Dem'!$A$1:$F$32</definedName>
    <definedName name="_xlnm.Print_Area" localSheetId="3">'CGM Med'!$A$1:$I$84</definedName>
    <definedName name="_xlnm.Print_Area" localSheetId="43">Consolidado!$A$1:$AD$28</definedName>
    <definedName name="_xlnm.Print_Area" localSheetId="6">'FCM Dem'!$A$1:$F$27</definedName>
    <definedName name="_xlnm.Print_Area" localSheetId="5">'FCM Med'!$A$1:$I$66</definedName>
    <definedName name="_xlnm.Print_Area" localSheetId="8">'FGM Dem '!$A$1:$F$26</definedName>
    <definedName name="_xlnm.Print_Area" localSheetId="7">'FGM Med'!$A$1:$I$46</definedName>
    <definedName name="_xlnm.Print_Area" localSheetId="10">'FMLF Dem '!$A$1:$F$23</definedName>
    <definedName name="_xlnm.Print_Area" localSheetId="9">'FMLF Med'!$A$1:$I$65</definedName>
    <definedName name="_xlnm.Print_Area" localSheetId="12">'GCM Dem'!$A$1:$F$25</definedName>
    <definedName name="_xlnm.Print_Area" localSheetId="11">'GCM Med'!$A$1:$I$53</definedName>
    <definedName name="_xlnm.Print_Area" localSheetId="0">'Modelo Med'!$A$1:$I$44</definedName>
    <definedName name="_xlnm.Print_Area" localSheetId="14">'PGMS Dem'!$A$1:$F$23</definedName>
    <definedName name="_xlnm.Print_Area" localSheetId="13">'PGMS Med'!$A$1:$I$109</definedName>
    <definedName name="_xlnm.Print_Area" localSheetId="16">'SECOM Dem'!$A$1:$F$24</definedName>
    <definedName name="_xlnm.Print_Area" localSheetId="15">'SECOM Med'!$A$1:$I$36</definedName>
    <definedName name="_xlnm.Print_Area" localSheetId="18">'SECULT Dem'!$A$1:$F$29</definedName>
    <definedName name="_xlnm.Print_Area" localSheetId="17">'SECULT Med'!$A$1:$I$40</definedName>
    <definedName name="_xlnm.Print_Area" localSheetId="20">'SEDUR Dem'!$A$1:$F$23</definedName>
    <definedName name="_xlnm.Print_Area" localSheetId="19">'SEDUR Med'!$A$1:$I$116</definedName>
    <definedName name="_xlnm.Print_Area" localSheetId="22">'SEFAZ Dem'!$A$1:$F$41</definedName>
    <definedName name="_xlnm.Print_Area" localSheetId="21">'SEFAZ Med'!$A$1:$I$46</definedName>
    <definedName name="_xlnm.Print_Area" localSheetId="24">'SEGOV Dem'!$A$1:$F$30</definedName>
    <definedName name="_xlnm.Print_Area" localSheetId="23">'SEGOV Med'!$A$1:$I$197</definedName>
    <definedName name="_xlnm.Print_Area" localSheetId="26">'SEINFRA Dem '!$A$1:$F$23</definedName>
    <definedName name="_xlnm.Print_Area" localSheetId="28">'SEMAN Dem'!$A$1:$F$29</definedName>
    <definedName name="_xlnm.Print_Area" localSheetId="27">'SEMAN Med'!$A$1:$I$59</definedName>
    <definedName name="_xlnm.Print_Area" localSheetId="30">'SEMDEC Dem'!$A$1:$F$25</definedName>
    <definedName name="_xlnm.Print_Area" localSheetId="29">'SEMDEC Med'!$A$1:$I$49</definedName>
    <definedName name="_xlnm.Print_Area" localSheetId="32">'SEMGE Dem '!$A$1:$F$28</definedName>
    <definedName name="_xlnm.Print_Area" localSheetId="31">'SEMGE Med'!$A$1:$I$36</definedName>
    <definedName name="_xlnm.Print_Area" localSheetId="34">'SEMOB Dem'!$A$1:$F$23</definedName>
    <definedName name="_xlnm.Print_Area" localSheetId="33">'SEMOB Med'!$A$1:$I$123</definedName>
    <definedName name="_xlnm.Print_Area" localSheetId="36">'SEMOP Dem '!$A$1:$F$23</definedName>
    <definedName name="_xlnm.Print_Area" localSheetId="35">'SEMOP Med'!$A$1:$I$94</definedName>
    <definedName name="_xlnm.Print_Area" localSheetId="38">'SEMUR Dem'!$A$1:$F$22</definedName>
    <definedName name="_xlnm.Print_Area" localSheetId="37">'SEMUR Med'!$A$1:$I$53</definedName>
    <definedName name="_xlnm.Print_Area" localSheetId="40">'SPMJ Dem '!$A$1:$F$21</definedName>
    <definedName name="_xlnm.Print_Area" localSheetId="39">'SPMJ Med'!$A$1:$I$146</definedName>
    <definedName name="_xlnm.Print_Area" localSheetId="42">'TRANSALVADOR Dem'!$A$1:$F$22</definedName>
    <definedName name="_xlnm.Print_Area" localSheetId="41">'TRANSALVADOR Med'!$A$1:$I$79</definedName>
    <definedName name="_xlnm.Print_Titles" localSheetId="25">' SEINFRA Med'!$1:$13</definedName>
    <definedName name="_xlnm.Print_Titles" localSheetId="2">'ARSAL Dem '!$1:$11</definedName>
    <definedName name="_xlnm.Print_Titles" localSheetId="1">'ARSAL Med'!$1:$13</definedName>
    <definedName name="_xlnm.Print_Titles" localSheetId="4">'CGM Dem'!$1:$11</definedName>
    <definedName name="_xlnm.Print_Titles" localSheetId="3">'CGM Med'!$1:$13</definedName>
    <definedName name="_xlnm.Print_Titles" localSheetId="6">'FCM Dem'!$1:$11</definedName>
    <definedName name="_xlnm.Print_Titles" localSheetId="5">'FCM Med'!$1:$13</definedName>
    <definedName name="_xlnm.Print_Titles" localSheetId="8">'FGM Dem '!$1:$11</definedName>
    <definedName name="_xlnm.Print_Titles" localSheetId="7">'FGM Med'!$1:$13</definedName>
    <definedName name="_xlnm.Print_Titles" localSheetId="10">'FMLF Dem '!$1:$11</definedName>
    <definedName name="_xlnm.Print_Titles" localSheetId="9">'FMLF Med'!$1:$13</definedName>
    <definedName name="_xlnm.Print_Titles" localSheetId="12">'GCM Dem'!$1:$11</definedName>
    <definedName name="_xlnm.Print_Titles" localSheetId="11">'GCM Med'!$1:$13</definedName>
    <definedName name="_xlnm.Print_Titles" localSheetId="0">'Modelo Med'!$1:$13</definedName>
    <definedName name="_xlnm.Print_Titles" localSheetId="14">'PGMS Dem'!$1:$11</definedName>
    <definedName name="_xlnm.Print_Titles" localSheetId="13">'PGMS Med'!$1:$13</definedName>
    <definedName name="_xlnm.Print_Titles" localSheetId="16">'SECOM Dem'!$1:$11</definedName>
    <definedName name="_xlnm.Print_Titles" localSheetId="15">'SECOM Med'!$1:$13</definedName>
    <definedName name="_xlnm.Print_Titles" localSheetId="18">'SECULT Dem'!$1:$11</definedName>
    <definedName name="_xlnm.Print_Titles" localSheetId="17">'SECULT Med'!$1:$13</definedName>
    <definedName name="_xlnm.Print_Titles" localSheetId="20">'SEDUR Dem'!$1:$11</definedName>
    <definedName name="_xlnm.Print_Titles" localSheetId="19">'SEDUR Med'!$1:$13</definedName>
    <definedName name="_xlnm.Print_Titles" localSheetId="22">'SEFAZ Dem'!$1:$11</definedName>
    <definedName name="_xlnm.Print_Titles" localSheetId="21">'SEFAZ Med'!$1:$13</definedName>
    <definedName name="_xlnm.Print_Titles" localSheetId="24">'SEGOV Dem'!$1:$11</definedName>
    <definedName name="_xlnm.Print_Titles" localSheetId="23">'SEGOV Med'!$1:$13</definedName>
    <definedName name="_xlnm.Print_Titles" localSheetId="26">'SEINFRA Dem '!$1:$11</definedName>
    <definedName name="_xlnm.Print_Titles" localSheetId="28">'SEMAN Dem'!$1:$11</definedName>
    <definedName name="_xlnm.Print_Titles" localSheetId="27">'SEMAN Med'!$1:$13</definedName>
    <definedName name="_xlnm.Print_Titles" localSheetId="30">'SEMDEC Dem'!$1:$11</definedName>
    <definedName name="_xlnm.Print_Titles" localSheetId="29">'SEMDEC Med'!$1:$13</definedName>
    <definedName name="_xlnm.Print_Titles" localSheetId="32">'SEMGE Dem '!$1:$11</definedName>
    <definedName name="_xlnm.Print_Titles" localSheetId="31">'SEMGE Med'!$1:$13</definedName>
    <definedName name="_xlnm.Print_Titles" localSheetId="34">'SEMOB Dem'!$1:$11</definedName>
    <definedName name="_xlnm.Print_Titles" localSheetId="33">'SEMOB Med'!$1:$13</definedName>
    <definedName name="_xlnm.Print_Titles" localSheetId="36">'SEMOP Dem '!$1:$11</definedName>
    <definedName name="_xlnm.Print_Titles" localSheetId="35">'SEMOP Med'!$1:$13</definedName>
    <definedName name="_xlnm.Print_Titles" localSheetId="38">'SEMUR Dem'!$1:$11</definedName>
    <definedName name="_xlnm.Print_Titles" localSheetId="37">'SEMUR Med'!$1:$13</definedName>
    <definedName name="_xlnm.Print_Titles" localSheetId="40">'SPMJ Dem '!$1:$11</definedName>
    <definedName name="_xlnm.Print_Titles" localSheetId="39">'SPMJ Med'!$1:$13</definedName>
    <definedName name="_xlnm.Print_Titles" localSheetId="42">'TRANSALVADOR Dem'!$1:$11</definedName>
    <definedName name="_xlnm.Print_Titles" localSheetId="41">'TRANSALVADOR Med'!$1:$13</definedName>
  </definedNames>
  <calcPr calcId="191029" calcMode="manual"/>
</workbook>
</file>

<file path=xl/calcChain.xml><?xml version="1.0" encoding="utf-8"?>
<calcChain xmlns="http://schemas.openxmlformats.org/spreadsheetml/2006/main">
  <c r="AD32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5" i="3"/>
  <c r="Y5" i="3"/>
  <c r="Y6" i="3"/>
  <c r="Y7" i="3"/>
  <c r="Y8" i="3"/>
  <c r="Y12" i="3"/>
  <c r="Y13" i="3"/>
  <c r="Y15" i="3"/>
  <c r="Y16" i="3"/>
  <c r="Y18" i="3"/>
  <c r="Y19" i="3"/>
  <c r="Y20" i="3"/>
  <c r="Y21" i="3"/>
  <c r="Y22" i="3"/>
  <c r="Y23" i="3"/>
  <c r="Y24" i="3"/>
  <c r="Y25" i="3"/>
  <c r="Y26" i="3"/>
  <c r="Y27" i="3"/>
  <c r="F12" i="73"/>
  <c r="F14" i="73"/>
  <c r="C15" i="73"/>
  <c r="E122" i="72"/>
  <c r="F122" i="72" s="1"/>
  <c r="D122" i="72"/>
  <c r="E121" i="72"/>
  <c r="F121" i="72" s="1"/>
  <c r="D121" i="72"/>
  <c r="E120" i="72"/>
  <c r="F120" i="72" s="1"/>
  <c r="D120" i="72"/>
  <c r="E119" i="72"/>
  <c r="F119" i="72" s="1"/>
  <c r="D119" i="72"/>
  <c r="E118" i="72"/>
  <c r="F118" i="72" s="1"/>
  <c r="D118" i="72"/>
  <c r="F117" i="72"/>
  <c r="E117" i="72"/>
  <c r="D117" i="72"/>
  <c r="F116" i="72"/>
  <c r="E116" i="72"/>
  <c r="D116" i="72"/>
  <c r="E115" i="72"/>
  <c r="F115" i="72" s="1"/>
  <c r="D115" i="72"/>
  <c r="E114" i="72"/>
  <c r="F114" i="72" s="1"/>
  <c r="D114" i="72"/>
  <c r="E113" i="72"/>
  <c r="F113" i="72" s="1"/>
  <c r="D113" i="72"/>
  <c r="E112" i="72"/>
  <c r="F112" i="72" s="1"/>
  <c r="D112" i="72"/>
  <c r="E111" i="72"/>
  <c r="F111" i="72" s="1"/>
  <c r="D111" i="72"/>
  <c r="E110" i="72"/>
  <c r="F110" i="72" s="1"/>
  <c r="D110" i="72"/>
  <c r="E109" i="72"/>
  <c r="B109" i="72"/>
  <c r="D109" i="72" s="1"/>
  <c r="E108" i="72"/>
  <c r="B108" i="72"/>
  <c r="F108" i="72" s="1"/>
  <c r="E107" i="72"/>
  <c r="F107" i="72" s="1"/>
  <c r="D107" i="72"/>
  <c r="E106" i="72"/>
  <c r="F106" i="72" s="1"/>
  <c r="D106" i="72"/>
  <c r="E105" i="72"/>
  <c r="F105" i="72" s="1"/>
  <c r="D105" i="72"/>
  <c r="E104" i="72"/>
  <c r="F104" i="72" s="1"/>
  <c r="D104" i="72"/>
  <c r="E103" i="72"/>
  <c r="F103" i="72" s="1"/>
  <c r="D103" i="72"/>
  <c r="E102" i="72"/>
  <c r="F102" i="72" s="1"/>
  <c r="D102" i="72"/>
  <c r="E101" i="72"/>
  <c r="F101" i="72" s="1"/>
  <c r="D101" i="72"/>
  <c r="F100" i="72"/>
  <c r="E100" i="72"/>
  <c r="H84" i="72"/>
  <c r="H86" i="72" s="1"/>
  <c r="F82" i="72"/>
  <c r="I82" i="72" s="1"/>
  <c r="F81" i="72"/>
  <c r="I81" i="72" s="1"/>
  <c r="F80" i="72"/>
  <c r="I80" i="72" s="1"/>
  <c r="F79" i="72"/>
  <c r="I79" i="72" s="1"/>
  <c r="F78" i="72"/>
  <c r="I78" i="72" s="1"/>
  <c r="I77" i="72"/>
  <c r="F77" i="72"/>
  <c r="I76" i="72"/>
  <c r="F76" i="72"/>
  <c r="F75" i="72"/>
  <c r="I75" i="72" s="1"/>
  <c r="F74" i="72"/>
  <c r="I74" i="72" s="1"/>
  <c r="F73" i="72"/>
  <c r="I73" i="72" s="1"/>
  <c r="F72" i="72"/>
  <c r="I72" i="72" s="1"/>
  <c r="I71" i="72"/>
  <c r="F71" i="72"/>
  <c r="I70" i="72"/>
  <c r="F70" i="72"/>
  <c r="F69" i="72"/>
  <c r="I69" i="72" s="1"/>
  <c r="F68" i="72"/>
  <c r="I68" i="72" s="1"/>
  <c r="F67" i="72"/>
  <c r="I67" i="72" s="1"/>
  <c r="F66" i="72"/>
  <c r="I66" i="72" s="1"/>
  <c r="F65" i="72"/>
  <c r="I65" i="72" s="1"/>
  <c r="I64" i="72"/>
  <c r="F64" i="72"/>
  <c r="I63" i="72"/>
  <c r="F63" i="72"/>
  <c r="F62" i="72"/>
  <c r="I62" i="72" s="1"/>
  <c r="F61" i="72"/>
  <c r="I61" i="72" s="1"/>
  <c r="F60" i="72"/>
  <c r="I60" i="72" s="1"/>
  <c r="F59" i="72"/>
  <c r="I59" i="72" s="1"/>
  <c r="F58" i="72"/>
  <c r="I58" i="72" s="1"/>
  <c r="I57" i="72"/>
  <c r="F57" i="72"/>
  <c r="F56" i="72"/>
  <c r="I56" i="72" s="1"/>
  <c r="F55" i="72"/>
  <c r="I55" i="72" s="1"/>
  <c r="F54" i="72"/>
  <c r="I54" i="72" s="1"/>
  <c r="F53" i="72"/>
  <c r="I53" i="72" s="1"/>
  <c r="F52" i="72"/>
  <c r="I52" i="72" s="1"/>
  <c r="F51" i="72"/>
  <c r="I51" i="72" s="1"/>
  <c r="F50" i="72"/>
  <c r="I50" i="72" s="1"/>
  <c r="F49" i="72"/>
  <c r="I49" i="72" s="1"/>
  <c r="F48" i="72"/>
  <c r="I48" i="72" s="1"/>
  <c r="I47" i="72"/>
  <c r="F47" i="72"/>
  <c r="F46" i="72"/>
  <c r="I46" i="72" s="1"/>
  <c r="F45" i="72"/>
  <c r="I45" i="72" s="1"/>
  <c r="F44" i="72"/>
  <c r="I44" i="72" s="1"/>
  <c r="F43" i="72"/>
  <c r="I43" i="72" s="1"/>
  <c r="F42" i="72"/>
  <c r="I42" i="72" s="1"/>
  <c r="F41" i="72"/>
  <c r="I41" i="72" s="1"/>
  <c r="F40" i="72"/>
  <c r="I40" i="72" s="1"/>
  <c r="F39" i="72"/>
  <c r="I39" i="72" s="1"/>
  <c r="F38" i="72"/>
  <c r="I38" i="72" s="1"/>
  <c r="F37" i="72"/>
  <c r="I37" i="72" s="1"/>
  <c r="F36" i="72"/>
  <c r="I36" i="72" s="1"/>
  <c r="F35" i="72"/>
  <c r="I35" i="72" s="1"/>
  <c r="F34" i="72"/>
  <c r="I34" i="72" s="1"/>
  <c r="F33" i="72"/>
  <c r="I33" i="72" s="1"/>
  <c r="F32" i="72"/>
  <c r="I32" i="72" s="1"/>
  <c r="F31" i="72"/>
  <c r="I31" i="72" s="1"/>
  <c r="F30" i="72"/>
  <c r="I30" i="72" s="1"/>
  <c r="I29" i="72"/>
  <c r="F29" i="72"/>
  <c r="F28" i="72"/>
  <c r="I28" i="72" s="1"/>
  <c r="F27" i="72"/>
  <c r="I27" i="72" s="1"/>
  <c r="F26" i="72"/>
  <c r="I26" i="72" s="1"/>
  <c r="F25" i="72"/>
  <c r="I25" i="72" s="1"/>
  <c r="I24" i="72"/>
  <c r="F24" i="72"/>
  <c r="F23" i="72"/>
  <c r="I23" i="72" s="1"/>
  <c r="I22" i="72"/>
  <c r="F22" i="72"/>
  <c r="F21" i="72"/>
  <c r="I21" i="72" s="1"/>
  <c r="F20" i="72"/>
  <c r="I20" i="72" s="1"/>
  <c r="F19" i="72"/>
  <c r="I19" i="72" s="1"/>
  <c r="F18" i="72"/>
  <c r="I18" i="72" s="1"/>
  <c r="I17" i="72"/>
  <c r="F17" i="72"/>
  <c r="F16" i="72"/>
  <c r="I16" i="72" s="1"/>
  <c r="F15" i="72"/>
  <c r="I15" i="72" s="1"/>
  <c r="C22" i="26"/>
  <c r="F13" i="26"/>
  <c r="F56" i="25"/>
  <c r="I56" i="25" s="1"/>
  <c r="D108" i="72" l="1"/>
  <c r="D123" i="72" s="1"/>
  <c r="F15" i="73"/>
  <c r="E123" i="72"/>
  <c r="I84" i="72"/>
  <c r="I86" i="72" s="1"/>
  <c r="F109" i="72"/>
  <c r="F123" i="72" s="1"/>
  <c r="B123" i="72"/>
  <c r="F20" i="26"/>
  <c r="F53" i="25"/>
  <c r="I53" i="25" s="1"/>
  <c r="F19" i="26"/>
  <c r="H87" i="25"/>
  <c r="I85" i="25"/>
  <c r="F85" i="25"/>
  <c r="F39" i="25"/>
  <c r="I39" i="25" s="1"/>
  <c r="H125" i="25"/>
  <c r="F18" i="26"/>
  <c r="I122" i="25"/>
  <c r="F123" i="25"/>
  <c r="I123" i="25" s="1"/>
  <c r="F122" i="25"/>
  <c r="F17" i="26"/>
  <c r="H139" i="25"/>
  <c r="F134" i="25"/>
  <c r="I134" i="25" s="1"/>
  <c r="F16" i="26"/>
  <c r="H73" i="25"/>
  <c r="F68" i="25"/>
  <c r="I68" i="25" s="1"/>
  <c r="F69" i="25"/>
  <c r="I69" i="25" s="1"/>
  <c r="F15" i="26"/>
  <c r="I133" i="25"/>
  <c r="F132" i="25"/>
  <c r="I132" i="25" s="1"/>
  <c r="F133" i="25"/>
  <c r="F14" i="26"/>
  <c r="H166" i="25"/>
  <c r="F161" i="25"/>
  <c r="I161" i="25" s="1"/>
  <c r="I102" i="25"/>
  <c r="I103" i="25"/>
  <c r="F101" i="25"/>
  <c r="I101" i="25" s="1"/>
  <c r="F102" i="25"/>
  <c r="F103" i="25"/>
  <c r="F20" i="29"/>
  <c r="I20" i="29" s="1"/>
  <c r="J191" i="25" l="1"/>
  <c r="F30" i="29"/>
  <c r="I30" i="29" s="1"/>
  <c r="F31" i="29"/>
  <c r="I31" i="29" s="1"/>
  <c r="F19" i="29" l="1"/>
  <c r="I19" i="29" s="1"/>
  <c r="F13" i="32"/>
  <c r="F14" i="32"/>
  <c r="F15" i="32"/>
  <c r="F16" i="32"/>
  <c r="F17" i="32"/>
  <c r="H49" i="70" l="1"/>
  <c r="H44" i="70"/>
  <c r="H25" i="70"/>
  <c r="H51" i="70" s="1"/>
  <c r="I39" i="70"/>
  <c r="I40" i="70"/>
  <c r="I41" i="70"/>
  <c r="I42" i="70"/>
  <c r="F40" i="70"/>
  <c r="F41" i="70"/>
  <c r="F42" i="70"/>
  <c r="F39" i="70"/>
  <c r="F38" i="70"/>
  <c r="I38" i="70" s="1"/>
  <c r="F23" i="70"/>
  <c r="I23" i="70" s="1"/>
  <c r="F36" i="70"/>
  <c r="I36" i="70" s="1"/>
  <c r="F37" i="70"/>
  <c r="I37" i="70" s="1"/>
  <c r="F35" i="70"/>
  <c r="I35" i="70" s="1"/>
  <c r="F16" i="29"/>
  <c r="I16" i="29" s="1"/>
  <c r="F17" i="29"/>
  <c r="I17" i="29" s="1"/>
  <c r="F18" i="29"/>
  <c r="I18" i="29" s="1"/>
  <c r="F21" i="29"/>
  <c r="I21" i="29" s="1"/>
  <c r="F22" i="29"/>
  <c r="I22" i="29" s="1"/>
  <c r="F23" i="29"/>
  <c r="I23" i="29" s="1"/>
  <c r="F24" i="29"/>
  <c r="I24" i="29" s="1"/>
  <c r="F25" i="29"/>
  <c r="I25" i="29" s="1"/>
  <c r="F26" i="29"/>
  <c r="I26" i="29" s="1"/>
  <c r="F27" i="29"/>
  <c r="I27" i="29" s="1"/>
  <c r="F28" i="29"/>
  <c r="I28" i="29" s="1"/>
  <c r="F29" i="29"/>
  <c r="I29" i="29" s="1"/>
  <c r="F32" i="29"/>
  <c r="I32" i="29" s="1"/>
  <c r="F33" i="29"/>
  <c r="I33" i="29" s="1"/>
  <c r="F34" i="29"/>
  <c r="I34" i="29" s="1"/>
  <c r="F15" i="29"/>
  <c r="I15" i="29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5" i="3"/>
  <c r="AA28" i="3" l="1"/>
  <c r="H26" i="37" l="1"/>
  <c r="F13" i="63"/>
  <c r="F12" i="63"/>
  <c r="H40" i="7"/>
  <c r="F38" i="7"/>
  <c r="I38" i="7" s="1"/>
  <c r="F37" i="7"/>
  <c r="I37" i="7" s="1"/>
  <c r="H129" i="44"/>
  <c r="H137" i="44"/>
  <c r="F135" i="44"/>
  <c r="I135" i="44" s="1"/>
  <c r="F134" i="44"/>
  <c r="I134" i="44" s="1"/>
  <c r="F133" i="44"/>
  <c r="I133" i="44" s="1"/>
  <c r="F132" i="44"/>
  <c r="I132" i="44" s="1"/>
  <c r="F131" i="44"/>
  <c r="I131" i="44" s="1"/>
  <c r="F41" i="33"/>
  <c r="I41" i="33" s="1"/>
  <c r="F18" i="37"/>
  <c r="I18" i="37" s="1"/>
  <c r="F19" i="37"/>
  <c r="I19" i="37" s="1"/>
  <c r="F20" i="37"/>
  <c r="I20" i="37" s="1"/>
  <c r="F21" i="37"/>
  <c r="I21" i="37" s="1"/>
  <c r="F22" i="37"/>
  <c r="I22" i="37" s="1"/>
  <c r="F23" i="37"/>
  <c r="I23" i="37" s="1"/>
  <c r="F24" i="37"/>
  <c r="I24" i="37" s="1"/>
  <c r="C21" i="71"/>
  <c r="F20" i="71"/>
  <c r="F21" i="71" s="1"/>
  <c r="E87" i="70"/>
  <c r="D87" i="70"/>
  <c r="E86" i="70"/>
  <c r="D86" i="70"/>
  <c r="E85" i="70"/>
  <c r="D85" i="70"/>
  <c r="E84" i="70"/>
  <c r="D84" i="70"/>
  <c r="E83" i="70"/>
  <c r="U23" i="3" s="1"/>
  <c r="D83" i="70"/>
  <c r="E82" i="70"/>
  <c r="D82" i="70"/>
  <c r="E81" i="70"/>
  <c r="D81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U14" i="3" s="1"/>
  <c r="B74" i="70"/>
  <c r="E73" i="70"/>
  <c r="D73" i="70"/>
  <c r="E72" i="70"/>
  <c r="D72" i="70"/>
  <c r="E71" i="70"/>
  <c r="U11" i="3" s="1"/>
  <c r="B71" i="70"/>
  <c r="D71" i="70" s="1"/>
  <c r="E70" i="70"/>
  <c r="U10" i="3" s="1"/>
  <c r="B70" i="70"/>
  <c r="E69" i="70"/>
  <c r="U9" i="3" s="1"/>
  <c r="B69" i="70"/>
  <c r="E68" i="70"/>
  <c r="D68" i="70"/>
  <c r="E67" i="70"/>
  <c r="D67" i="70"/>
  <c r="E66" i="70"/>
  <c r="D66" i="70"/>
  <c r="E65" i="70"/>
  <c r="F47" i="70"/>
  <c r="I47" i="70" s="1"/>
  <c r="F46" i="70"/>
  <c r="I46" i="70" s="1"/>
  <c r="I49" i="70" s="1"/>
  <c r="F34" i="70"/>
  <c r="I34" i="70" s="1"/>
  <c r="F33" i="70"/>
  <c r="I33" i="70" s="1"/>
  <c r="F32" i="70"/>
  <c r="I32" i="70" s="1"/>
  <c r="F31" i="70"/>
  <c r="I31" i="70" s="1"/>
  <c r="I30" i="70"/>
  <c r="F30" i="70"/>
  <c r="F29" i="70"/>
  <c r="I29" i="70" s="1"/>
  <c r="F28" i="70"/>
  <c r="I28" i="70" s="1"/>
  <c r="F27" i="70"/>
  <c r="I27" i="70" s="1"/>
  <c r="I24" i="70"/>
  <c r="F22" i="70"/>
  <c r="I22" i="70" s="1"/>
  <c r="F21" i="70"/>
  <c r="I21" i="70" s="1"/>
  <c r="F20" i="70"/>
  <c r="I20" i="70" s="1"/>
  <c r="F19" i="70"/>
  <c r="I19" i="70" s="1"/>
  <c r="F18" i="70"/>
  <c r="I18" i="70" s="1"/>
  <c r="F17" i="70"/>
  <c r="I17" i="70" s="1"/>
  <c r="F16" i="70"/>
  <c r="I16" i="70" s="1"/>
  <c r="F15" i="70"/>
  <c r="I15" i="70" s="1"/>
  <c r="I44" i="70" l="1"/>
  <c r="I25" i="70"/>
  <c r="I51" i="70" s="1"/>
  <c r="I137" i="44"/>
  <c r="F72" i="70"/>
  <c r="U12" i="3"/>
  <c r="F80" i="70"/>
  <c r="U20" i="3"/>
  <c r="F68" i="70"/>
  <c r="U8" i="3"/>
  <c r="F76" i="70"/>
  <c r="U16" i="3"/>
  <c r="F87" i="70"/>
  <c r="U27" i="3"/>
  <c r="F83" i="70"/>
  <c r="F67" i="70"/>
  <c r="U7" i="3"/>
  <c r="F75" i="70"/>
  <c r="U15" i="3"/>
  <c r="F79" i="70"/>
  <c r="U19" i="3"/>
  <c r="F86" i="70"/>
  <c r="U26" i="3"/>
  <c r="F78" i="70"/>
  <c r="U18" i="3"/>
  <c r="F82" i="70"/>
  <c r="U22" i="3"/>
  <c r="F66" i="70"/>
  <c r="U6" i="3"/>
  <c r="F85" i="70"/>
  <c r="U25" i="3"/>
  <c r="F70" i="70"/>
  <c r="F77" i="70"/>
  <c r="U17" i="3"/>
  <c r="F81" i="70"/>
  <c r="U21" i="3"/>
  <c r="F65" i="70"/>
  <c r="U5" i="3"/>
  <c r="F73" i="70"/>
  <c r="U13" i="3"/>
  <c r="F84" i="70"/>
  <c r="U24" i="3"/>
  <c r="D70" i="70"/>
  <c r="F74" i="70"/>
  <c r="B88" i="70"/>
  <c r="F69" i="70"/>
  <c r="F71" i="70"/>
  <c r="D74" i="70"/>
  <c r="D69" i="70"/>
  <c r="E88" i="70"/>
  <c r="D88" i="70" l="1"/>
  <c r="U28" i="3"/>
  <c r="F88" i="70"/>
  <c r="F15" i="67" l="1"/>
  <c r="F12" i="32"/>
  <c r="F93" i="66"/>
  <c r="I93" i="66" s="1"/>
  <c r="F94" i="66"/>
  <c r="I94" i="66" s="1"/>
  <c r="C15" i="67"/>
  <c r="B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E136" i="66"/>
  <c r="D136" i="66"/>
  <c r="E135" i="66"/>
  <c r="D135" i="66"/>
  <c r="E134" i="66"/>
  <c r="D134" i="66"/>
  <c r="E133" i="66"/>
  <c r="D133" i="66"/>
  <c r="E132" i="66"/>
  <c r="D132" i="66"/>
  <c r="E131" i="66"/>
  <c r="D131" i="66"/>
  <c r="E130" i="66"/>
  <c r="D130" i="66"/>
  <c r="E129" i="66"/>
  <c r="D129" i="66"/>
  <c r="E128" i="66"/>
  <c r="D128" i="66"/>
  <c r="E127" i="66"/>
  <c r="D127" i="66"/>
  <c r="E126" i="66"/>
  <c r="D126" i="66"/>
  <c r="E125" i="66"/>
  <c r="D125" i="66"/>
  <c r="E124" i="66"/>
  <c r="D124" i="66"/>
  <c r="E123" i="66"/>
  <c r="D123" i="66"/>
  <c r="E122" i="66"/>
  <c r="H106" i="66"/>
  <c r="I105" i="66"/>
  <c r="F104" i="66"/>
  <c r="I104" i="66" s="1"/>
  <c r="F103" i="66"/>
  <c r="I103" i="66" s="1"/>
  <c r="F102" i="66"/>
  <c r="I102" i="66" s="1"/>
  <c r="F101" i="66"/>
  <c r="I101" i="66" s="1"/>
  <c r="F100" i="66"/>
  <c r="I100" i="66" s="1"/>
  <c r="F99" i="66"/>
  <c r="I99" i="66" s="1"/>
  <c r="F98" i="66"/>
  <c r="I98" i="66" s="1"/>
  <c r="H96" i="66"/>
  <c r="F92" i="66"/>
  <c r="I92" i="66" s="1"/>
  <c r="F91" i="66"/>
  <c r="I91" i="66" s="1"/>
  <c r="F90" i="66"/>
  <c r="I90" i="66" s="1"/>
  <c r="F89" i="66"/>
  <c r="I89" i="66" s="1"/>
  <c r="F88" i="66"/>
  <c r="I88" i="66" s="1"/>
  <c r="F87" i="66"/>
  <c r="I87" i="66" s="1"/>
  <c r="F86" i="66"/>
  <c r="I86" i="66" s="1"/>
  <c r="F85" i="66"/>
  <c r="I85" i="66" s="1"/>
  <c r="F84" i="66"/>
  <c r="I84" i="66" s="1"/>
  <c r="F83" i="66"/>
  <c r="I83" i="66" s="1"/>
  <c r="F82" i="66"/>
  <c r="I82" i="66" s="1"/>
  <c r="F81" i="66"/>
  <c r="I81" i="66" s="1"/>
  <c r="F80" i="66"/>
  <c r="I80" i="66" s="1"/>
  <c r="F79" i="66"/>
  <c r="I79" i="66" s="1"/>
  <c r="F78" i="66"/>
  <c r="I78" i="66" s="1"/>
  <c r="F77" i="66"/>
  <c r="I77" i="66" s="1"/>
  <c r="F76" i="66"/>
  <c r="I76" i="66" s="1"/>
  <c r="F75" i="66"/>
  <c r="I75" i="66" s="1"/>
  <c r="F74" i="66"/>
  <c r="I74" i="66" s="1"/>
  <c r="F73" i="66"/>
  <c r="I73" i="66" s="1"/>
  <c r="F72" i="66"/>
  <c r="I72" i="66" s="1"/>
  <c r="F71" i="66"/>
  <c r="I71" i="66" s="1"/>
  <c r="F70" i="66"/>
  <c r="I70" i="66" s="1"/>
  <c r="F69" i="66"/>
  <c r="I69" i="66" s="1"/>
  <c r="F68" i="66"/>
  <c r="I68" i="66" s="1"/>
  <c r="F67" i="66"/>
  <c r="I67" i="66" s="1"/>
  <c r="F66" i="66"/>
  <c r="I66" i="66" s="1"/>
  <c r="F65" i="66"/>
  <c r="I65" i="66" s="1"/>
  <c r="F64" i="66"/>
  <c r="I64" i="66" s="1"/>
  <c r="F63" i="66"/>
  <c r="I63" i="66" s="1"/>
  <c r="F62" i="66"/>
  <c r="I62" i="66" s="1"/>
  <c r="F61" i="66"/>
  <c r="I61" i="66" s="1"/>
  <c r="F60" i="66"/>
  <c r="I60" i="66" s="1"/>
  <c r="F59" i="66"/>
  <c r="I59" i="66" s="1"/>
  <c r="F58" i="66"/>
  <c r="I58" i="66" s="1"/>
  <c r="F57" i="66"/>
  <c r="I57" i="66" s="1"/>
  <c r="F56" i="66"/>
  <c r="I56" i="66" s="1"/>
  <c r="F55" i="66"/>
  <c r="I55" i="66" s="1"/>
  <c r="F54" i="66"/>
  <c r="I54" i="66" s="1"/>
  <c r="F53" i="66"/>
  <c r="I53" i="66" s="1"/>
  <c r="F52" i="66"/>
  <c r="I52" i="66" s="1"/>
  <c r="F51" i="66"/>
  <c r="I51" i="66" s="1"/>
  <c r="I50" i="66"/>
  <c r="F50" i="66"/>
  <c r="F49" i="66"/>
  <c r="I49" i="66" s="1"/>
  <c r="F48" i="66"/>
  <c r="I48" i="66" s="1"/>
  <c r="F47" i="66"/>
  <c r="I47" i="66" s="1"/>
  <c r="J46" i="66"/>
  <c r="F46" i="66"/>
  <c r="I46" i="66" s="1"/>
  <c r="F45" i="66"/>
  <c r="I45" i="66" s="1"/>
  <c r="F44" i="66"/>
  <c r="I44" i="66" s="1"/>
  <c r="F43" i="66"/>
  <c r="I43" i="66" s="1"/>
  <c r="F42" i="66"/>
  <c r="I42" i="66" s="1"/>
  <c r="F41" i="66"/>
  <c r="I41" i="66" s="1"/>
  <c r="F40" i="66"/>
  <c r="I40" i="66" s="1"/>
  <c r="F39" i="66"/>
  <c r="I39" i="66" s="1"/>
  <c r="J38" i="66"/>
  <c r="F38" i="66"/>
  <c r="I38" i="66" s="1"/>
  <c r="J37" i="66"/>
  <c r="F37" i="66"/>
  <c r="I37" i="66" s="1"/>
  <c r="J36" i="66"/>
  <c r="F36" i="66"/>
  <c r="I36" i="66" s="1"/>
  <c r="J35" i="66"/>
  <c r="F35" i="66"/>
  <c r="I35" i="66" s="1"/>
  <c r="J34" i="66"/>
  <c r="F34" i="66"/>
  <c r="I34" i="66" s="1"/>
  <c r="F33" i="66"/>
  <c r="I33" i="66" s="1"/>
  <c r="F32" i="66"/>
  <c r="I32" i="66" s="1"/>
  <c r="I31" i="66"/>
  <c r="F31" i="66"/>
  <c r="F30" i="66"/>
  <c r="I30" i="66" s="1"/>
  <c r="F29" i="66"/>
  <c r="I29" i="66" s="1"/>
  <c r="F28" i="66"/>
  <c r="I28" i="66" s="1"/>
  <c r="J27" i="66"/>
  <c r="F27" i="66"/>
  <c r="I27" i="66" s="1"/>
  <c r="F26" i="66"/>
  <c r="I26" i="66" s="1"/>
  <c r="F25" i="66"/>
  <c r="I25" i="66" s="1"/>
  <c r="F24" i="66"/>
  <c r="I24" i="66" s="1"/>
  <c r="I23" i="66"/>
  <c r="F23" i="66"/>
  <c r="F22" i="66"/>
  <c r="I22" i="66" s="1"/>
  <c r="F21" i="66"/>
  <c r="I21" i="66" s="1"/>
  <c r="F20" i="66"/>
  <c r="I20" i="66" s="1"/>
  <c r="F19" i="66"/>
  <c r="I19" i="66" s="1"/>
  <c r="F18" i="66"/>
  <c r="I18" i="66" s="1"/>
  <c r="F17" i="66"/>
  <c r="I17" i="66" s="1"/>
  <c r="F16" i="66"/>
  <c r="I16" i="66" s="1"/>
  <c r="F15" i="66"/>
  <c r="I15" i="66" s="1"/>
  <c r="F16" i="65"/>
  <c r="C16" i="65"/>
  <c r="B65" i="64"/>
  <c r="E64" i="64"/>
  <c r="D64" i="64"/>
  <c r="E63" i="64"/>
  <c r="D63" i="64"/>
  <c r="E62" i="64"/>
  <c r="D62" i="64"/>
  <c r="E61" i="64"/>
  <c r="D61" i="64"/>
  <c r="E60" i="64"/>
  <c r="D60" i="64"/>
  <c r="E59" i="64"/>
  <c r="D59" i="64"/>
  <c r="E58" i="64"/>
  <c r="D58" i="64"/>
  <c r="E57" i="64"/>
  <c r="D57" i="64"/>
  <c r="E56" i="64"/>
  <c r="D56" i="64"/>
  <c r="E55" i="64"/>
  <c r="D55" i="64"/>
  <c r="E54" i="64"/>
  <c r="D54" i="64"/>
  <c r="E53" i="64"/>
  <c r="D53" i="64"/>
  <c r="E52" i="64"/>
  <c r="D52" i="64"/>
  <c r="E51" i="64"/>
  <c r="D51" i="64"/>
  <c r="E50" i="64"/>
  <c r="D50" i="64"/>
  <c r="E49" i="64"/>
  <c r="D49" i="64"/>
  <c r="E48" i="64"/>
  <c r="D48" i="64"/>
  <c r="E47" i="64"/>
  <c r="D47" i="64"/>
  <c r="E46" i="64"/>
  <c r="D46" i="64"/>
  <c r="E45" i="64"/>
  <c r="D45" i="64"/>
  <c r="E44" i="64"/>
  <c r="N7" i="3" s="1"/>
  <c r="D44" i="64"/>
  <c r="E43" i="64"/>
  <c r="D43" i="64"/>
  <c r="E42" i="64"/>
  <c r="H26" i="64"/>
  <c r="H28" i="64" s="1"/>
  <c r="F24" i="64"/>
  <c r="I24" i="64" s="1"/>
  <c r="F23" i="64"/>
  <c r="I23" i="64" s="1"/>
  <c r="F22" i="64"/>
  <c r="I22" i="64" s="1"/>
  <c r="F21" i="64"/>
  <c r="I21" i="64" s="1"/>
  <c r="F20" i="64"/>
  <c r="I20" i="64" s="1"/>
  <c r="F19" i="64"/>
  <c r="I19" i="64" s="1"/>
  <c r="F18" i="64"/>
  <c r="I18" i="64" s="1"/>
  <c r="F17" i="64"/>
  <c r="I17" i="64" s="1"/>
  <c r="F16" i="64"/>
  <c r="I16" i="64" s="1"/>
  <c r="F15" i="64"/>
  <c r="I15" i="64" s="1"/>
  <c r="C15" i="63"/>
  <c r="F15" i="63"/>
  <c r="B138" i="62"/>
  <c r="E137" i="62"/>
  <c r="D137" i="62"/>
  <c r="E136" i="62"/>
  <c r="D136" i="62"/>
  <c r="E135" i="62"/>
  <c r="D135" i="62"/>
  <c r="E134" i="62"/>
  <c r="D134" i="62"/>
  <c r="E133" i="62"/>
  <c r="D133" i="62"/>
  <c r="F132" i="62"/>
  <c r="E132" i="62"/>
  <c r="L22" i="3" s="1"/>
  <c r="D132" i="62"/>
  <c r="E131" i="62"/>
  <c r="D131" i="62"/>
  <c r="E130" i="62"/>
  <c r="D130" i="62"/>
  <c r="E129" i="62"/>
  <c r="D129" i="62"/>
  <c r="E128" i="62"/>
  <c r="D128" i="62"/>
  <c r="E127" i="62"/>
  <c r="D127" i="62"/>
  <c r="E126" i="62"/>
  <c r="D126" i="62"/>
  <c r="E125" i="62"/>
  <c r="D125" i="62"/>
  <c r="E124" i="62"/>
  <c r="D124" i="62"/>
  <c r="E123" i="62"/>
  <c r="D123" i="62"/>
  <c r="E122" i="62"/>
  <c r="D122" i="62"/>
  <c r="E121" i="62"/>
  <c r="D121" i="62"/>
  <c r="E120" i="62"/>
  <c r="D120" i="62"/>
  <c r="E119" i="62"/>
  <c r="D119" i="62"/>
  <c r="E118" i="62"/>
  <c r="D118" i="62"/>
  <c r="E117" i="62"/>
  <c r="D117" i="62"/>
  <c r="E116" i="62"/>
  <c r="D116" i="62"/>
  <c r="E115" i="62"/>
  <c r="L5" i="3" s="1"/>
  <c r="H99" i="62"/>
  <c r="F97" i="62"/>
  <c r="I97" i="62" s="1"/>
  <c r="F96" i="62"/>
  <c r="I96" i="62" s="1"/>
  <c r="F95" i="62"/>
  <c r="I95" i="62" s="1"/>
  <c r="F94" i="62"/>
  <c r="I94" i="62" s="1"/>
  <c r="F93" i="62"/>
  <c r="I93" i="62" s="1"/>
  <c r="F92" i="62"/>
  <c r="I92" i="62" s="1"/>
  <c r="F91" i="62"/>
  <c r="I91" i="62" s="1"/>
  <c r="F90" i="62"/>
  <c r="I90" i="62" s="1"/>
  <c r="F89" i="62"/>
  <c r="I89" i="62" s="1"/>
  <c r="F88" i="62"/>
  <c r="I88" i="62" s="1"/>
  <c r="F87" i="62"/>
  <c r="I87" i="62" s="1"/>
  <c r="F86" i="62"/>
  <c r="I86" i="62" s="1"/>
  <c r="F85" i="62"/>
  <c r="I85" i="62" s="1"/>
  <c r="F84" i="62"/>
  <c r="I84" i="62" s="1"/>
  <c r="F83" i="62"/>
  <c r="I83" i="62" s="1"/>
  <c r="F82" i="62"/>
  <c r="I82" i="62" s="1"/>
  <c r="F81" i="62"/>
  <c r="I81" i="62" s="1"/>
  <c r="F80" i="62"/>
  <c r="I80" i="62" s="1"/>
  <c r="F79" i="62"/>
  <c r="I79" i="62" s="1"/>
  <c r="F78" i="62"/>
  <c r="I78" i="62" s="1"/>
  <c r="F77" i="62"/>
  <c r="I77" i="62" s="1"/>
  <c r="F76" i="62"/>
  <c r="I76" i="62" s="1"/>
  <c r="F75" i="62"/>
  <c r="I75" i="62" s="1"/>
  <c r="F74" i="62"/>
  <c r="I74" i="62" s="1"/>
  <c r="F73" i="62"/>
  <c r="I73" i="62" s="1"/>
  <c r="F72" i="62"/>
  <c r="I72" i="62" s="1"/>
  <c r="F71" i="62"/>
  <c r="I71" i="62" s="1"/>
  <c r="F70" i="62"/>
  <c r="I70" i="62" s="1"/>
  <c r="F69" i="62"/>
  <c r="I69" i="62" s="1"/>
  <c r="F68" i="62"/>
  <c r="I68" i="62" s="1"/>
  <c r="F65" i="62"/>
  <c r="I65" i="62" s="1"/>
  <c r="F64" i="62"/>
  <c r="I64" i="62" s="1"/>
  <c r="F63" i="62"/>
  <c r="I63" i="62" s="1"/>
  <c r="F62" i="62"/>
  <c r="I62" i="62" s="1"/>
  <c r="F61" i="62"/>
  <c r="I61" i="62" s="1"/>
  <c r="F60" i="62"/>
  <c r="I60" i="62" s="1"/>
  <c r="F59" i="62"/>
  <c r="I59" i="62" s="1"/>
  <c r="F58" i="62"/>
  <c r="I58" i="62" s="1"/>
  <c r="F57" i="62"/>
  <c r="I57" i="62" s="1"/>
  <c r="F56" i="62"/>
  <c r="I56" i="62" s="1"/>
  <c r="F55" i="62"/>
  <c r="I55" i="62" s="1"/>
  <c r="F54" i="62"/>
  <c r="I54" i="62" s="1"/>
  <c r="F53" i="62"/>
  <c r="I53" i="62" s="1"/>
  <c r="F52" i="62"/>
  <c r="I52" i="62" s="1"/>
  <c r="F51" i="62"/>
  <c r="I51" i="62" s="1"/>
  <c r="F47" i="62"/>
  <c r="I47" i="62" s="1"/>
  <c r="F46" i="62"/>
  <c r="I46" i="62" s="1"/>
  <c r="F45" i="62"/>
  <c r="I45" i="62" s="1"/>
  <c r="F44" i="62"/>
  <c r="I44" i="62" s="1"/>
  <c r="F43" i="62"/>
  <c r="I43" i="62" s="1"/>
  <c r="H41" i="62"/>
  <c r="F39" i="62"/>
  <c r="I39" i="62" s="1"/>
  <c r="F38" i="62"/>
  <c r="I38" i="62" s="1"/>
  <c r="F37" i="62"/>
  <c r="I37" i="62" s="1"/>
  <c r="F36" i="62"/>
  <c r="I36" i="62" s="1"/>
  <c r="F35" i="62"/>
  <c r="I35" i="62" s="1"/>
  <c r="F34" i="62"/>
  <c r="I34" i="62" s="1"/>
  <c r="F33" i="62"/>
  <c r="I33" i="62" s="1"/>
  <c r="F32" i="62"/>
  <c r="I32" i="62" s="1"/>
  <c r="F31" i="62"/>
  <c r="I31" i="62" s="1"/>
  <c r="F30" i="62"/>
  <c r="I30" i="62" s="1"/>
  <c r="F29" i="62"/>
  <c r="I29" i="62" s="1"/>
  <c r="I28" i="62"/>
  <c r="F28" i="62"/>
  <c r="F27" i="62"/>
  <c r="I27" i="62" s="1"/>
  <c r="F26" i="62"/>
  <c r="I26" i="62" s="1"/>
  <c r="F25" i="62"/>
  <c r="I25" i="62" s="1"/>
  <c r="F24" i="62"/>
  <c r="I24" i="62" s="1"/>
  <c r="F23" i="62"/>
  <c r="I23" i="62" s="1"/>
  <c r="F22" i="62"/>
  <c r="I22" i="62" s="1"/>
  <c r="F21" i="62"/>
  <c r="I21" i="62" s="1"/>
  <c r="F20" i="62"/>
  <c r="I20" i="62" s="1"/>
  <c r="F19" i="62"/>
  <c r="I19" i="62" s="1"/>
  <c r="F18" i="62"/>
  <c r="I18" i="62" s="1"/>
  <c r="F17" i="62"/>
  <c r="I17" i="62" s="1"/>
  <c r="F16" i="62"/>
  <c r="I16" i="62" s="1"/>
  <c r="F15" i="62"/>
  <c r="I15" i="62" s="1"/>
  <c r="F59" i="64" l="1"/>
  <c r="N22" i="3"/>
  <c r="F127" i="62"/>
  <c r="L17" i="3"/>
  <c r="F124" i="66"/>
  <c r="P7" i="3"/>
  <c r="F142" i="66"/>
  <c r="P25" i="3"/>
  <c r="F133" i="62"/>
  <c r="L23" i="3"/>
  <c r="F60" i="64"/>
  <c r="N23" i="3"/>
  <c r="F122" i="62"/>
  <c r="L12" i="3"/>
  <c r="F43" i="64"/>
  <c r="N6" i="3"/>
  <c r="F131" i="66"/>
  <c r="P14" i="3"/>
  <c r="F134" i="62"/>
  <c r="L24" i="3"/>
  <c r="F55" i="64"/>
  <c r="N18" i="3"/>
  <c r="F117" i="62"/>
  <c r="L7" i="3"/>
  <c r="F123" i="62"/>
  <c r="L13" i="3"/>
  <c r="F126" i="66"/>
  <c r="P9" i="3"/>
  <c r="F132" i="66"/>
  <c r="P15" i="3"/>
  <c r="F144" i="66"/>
  <c r="P27" i="3"/>
  <c r="F135" i="62"/>
  <c r="L25" i="3"/>
  <c r="F44" i="64"/>
  <c r="F65" i="64" s="1"/>
  <c r="F50" i="64"/>
  <c r="N13" i="3"/>
  <c r="F56" i="64"/>
  <c r="N19" i="3"/>
  <c r="F118" i="62"/>
  <c r="L8" i="3"/>
  <c r="F124" i="62"/>
  <c r="L14" i="3"/>
  <c r="F130" i="62"/>
  <c r="L20" i="3"/>
  <c r="F127" i="66"/>
  <c r="F145" i="66" s="1"/>
  <c r="P10" i="3"/>
  <c r="F133" i="66"/>
  <c r="P16" i="3"/>
  <c r="F139" i="66"/>
  <c r="P22" i="3"/>
  <c r="F53" i="64"/>
  <c r="N16" i="3"/>
  <c r="F42" i="64"/>
  <c r="N5" i="3"/>
  <c r="F136" i="66"/>
  <c r="P19" i="3"/>
  <c r="F54" i="64"/>
  <c r="N17" i="3"/>
  <c r="F143" i="66"/>
  <c r="P26" i="3"/>
  <c r="F129" i="62"/>
  <c r="L19" i="3"/>
  <c r="F138" i="66"/>
  <c r="P21" i="3"/>
  <c r="F62" i="64"/>
  <c r="N25" i="3"/>
  <c r="F136" i="62"/>
  <c r="L26" i="3"/>
  <c r="F45" i="64"/>
  <c r="N8" i="3"/>
  <c r="F51" i="64"/>
  <c r="N14" i="3"/>
  <c r="F57" i="64"/>
  <c r="N20" i="3"/>
  <c r="F63" i="64"/>
  <c r="N26" i="3"/>
  <c r="H108" i="66"/>
  <c r="F121" i="62"/>
  <c r="L11" i="3"/>
  <c r="F116" i="62"/>
  <c r="L6" i="3"/>
  <c r="F137" i="66"/>
  <c r="P20" i="3"/>
  <c r="F49" i="64"/>
  <c r="N12" i="3"/>
  <c r="F125" i="62"/>
  <c r="L15" i="3"/>
  <c r="F128" i="66"/>
  <c r="P11" i="3"/>
  <c r="F134" i="66"/>
  <c r="P17" i="3"/>
  <c r="F140" i="66"/>
  <c r="P23" i="3"/>
  <c r="F137" i="62"/>
  <c r="L27" i="3"/>
  <c r="F46" i="64"/>
  <c r="N9" i="3"/>
  <c r="F52" i="64"/>
  <c r="N15" i="3"/>
  <c r="F58" i="64"/>
  <c r="N21" i="3"/>
  <c r="F64" i="64"/>
  <c r="N27" i="3"/>
  <c r="F47" i="64"/>
  <c r="N10" i="3"/>
  <c r="F130" i="66"/>
  <c r="P13" i="3"/>
  <c r="F48" i="64"/>
  <c r="N11" i="3"/>
  <c r="F128" i="62"/>
  <c r="L18" i="3"/>
  <c r="F125" i="66"/>
  <c r="P8" i="3"/>
  <c r="F61" i="64"/>
  <c r="N24" i="3"/>
  <c r="F119" i="62"/>
  <c r="L9" i="3"/>
  <c r="F131" i="62"/>
  <c r="L21" i="3"/>
  <c r="F122" i="66"/>
  <c r="P5" i="3"/>
  <c r="F120" i="62"/>
  <c r="L10" i="3"/>
  <c r="F126" i="62"/>
  <c r="L16" i="3"/>
  <c r="F123" i="66"/>
  <c r="P6" i="3"/>
  <c r="F129" i="66"/>
  <c r="P12" i="3"/>
  <c r="F135" i="66"/>
  <c r="P18" i="3"/>
  <c r="F141" i="66"/>
  <c r="P24" i="3"/>
  <c r="I106" i="66"/>
  <c r="I96" i="66"/>
  <c r="D145" i="66"/>
  <c r="E145" i="66"/>
  <c r="D65" i="64"/>
  <c r="E65" i="64"/>
  <c r="I26" i="64"/>
  <c r="I28" i="64" s="1"/>
  <c r="H101" i="62"/>
  <c r="D138" i="62"/>
  <c r="E138" i="62"/>
  <c r="I41" i="62"/>
  <c r="I99" i="62"/>
  <c r="F115" i="62"/>
  <c r="F138" i="62" l="1"/>
  <c r="I108" i="66"/>
  <c r="I101" i="62"/>
  <c r="F17" i="61" l="1"/>
  <c r="C17" i="61"/>
  <c r="F15" i="60"/>
  <c r="I15" i="60" s="1"/>
  <c r="F16" i="60"/>
  <c r="I16" i="60" s="1"/>
  <c r="F17" i="60"/>
  <c r="I17" i="60" s="1"/>
  <c r="F18" i="60"/>
  <c r="I18" i="60" s="1"/>
  <c r="F19" i="60"/>
  <c r="I19" i="60" s="1"/>
  <c r="F20" i="60"/>
  <c r="I20" i="60" s="1"/>
  <c r="F21" i="60"/>
  <c r="I21" i="60" s="1"/>
  <c r="F22" i="60"/>
  <c r="I22" i="60" s="1"/>
  <c r="F23" i="60"/>
  <c r="I23" i="60" s="1"/>
  <c r="F24" i="60"/>
  <c r="I24" i="60" s="1"/>
  <c r="F25" i="60"/>
  <c r="I25" i="60"/>
  <c r="F26" i="60"/>
  <c r="I26" i="60" s="1"/>
  <c r="F27" i="60"/>
  <c r="I27" i="60" s="1"/>
  <c r="F28" i="60"/>
  <c r="I28" i="60" s="1"/>
  <c r="F29" i="60"/>
  <c r="I29" i="60" s="1"/>
  <c r="F30" i="60"/>
  <c r="I30" i="60" s="1"/>
  <c r="F31" i="60"/>
  <c r="I31" i="60" s="1"/>
  <c r="F32" i="60"/>
  <c r="I32" i="60" s="1"/>
  <c r="F33" i="60"/>
  <c r="I33" i="60" s="1"/>
  <c r="F34" i="60"/>
  <c r="I34" i="60" s="1"/>
  <c r="F35" i="60"/>
  <c r="I35" i="60" s="1"/>
  <c r="F36" i="60"/>
  <c r="I36" i="60" s="1"/>
  <c r="F37" i="60"/>
  <c r="I37" i="60" s="1"/>
  <c r="F38" i="60"/>
  <c r="I38" i="60" s="1"/>
  <c r="F39" i="60"/>
  <c r="I39" i="60" s="1"/>
  <c r="F40" i="60"/>
  <c r="I40" i="60" s="1"/>
  <c r="F41" i="60"/>
  <c r="I41" i="60"/>
  <c r="I42" i="60"/>
  <c r="H43" i="60"/>
  <c r="H45" i="60" s="1"/>
  <c r="E59" i="60"/>
  <c r="D60" i="60"/>
  <c r="E60" i="60"/>
  <c r="D61" i="60"/>
  <c r="E61" i="60"/>
  <c r="D62" i="60"/>
  <c r="E62" i="60"/>
  <c r="D63" i="60"/>
  <c r="E63" i="60"/>
  <c r="D64" i="60"/>
  <c r="E64" i="60"/>
  <c r="D65" i="60"/>
  <c r="E65" i="60"/>
  <c r="K11" i="3" s="1"/>
  <c r="F65" i="60"/>
  <c r="D66" i="60"/>
  <c r="E66" i="60"/>
  <c r="D67" i="60"/>
  <c r="E67" i="60"/>
  <c r="B68" i="60"/>
  <c r="D68" i="60" s="1"/>
  <c r="E68" i="60"/>
  <c r="K14" i="3" s="1"/>
  <c r="D69" i="60"/>
  <c r="E69" i="60"/>
  <c r="K15" i="3" s="1"/>
  <c r="F69" i="60"/>
  <c r="D70" i="60"/>
  <c r="E70" i="60"/>
  <c r="D71" i="60"/>
  <c r="E71" i="60"/>
  <c r="D72" i="60"/>
  <c r="E72" i="60"/>
  <c r="D73" i="60"/>
  <c r="E73" i="60"/>
  <c r="D74" i="60"/>
  <c r="E74" i="60"/>
  <c r="D75" i="60"/>
  <c r="E75" i="60"/>
  <c r="K21" i="3" s="1"/>
  <c r="F75" i="60"/>
  <c r="D76" i="60"/>
  <c r="E76" i="60"/>
  <c r="D77" i="60"/>
  <c r="E77" i="60"/>
  <c r="K23" i="3" s="1"/>
  <c r="F77" i="60"/>
  <c r="D78" i="60"/>
  <c r="E78" i="60"/>
  <c r="D79" i="60"/>
  <c r="E79" i="60"/>
  <c r="D80" i="60"/>
  <c r="E80" i="60"/>
  <c r="D81" i="60"/>
  <c r="E81" i="60"/>
  <c r="B82" i="60"/>
  <c r="F71" i="60" l="1"/>
  <c r="K17" i="3"/>
  <c r="F70" i="60"/>
  <c r="K16" i="3"/>
  <c r="F64" i="60"/>
  <c r="K10" i="3"/>
  <c r="F79" i="60"/>
  <c r="K25" i="3"/>
  <c r="F62" i="60"/>
  <c r="K8" i="3"/>
  <c r="F76" i="60"/>
  <c r="K22" i="3"/>
  <c r="F59" i="60"/>
  <c r="K5" i="3"/>
  <c r="F74" i="60"/>
  <c r="K20" i="3"/>
  <c r="F78" i="60"/>
  <c r="K24" i="3"/>
  <c r="F61" i="60"/>
  <c r="K7" i="3"/>
  <c r="F60" i="60"/>
  <c r="F82" i="60" s="1"/>
  <c r="K6" i="3"/>
  <c r="F81" i="60"/>
  <c r="K27" i="3"/>
  <c r="F80" i="60"/>
  <c r="K26" i="3"/>
  <c r="F63" i="60"/>
  <c r="K9" i="3"/>
  <c r="F73" i="60"/>
  <c r="K19" i="3"/>
  <c r="F67" i="60"/>
  <c r="K13" i="3"/>
  <c r="F72" i="60"/>
  <c r="K18" i="3"/>
  <c r="F66" i="60"/>
  <c r="K12" i="3"/>
  <c r="D82" i="60"/>
  <c r="F68" i="60"/>
  <c r="I43" i="60"/>
  <c r="I45" i="60" s="1"/>
  <c r="E82" i="60"/>
  <c r="C19" i="55" l="1"/>
  <c r="F12" i="55"/>
  <c r="F19" i="55" s="1"/>
  <c r="B95" i="54"/>
  <c r="E94" i="54"/>
  <c r="D94" i="54"/>
  <c r="E93" i="54"/>
  <c r="D93" i="54"/>
  <c r="E92" i="54"/>
  <c r="D92" i="54"/>
  <c r="E91" i="54"/>
  <c r="G24" i="3" s="1"/>
  <c r="D91" i="54"/>
  <c r="E90" i="54"/>
  <c r="D90" i="54"/>
  <c r="E89" i="54"/>
  <c r="D89" i="54"/>
  <c r="E88" i="54"/>
  <c r="D88" i="54"/>
  <c r="E87" i="54"/>
  <c r="D87" i="54"/>
  <c r="E86" i="54"/>
  <c r="D86" i="54"/>
  <c r="E85" i="54"/>
  <c r="G18" i="3" s="1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G10" i="3" s="1"/>
  <c r="D77" i="54"/>
  <c r="E76" i="54"/>
  <c r="D76" i="54"/>
  <c r="E75" i="54"/>
  <c r="D75" i="54"/>
  <c r="E74" i="54"/>
  <c r="D74" i="54"/>
  <c r="E73" i="54"/>
  <c r="D73" i="54"/>
  <c r="E72" i="54"/>
  <c r="H56" i="54"/>
  <c r="F54" i="54"/>
  <c r="I54" i="54" s="1"/>
  <c r="I56" i="54" s="1"/>
  <c r="H52" i="54"/>
  <c r="H58" i="54" s="1"/>
  <c r="I51" i="54"/>
  <c r="F50" i="54"/>
  <c r="I50" i="54" s="1"/>
  <c r="F49" i="54"/>
  <c r="I49" i="54" s="1"/>
  <c r="F48" i="54"/>
  <c r="I48" i="54" s="1"/>
  <c r="F47" i="54"/>
  <c r="I47" i="54" s="1"/>
  <c r="F46" i="54"/>
  <c r="I46" i="54" s="1"/>
  <c r="F45" i="54"/>
  <c r="I45" i="54" s="1"/>
  <c r="F44" i="54"/>
  <c r="I44" i="54" s="1"/>
  <c r="F43" i="54"/>
  <c r="I43" i="54" s="1"/>
  <c r="F42" i="54"/>
  <c r="I42" i="54" s="1"/>
  <c r="F41" i="54"/>
  <c r="I41" i="54" s="1"/>
  <c r="F40" i="54"/>
  <c r="I40" i="54" s="1"/>
  <c r="F39" i="54"/>
  <c r="I39" i="54" s="1"/>
  <c r="F38" i="54"/>
  <c r="I38" i="54" s="1"/>
  <c r="F37" i="54"/>
  <c r="I37" i="54" s="1"/>
  <c r="F36" i="54"/>
  <c r="I36" i="54" s="1"/>
  <c r="F35" i="54"/>
  <c r="I35" i="54" s="1"/>
  <c r="F34" i="54"/>
  <c r="I34" i="54" s="1"/>
  <c r="F33" i="54"/>
  <c r="I33" i="54" s="1"/>
  <c r="F32" i="54"/>
  <c r="I32" i="54" s="1"/>
  <c r="F31" i="54"/>
  <c r="I31" i="54" s="1"/>
  <c r="F30" i="54"/>
  <c r="I30" i="54" s="1"/>
  <c r="F29" i="54"/>
  <c r="I29" i="54" s="1"/>
  <c r="F28" i="54"/>
  <c r="I28" i="54" s="1"/>
  <c r="F27" i="54"/>
  <c r="I27" i="54" s="1"/>
  <c r="F26" i="54"/>
  <c r="I26" i="54" s="1"/>
  <c r="F25" i="54"/>
  <c r="I25" i="54" s="1"/>
  <c r="F24" i="54"/>
  <c r="I24" i="54" s="1"/>
  <c r="F23" i="54"/>
  <c r="I23" i="54" s="1"/>
  <c r="F22" i="54"/>
  <c r="I22" i="54" s="1"/>
  <c r="F21" i="54"/>
  <c r="I21" i="54" s="1"/>
  <c r="F20" i="54"/>
  <c r="I20" i="54" s="1"/>
  <c r="F19" i="54"/>
  <c r="I19" i="54" s="1"/>
  <c r="F18" i="54"/>
  <c r="I18" i="54" s="1"/>
  <c r="F17" i="54"/>
  <c r="I17" i="54" s="1"/>
  <c r="F16" i="54"/>
  <c r="I16" i="54" s="1"/>
  <c r="F15" i="54"/>
  <c r="I15" i="54" s="1"/>
  <c r="F12" i="26"/>
  <c r="I177" i="25"/>
  <c r="H187" i="25"/>
  <c r="H178" i="25"/>
  <c r="H174" i="25"/>
  <c r="H149" i="25"/>
  <c r="H113" i="25"/>
  <c r="H105" i="25"/>
  <c r="H98" i="25"/>
  <c r="H60" i="25"/>
  <c r="H43" i="25"/>
  <c r="H27" i="25"/>
  <c r="F71" i="25"/>
  <c r="I71" i="25" s="1"/>
  <c r="F70" i="25"/>
  <c r="I70" i="25" s="1"/>
  <c r="F57" i="25"/>
  <c r="I57" i="25" s="1"/>
  <c r="F58" i="25"/>
  <c r="I58" i="25" s="1"/>
  <c r="F85" i="54" l="1"/>
  <c r="F75" i="54"/>
  <c r="G8" i="3"/>
  <c r="F76" i="54"/>
  <c r="G9" i="3"/>
  <c r="F77" i="54"/>
  <c r="F94" i="54"/>
  <c r="G27" i="3"/>
  <c r="F79" i="54"/>
  <c r="G12" i="3"/>
  <c r="F80" i="54"/>
  <c r="G13" i="3"/>
  <c r="F91" i="54"/>
  <c r="F92" i="54"/>
  <c r="G25" i="3"/>
  <c r="F82" i="54"/>
  <c r="G15" i="3"/>
  <c r="F83" i="54"/>
  <c r="G16" i="3"/>
  <c r="F84" i="54"/>
  <c r="G17" i="3"/>
  <c r="F74" i="54"/>
  <c r="G7" i="3"/>
  <c r="F86" i="54"/>
  <c r="G19" i="3"/>
  <c r="F81" i="54"/>
  <c r="G14" i="3"/>
  <c r="F87" i="54"/>
  <c r="G20" i="3"/>
  <c r="F93" i="54"/>
  <c r="G26" i="3"/>
  <c r="F88" i="54"/>
  <c r="G21" i="3"/>
  <c r="F72" i="54"/>
  <c r="F95" i="54" s="1"/>
  <c r="G5" i="3"/>
  <c r="F89" i="54"/>
  <c r="G22" i="3"/>
  <c r="F78" i="54"/>
  <c r="G11" i="3"/>
  <c r="F73" i="54"/>
  <c r="G6" i="3"/>
  <c r="F90" i="54"/>
  <c r="G23" i="3"/>
  <c r="D95" i="54"/>
  <c r="I52" i="54"/>
  <c r="I58" i="54" s="1"/>
  <c r="E95" i="54"/>
  <c r="F20" i="53"/>
  <c r="I20" i="53" s="1"/>
  <c r="F21" i="53"/>
  <c r="I21" i="53" s="1"/>
  <c r="F22" i="53"/>
  <c r="I22" i="53" s="1"/>
  <c r="F23" i="53"/>
  <c r="I23" i="53" s="1"/>
  <c r="F24" i="53"/>
  <c r="I24" i="53" s="1"/>
  <c r="F25" i="53"/>
  <c r="I25" i="53" s="1"/>
  <c r="F26" i="53"/>
  <c r="I26" i="53" s="1"/>
  <c r="F27" i="53"/>
  <c r="I27" i="53" s="1"/>
  <c r="F69" i="53" l="1"/>
  <c r="B69" i="53"/>
  <c r="E68" i="53"/>
  <c r="D68" i="53"/>
  <c r="E67" i="53"/>
  <c r="D67" i="53"/>
  <c r="E66" i="53"/>
  <c r="D66" i="53"/>
  <c r="E65" i="53"/>
  <c r="D65" i="53"/>
  <c r="E64" i="53"/>
  <c r="D64" i="53"/>
  <c r="E63" i="53"/>
  <c r="D63" i="53"/>
  <c r="E62" i="53"/>
  <c r="D62" i="53"/>
  <c r="E61" i="53"/>
  <c r="D61" i="53"/>
  <c r="E60" i="53"/>
  <c r="D60" i="53"/>
  <c r="E59" i="53"/>
  <c r="D59" i="53"/>
  <c r="E58" i="53"/>
  <c r="D58" i="53"/>
  <c r="E57" i="53"/>
  <c r="D57" i="53"/>
  <c r="E56" i="53"/>
  <c r="D56" i="53"/>
  <c r="E55" i="53"/>
  <c r="D55" i="53"/>
  <c r="E54" i="53"/>
  <c r="D54" i="53"/>
  <c r="E53" i="53"/>
  <c r="D53" i="53"/>
  <c r="E52" i="53"/>
  <c r="D52" i="53"/>
  <c r="E51" i="53"/>
  <c r="D51" i="53"/>
  <c r="E50" i="53"/>
  <c r="D50" i="53"/>
  <c r="E49" i="53"/>
  <c r="D49" i="53"/>
  <c r="E48" i="53"/>
  <c r="D48" i="53"/>
  <c r="E47" i="53"/>
  <c r="D47" i="53"/>
  <c r="E46" i="53"/>
  <c r="H29" i="53"/>
  <c r="H32" i="53" s="1"/>
  <c r="F19" i="53"/>
  <c r="I19" i="53" s="1"/>
  <c r="F18" i="53"/>
  <c r="I18" i="53" s="1"/>
  <c r="F17" i="53"/>
  <c r="I17" i="53" s="1"/>
  <c r="F16" i="53"/>
  <c r="I16" i="53" s="1"/>
  <c r="F15" i="53"/>
  <c r="I15" i="53" s="1"/>
  <c r="H129" i="45"/>
  <c r="H118" i="44"/>
  <c r="I116" i="44"/>
  <c r="F127" i="44"/>
  <c r="I127" i="44" s="1"/>
  <c r="F126" i="44"/>
  <c r="I126" i="44" s="1"/>
  <c r="F125" i="44"/>
  <c r="I125" i="44" s="1"/>
  <c r="F124" i="44"/>
  <c r="I124" i="44" s="1"/>
  <c r="D69" i="53" l="1"/>
  <c r="I29" i="53"/>
  <c r="I32" i="53" s="1"/>
  <c r="E69" i="53"/>
  <c r="H113" i="17"/>
  <c r="F111" i="17"/>
  <c r="I111" i="17" s="1"/>
  <c r="F112" i="17"/>
  <c r="I112" i="17" s="1"/>
  <c r="F110" i="17"/>
  <c r="I110" i="17" s="1"/>
  <c r="F106" i="17"/>
  <c r="I113" i="17" l="1"/>
  <c r="F15" i="43"/>
  <c r="C15" i="47" l="1"/>
  <c r="F160" i="25" l="1"/>
  <c r="I160" i="25" s="1"/>
  <c r="F54" i="25"/>
  <c r="I54" i="25" s="1"/>
  <c r="F47" i="25"/>
  <c r="I47" i="25" s="1"/>
  <c r="F93" i="25"/>
  <c r="I93" i="25" s="1"/>
  <c r="F94" i="25"/>
  <c r="I94" i="25" s="1"/>
  <c r="F95" i="25"/>
  <c r="I95" i="25" s="1"/>
  <c r="F90" i="25"/>
  <c r="I90" i="25" s="1"/>
  <c r="F91" i="25"/>
  <c r="I91" i="25" s="1"/>
  <c r="F92" i="25"/>
  <c r="I92" i="25" s="1"/>
  <c r="F96" i="25"/>
  <c r="H38" i="51" l="1"/>
  <c r="I36" i="51"/>
  <c r="I38" i="51" s="1"/>
  <c r="F151" i="25"/>
  <c r="I151" i="25" s="1"/>
  <c r="F152" i="25"/>
  <c r="I152" i="25" s="1"/>
  <c r="F153" i="25"/>
  <c r="I153" i="25" s="1"/>
  <c r="F123" i="44"/>
  <c r="I123" i="44" s="1"/>
  <c r="F122" i="44"/>
  <c r="I122" i="44" s="1"/>
  <c r="F121" i="44"/>
  <c r="I121" i="44" s="1"/>
  <c r="F120" i="44"/>
  <c r="I120" i="44" s="1"/>
  <c r="F85" i="42"/>
  <c r="I85" i="42" s="1"/>
  <c r="F32" i="46"/>
  <c r="I32" i="46" s="1"/>
  <c r="F176" i="25"/>
  <c r="I176" i="25" s="1"/>
  <c r="F162" i="25"/>
  <c r="I162" i="25" s="1"/>
  <c r="F163" i="25"/>
  <c r="I163" i="25" s="1"/>
  <c r="F164" i="25"/>
  <c r="I164" i="25" s="1"/>
  <c r="F121" i="25"/>
  <c r="I121" i="25" s="1"/>
  <c r="F119" i="25"/>
  <c r="I119" i="25" s="1"/>
  <c r="F115" i="25"/>
  <c r="I115" i="25" s="1"/>
  <c r="F116" i="25"/>
  <c r="I116" i="25" s="1"/>
  <c r="F117" i="25"/>
  <c r="I117" i="25" s="1"/>
  <c r="F45" i="25"/>
  <c r="I45" i="25" s="1"/>
  <c r="F46" i="25"/>
  <c r="I46" i="25" s="1"/>
  <c r="F158" i="25"/>
  <c r="I158" i="25" s="1"/>
  <c r="F159" i="25"/>
  <c r="I159" i="25" s="1"/>
  <c r="I165" i="25"/>
  <c r="F157" i="25"/>
  <c r="I157" i="25" s="1"/>
  <c r="F156" i="25"/>
  <c r="I156" i="25" s="1"/>
  <c r="F155" i="25"/>
  <c r="I155" i="25" s="1"/>
  <c r="F154" i="25"/>
  <c r="I154" i="25" s="1"/>
  <c r="F184" i="25"/>
  <c r="I184" i="25" s="1"/>
  <c r="F108" i="25"/>
  <c r="I108" i="25" s="1"/>
  <c r="F109" i="25"/>
  <c r="I109" i="25" s="1"/>
  <c r="F110" i="25"/>
  <c r="I110" i="25" s="1"/>
  <c r="F111" i="25"/>
  <c r="I111" i="25" s="1"/>
  <c r="I112" i="25"/>
  <c r="F107" i="25"/>
  <c r="I107" i="25" s="1"/>
  <c r="F145" i="25"/>
  <c r="I145" i="25" s="1"/>
  <c r="I96" i="25"/>
  <c r="I97" i="25"/>
  <c r="F89" i="25"/>
  <c r="I89" i="25" s="1"/>
  <c r="F146" i="25"/>
  <c r="I146" i="25" s="1"/>
  <c r="F81" i="25"/>
  <c r="I81" i="25" s="1"/>
  <c r="F82" i="25"/>
  <c r="I82" i="25" s="1"/>
  <c r="F83" i="25"/>
  <c r="I83" i="25" s="1"/>
  <c r="F84" i="25"/>
  <c r="I84" i="25" s="1"/>
  <c r="F78" i="25"/>
  <c r="I78" i="25" s="1"/>
  <c r="F79" i="25"/>
  <c r="I79" i="25" s="1"/>
  <c r="F80" i="25"/>
  <c r="I80" i="25" s="1"/>
  <c r="I86" i="25"/>
  <c r="F77" i="25"/>
  <c r="I77" i="25" s="1"/>
  <c r="F76" i="25"/>
  <c r="I76" i="25" s="1"/>
  <c r="F75" i="25"/>
  <c r="I75" i="25" s="1"/>
  <c r="F19" i="25"/>
  <c r="I19" i="25" s="1"/>
  <c r="F34" i="25"/>
  <c r="I34" i="25" s="1"/>
  <c r="F67" i="25"/>
  <c r="I67" i="25" s="1"/>
  <c r="F66" i="25"/>
  <c r="I66" i="25" s="1"/>
  <c r="H182" i="25"/>
  <c r="I181" i="25"/>
  <c r="F180" i="25"/>
  <c r="I180" i="25" s="1"/>
  <c r="F172" i="25"/>
  <c r="I172" i="25" s="1"/>
  <c r="F171" i="25"/>
  <c r="I171" i="25" s="1"/>
  <c r="F170" i="25"/>
  <c r="I170" i="25" s="1"/>
  <c r="H36" i="17"/>
  <c r="H43" i="33"/>
  <c r="H108" i="17"/>
  <c r="H39" i="23"/>
  <c r="H30" i="23"/>
  <c r="H25" i="23"/>
  <c r="H87" i="42"/>
  <c r="H89" i="42" s="1"/>
  <c r="H36" i="50"/>
  <c r="H20" i="50"/>
  <c r="F30" i="21"/>
  <c r="I30" i="21" s="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I32" i="21" s="1"/>
  <c r="F31" i="21"/>
  <c r="I31" i="21" s="1"/>
  <c r="H74" i="21"/>
  <c r="H76" i="21" s="1"/>
  <c r="E58" i="48"/>
  <c r="E57" i="48"/>
  <c r="E56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9" i="48"/>
  <c r="E60" i="48"/>
  <c r="E61" i="48"/>
  <c r="E62" i="48"/>
  <c r="E63" i="48"/>
  <c r="E41" i="48"/>
  <c r="F41" i="48" s="1"/>
  <c r="H25" i="48"/>
  <c r="H27" i="48" s="1"/>
  <c r="I23" i="48"/>
  <c r="I22" i="48"/>
  <c r="I21" i="48"/>
  <c r="I20" i="48"/>
  <c r="I19" i="48"/>
  <c r="I18" i="48"/>
  <c r="I17" i="48"/>
  <c r="I16" i="48"/>
  <c r="I15" i="48"/>
  <c r="I87" i="25" l="1"/>
  <c r="I166" i="25"/>
  <c r="I129" i="44"/>
  <c r="H115" i="17"/>
  <c r="I98" i="25"/>
  <c r="I178" i="25"/>
  <c r="I113" i="25"/>
  <c r="H41" i="23"/>
  <c r="I182" i="25"/>
  <c r="E64" i="48"/>
  <c r="F52" i="44" l="1"/>
  <c r="I52" i="44" s="1"/>
  <c r="C15" i="45"/>
  <c r="F41" i="44"/>
  <c r="I41" i="44" s="1"/>
  <c r="H37" i="44"/>
  <c r="F16" i="44"/>
  <c r="I16" i="44" s="1"/>
  <c r="F15" i="45" l="1"/>
  <c r="H82" i="44"/>
  <c r="F80" i="44"/>
  <c r="I80" i="44" s="1"/>
  <c r="F79" i="44"/>
  <c r="I79" i="44" s="1"/>
  <c r="H113" i="44"/>
  <c r="H107" i="44"/>
  <c r="H98" i="44"/>
  <c r="H74" i="44"/>
  <c r="H65" i="44"/>
  <c r="H56" i="44"/>
  <c r="H46" i="44"/>
  <c r="F72" i="44"/>
  <c r="I72" i="44" s="1"/>
  <c r="C14" i="34" l="1"/>
  <c r="F115" i="44" l="1"/>
  <c r="I115" i="44" s="1"/>
  <c r="I118" i="44" s="1"/>
  <c r="F111" i="44"/>
  <c r="I111" i="44" s="1"/>
  <c r="F110" i="44"/>
  <c r="I110" i="44" s="1"/>
  <c r="F109" i="44"/>
  <c r="I109" i="44" s="1"/>
  <c r="F102" i="44"/>
  <c r="I102" i="44" s="1"/>
  <c r="F103" i="44"/>
  <c r="I103" i="44" s="1"/>
  <c r="F104" i="44"/>
  <c r="I104" i="44" s="1"/>
  <c r="F105" i="44"/>
  <c r="I105" i="44" s="1"/>
  <c r="F101" i="44"/>
  <c r="I101" i="44" s="1"/>
  <c r="F100" i="44"/>
  <c r="I100" i="44" s="1"/>
  <c r="F92" i="44"/>
  <c r="I92" i="44" s="1"/>
  <c r="F93" i="44"/>
  <c r="I93" i="44" s="1"/>
  <c r="F94" i="44"/>
  <c r="I94" i="44" s="1"/>
  <c r="F95" i="44"/>
  <c r="I95" i="44" s="1"/>
  <c r="F96" i="44"/>
  <c r="I96" i="44" s="1"/>
  <c r="F91" i="44"/>
  <c r="I91" i="44" s="1"/>
  <c r="H89" i="44"/>
  <c r="H139" i="44" s="1"/>
  <c r="F85" i="44"/>
  <c r="I85" i="44" s="1"/>
  <c r="F86" i="44"/>
  <c r="I86" i="44" s="1"/>
  <c r="F87" i="44"/>
  <c r="I87" i="44" s="1"/>
  <c r="F35" i="44"/>
  <c r="I35" i="44" s="1"/>
  <c r="F84" i="44"/>
  <c r="I84" i="44" s="1"/>
  <c r="F77" i="44"/>
  <c r="I77" i="44" s="1"/>
  <c r="F78" i="44"/>
  <c r="I78" i="44" s="1"/>
  <c r="F76" i="44"/>
  <c r="I76" i="44" s="1"/>
  <c r="F68" i="44"/>
  <c r="I68" i="44" s="1"/>
  <c r="F69" i="44"/>
  <c r="I69" i="44" s="1"/>
  <c r="F70" i="44"/>
  <c r="I70" i="44" s="1"/>
  <c r="F71" i="44"/>
  <c r="I71" i="44" s="1"/>
  <c r="F67" i="44"/>
  <c r="I67" i="44" s="1"/>
  <c r="F53" i="44"/>
  <c r="I53" i="44" s="1"/>
  <c r="F54" i="44"/>
  <c r="I54" i="44" s="1"/>
  <c r="F63" i="44"/>
  <c r="I63" i="44" s="1"/>
  <c r="F59" i="44"/>
  <c r="I59" i="44" s="1"/>
  <c r="F60" i="44"/>
  <c r="I60" i="44" s="1"/>
  <c r="F61" i="44"/>
  <c r="I61" i="44" s="1"/>
  <c r="F62" i="44"/>
  <c r="I62" i="44" s="1"/>
  <c r="F58" i="44"/>
  <c r="I58" i="44" s="1"/>
  <c r="F49" i="44"/>
  <c r="I49" i="44" s="1"/>
  <c r="F50" i="44"/>
  <c r="I50" i="44" s="1"/>
  <c r="F51" i="44"/>
  <c r="I51" i="44" s="1"/>
  <c r="F48" i="44"/>
  <c r="I48" i="44" s="1"/>
  <c r="F44" i="44"/>
  <c r="I44" i="44" s="1"/>
  <c r="F43" i="44"/>
  <c r="I43" i="44" s="1"/>
  <c r="F42" i="44"/>
  <c r="I42" i="44" s="1"/>
  <c r="F40" i="44"/>
  <c r="I40" i="44" s="1"/>
  <c r="F39" i="44"/>
  <c r="I39" i="44" s="1"/>
  <c r="F34" i="44"/>
  <c r="I34" i="44" s="1"/>
  <c r="F32" i="44"/>
  <c r="I32" i="44" s="1"/>
  <c r="F31" i="44"/>
  <c r="I31" i="44" s="1"/>
  <c r="F30" i="44"/>
  <c r="I30" i="44" s="1"/>
  <c r="F33" i="44"/>
  <c r="I33" i="44" s="1"/>
  <c r="F29" i="44"/>
  <c r="I29" i="44" s="1"/>
  <c r="F15" i="44"/>
  <c r="I15" i="44" s="1"/>
  <c r="F17" i="44"/>
  <c r="I17" i="44" s="1"/>
  <c r="F18" i="44"/>
  <c r="I18" i="44" s="1"/>
  <c r="F19" i="44"/>
  <c r="I19" i="44" s="1"/>
  <c r="F20" i="44"/>
  <c r="I20" i="44" s="1"/>
  <c r="F21" i="44"/>
  <c r="I21" i="44" s="1"/>
  <c r="F22" i="44"/>
  <c r="I22" i="44" s="1"/>
  <c r="F23" i="44"/>
  <c r="I23" i="44" s="1"/>
  <c r="F24" i="44"/>
  <c r="I24" i="44" s="1"/>
  <c r="F25" i="44"/>
  <c r="I25" i="44" s="1"/>
  <c r="F26" i="44"/>
  <c r="I26" i="44" s="1"/>
  <c r="F27" i="44"/>
  <c r="I27" i="44" s="1"/>
  <c r="F28" i="44"/>
  <c r="I28" i="44" s="1"/>
  <c r="I46" i="44" l="1"/>
  <c r="I56" i="44"/>
  <c r="I82" i="44"/>
  <c r="I89" i="44"/>
  <c r="I113" i="44"/>
  <c r="I74" i="44"/>
  <c r="I65" i="44"/>
  <c r="I98" i="44"/>
  <c r="I107" i="44"/>
  <c r="I36" i="44"/>
  <c r="I37" i="44" s="1"/>
  <c r="I139" i="44" l="1"/>
  <c r="E64" i="29"/>
  <c r="B176" i="44" l="1"/>
  <c r="H45" i="33" l="1"/>
  <c r="F31" i="33"/>
  <c r="I31" i="33" s="1"/>
  <c r="F32" i="33"/>
  <c r="I32" i="33" s="1"/>
  <c r="F29" i="33"/>
  <c r="I29" i="33" s="1"/>
  <c r="F30" i="33"/>
  <c r="I30" i="33" s="1"/>
  <c r="F17" i="33" l="1"/>
  <c r="I17" i="33" s="1"/>
  <c r="F16" i="33"/>
  <c r="I16" i="33" s="1"/>
  <c r="F15" i="33"/>
  <c r="I15" i="33" s="1"/>
  <c r="F18" i="33"/>
  <c r="I18" i="33" s="1"/>
  <c r="F28" i="33"/>
  <c r="I28" i="33" s="1"/>
  <c r="F27" i="33"/>
  <c r="I27" i="33" s="1"/>
  <c r="F26" i="33"/>
  <c r="I26" i="33" s="1"/>
  <c r="F25" i="33"/>
  <c r="I25" i="33" s="1"/>
  <c r="F24" i="33"/>
  <c r="I24" i="33" s="1"/>
  <c r="F39" i="33"/>
  <c r="I39" i="33" s="1"/>
  <c r="F40" i="33"/>
  <c r="I40" i="33" s="1"/>
  <c r="F38" i="33"/>
  <c r="I38" i="33" s="1"/>
  <c r="F37" i="33"/>
  <c r="I37" i="33" s="1"/>
  <c r="F36" i="33"/>
  <c r="I36" i="33" s="1"/>
  <c r="F23" i="33"/>
  <c r="I23" i="33" s="1"/>
  <c r="F22" i="33"/>
  <c r="I22" i="33" s="1"/>
  <c r="F21" i="33"/>
  <c r="I21" i="33" s="1"/>
  <c r="F20" i="33"/>
  <c r="I20" i="33" s="1"/>
  <c r="F16" i="37" l="1"/>
  <c r="I16" i="37" s="1"/>
  <c r="F17" i="37"/>
  <c r="I17" i="37" s="1"/>
  <c r="F128" i="25"/>
  <c r="I128" i="25" s="1"/>
  <c r="F21" i="26"/>
  <c r="F22" i="26" s="1"/>
  <c r="I148" i="25"/>
  <c r="I138" i="25"/>
  <c r="I72" i="25"/>
  <c r="I42" i="25"/>
  <c r="I26" i="25"/>
  <c r="F143" i="25"/>
  <c r="I143" i="25" s="1"/>
  <c r="F142" i="25"/>
  <c r="I142" i="25" s="1"/>
  <c r="F144" i="25"/>
  <c r="I144" i="25" s="1"/>
  <c r="I104" i="25"/>
  <c r="F100" i="25"/>
  <c r="I100" i="25" s="1"/>
  <c r="F65" i="25"/>
  <c r="I65" i="25" s="1"/>
  <c r="F64" i="25"/>
  <c r="I64" i="25" s="1"/>
  <c r="I105" i="25" l="1"/>
  <c r="F63" i="25"/>
  <c r="I63" i="25" s="1"/>
  <c r="F62" i="25"/>
  <c r="I62" i="25" s="1"/>
  <c r="I73" i="25" s="1"/>
  <c r="F169" i="25"/>
  <c r="I169" i="25" s="1"/>
  <c r="I186" i="25"/>
  <c r="F185" i="25"/>
  <c r="I185" i="25" s="1"/>
  <c r="C18" i="51"/>
  <c r="F17" i="51"/>
  <c r="F18" i="51" s="1"/>
  <c r="B75" i="50"/>
  <c r="E74" i="50"/>
  <c r="D74" i="50"/>
  <c r="E73" i="50"/>
  <c r="D73" i="50"/>
  <c r="E72" i="50"/>
  <c r="D72" i="50"/>
  <c r="E71" i="50"/>
  <c r="D71" i="50"/>
  <c r="E70" i="50"/>
  <c r="D70" i="50"/>
  <c r="E69" i="50"/>
  <c r="H22" i="3" s="1"/>
  <c r="D69" i="50"/>
  <c r="E68" i="50"/>
  <c r="D68" i="50"/>
  <c r="E67" i="50"/>
  <c r="D67" i="50"/>
  <c r="E66" i="50"/>
  <c r="D66" i="50"/>
  <c r="E65" i="50"/>
  <c r="D65" i="50"/>
  <c r="E64" i="50"/>
  <c r="D64" i="50"/>
  <c r="E63" i="50"/>
  <c r="D63" i="50"/>
  <c r="E62" i="50"/>
  <c r="D62" i="50"/>
  <c r="E61" i="50"/>
  <c r="H14" i="3" s="1"/>
  <c r="D61" i="50"/>
  <c r="E60" i="50"/>
  <c r="D60" i="50"/>
  <c r="E59" i="50"/>
  <c r="D59" i="50"/>
  <c r="E58" i="50"/>
  <c r="D58" i="50"/>
  <c r="E57" i="50"/>
  <c r="D57" i="50"/>
  <c r="E56" i="50"/>
  <c r="D56" i="50"/>
  <c r="E55" i="50"/>
  <c r="D55" i="50"/>
  <c r="E54" i="50"/>
  <c r="D54" i="50"/>
  <c r="E53" i="50"/>
  <c r="D53" i="50"/>
  <c r="E52" i="50"/>
  <c r="H5" i="3" s="1"/>
  <c r="I35" i="50"/>
  <c r="F34" i="50"/>
  <c r="I34" i="50" s="1"/>
  <c r="F33" i="50"/>
  <c r="I33" i="50" s="1"/>
  <c r="F32" i="50"/>
  <c r="I32" i="50" s="1"/>
  <c r="F31" i="50"/>
  <c r="I31" i="50" s="1"/>
  <c r="F30" i="50"/>
  <c r="I30" i="50" s="1"/>
  <c r="F29" i="50"/>
  <c r="I29" i="50" s="1"/>
  <c r="F28" i="50"/>
  <c r="I28" i="50" s="1"/>
  <c r="F27" i="50"/>
  <c r="I27" i="50" s="1"/>
  <c r="H25" i="50"/>
  <c r="H38" i="50" s="1"/>
  <c r="F23" i="50"/>
  <c r="I23" i="50" s="1"/>
  <c r="F22" i="50"/>
  <c r="I22" i="50" s="1"/>
  <c r="I25" i="50" s="1"/>
  <c r="I19" i="50"/>
  <c r="F18" i="50"/>
  <c r="I18" i="50" s="1"/>
  <c r="F17" i="50"/>
  <c r="I17" i="50" s="1"/>
  <c r="F16" i="50"/>
  <c r="I16" i="50" s="1"/>
  <c r="F15" i="50"/>
  <c r="I15" i="50" s="1"/>
  <c r="I36" i="50" l="1"/>
  <c r="I20" i="50"/>
  <c r="I187" i="25"/>
  <c r="F62" i="50"/>
  <c r="H15" i="3"/>
  <c r="F65" i="50"/>
  <c r="H18" i="3"/>
  <c r="F56" i="50"/>
  <c r="H9" i="3"/>
  <c r="F74" i="50"/>
  <c r="H27" i="3"/>
  <c r="F58" i="50"/>
  <c r="H11" i="3"/>
  <c r="F59" i="50"/>
  <c r="H12" i="3"/>
  <c r="F54" i="50"/>
  <c r="H7" i="3"/>
  <c r="F60" i="50"/>
  <c r="H13" i="3"/>
  <c r="F71" i="50"/>
  <c r="H24" i="3"/>
  <c r="F73" i="50"/>
  <c r="H26" i="3"/>
  <c r="F64" i="50"/>
  <c r="H17" i="3"/>
  <c r="F70" i="50"/>
  <c r="H23" i="3"/>
  <c r="F66" i="50"/>
  <c r="H19" i="3"/>
  <c r="F68" i="50"/>
  <c r="H21" i="3"/>
  <c r="F69" i="50"/>
  <c r="F55" i="50"/>
  <c r="H8" i="3"/>
  <c r="F72" i="50"/>
  <c r="H25" i="3"/>
  <c r="F57" i="50"/>
  <c r="H10" i="3"/>
  <c r="F63" i="50"/>
  <c r="H16" i="3"/>
  <c r="F53" i="50"/>
  <c r="H6" i="3"/>
  <c r="F61" i="50"/>
  <c r="F67" i="50"/>
  <c r="H20" i="3"/>
  <c r="E75" i="50"/>
  <c r="D75" i="50"/>
  <c r="F52" i="50"/>
  <c r="H69" i="7"/>
  <c r="H71" i="7" s="1"/>
  <c r="H55" i="46"/>
  <c r="I73" i="21"/>
  <c r="I38" i="50" l="1"/>
  <c r="F75" i="50"/>
  <c r="I67" i="21" l="1"/>
  <c r="I68" i="21"/>
  <c r="I69" i="21"/>
  <c r="I70" i="21"/>
  <c r="I71" i="21"/>
  <c r="I72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F29" i="21"/>
  <c r="I29" i="21" s="1"/>
  <c r="I33" i="21"/>
  <c r="I34" i="21"/>
  <c r="I35" i="21"/>
  <c r="I36" i="21"/>
  <c r="I38" i="21"/>
  <c r="I39" i="21"/>
  <c r="I40" i="21"/>
  <c r="I41" i="21"/>
  <c r="I42" i="21"/>
  <c r="I43" i="21"/>
  <c r="I44" i="21"/>
  <c r="I45" i="21"/>
  <c r="B96" i="21"/>
  <c r="I37" i="21" l="1"/>
  <c r="B104" i="21"/>
  <c r="B95" i="21"/>
  <c r="F127" i="25"/>
  <c r="I127" i="25" s="1"/>
  <c r="F147" i="25"/>
  <c r="I147" i="25" s="1"/>
  <c r="F17" i="25"/>
  <c r="I17" i="25" s="1"/>
  <c r="F16" i="25"/>
  <c r="I16" i="25" s="1"/>
  <c r="F15" i="25"/>
  <c r="I15" i="25" s="1"/>
  <c r="F20" i="25"/>
  <c r="I20" i="25" s="1"/>
  <c r="F21" i="25"/>
  <c r="I21" i="25" s="1"/>
  <c r="F22" i="25"/>
  <c r="I22" i="25" s="1"/>
  <c r="F23" i="25"/>
  <c r="F24" i="25"/>
  <c r="I24" i="25" s="1"/>
  <c r="F25" i="25"/>
  <c r="I25" i="25" s="1"/>
  <c r="F141" i="25"/>
  <c r="I141" i="25" s="1"/>
  <c r="I107" i="17"/>
  <c r="F13" i="24"/>
  <c r="F14" i="24"/>
  <c r="F15" i="24"/>
  <c r="I38" i="23"/>
  <c r="H57" i="46"/>
  <c r="E51" i="5"/>
  <c r="H22" i="5"/>
  <c r="F16" i="21"/>
  <c r="F17" i="21"/>
  <c r="F18" i="21"/>
  <c r="F19" i="21"/>
  <c r="F20" i="21"/>
  <c r="F21" i="21"/>
  <c r="I21" i="21" s="1"/>
  <c r="F22" i="21"/>
  <c r="F23" i="21"/>
  <c r="F24" i="21"/>
  <c r="F25" i="21"/>
  <c r="F26" i="21"/>
  <c r="F27" i="21"/>
  <c r="I27" i="21" s="1"/>
  <c r="F28" i="21"/>
  <c r="I28" i="21" s="1"/>
  <c r="I149" i="25" l="1"/>
  <c r="H189" i="25"/>
  <c r="B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I24" i="48"/>
  <c r="I25" i="48" s="1"/>
  <c r="I27" i="48" s="1"/>
  <c r="F42" i="48" l="1"/>
  <c r="E6" i="3"/>
  <c r="F55" i="48"/>
  <c r="E19" i="3"/>
  <c r="F44" i="48"/>
  <c r="E8" i="3"/>
  <c r="F56" i="48"/>
  <c r="E20" i="3"/>
  <c r="F62" i="48"/>
  <c r="E26" i="3"/>
  <c r="F49" i="48"/>
  <c r="E13" i="3"/>
  <c r="F51" i="48"/>
  <c r="E15" i="3"/>
  <c r="F63" i="48"/>
  <c r="E27" i="3"/>
  <c r="F61" i="48"/>
  <c r="E25" i="3"/>
  <c r="F57" i="48"/>
  <c r="E21" i="3"/>
  <c r="F48" i="48"/>
  <c r="E12" i="3"/>
  <c r="F50" i="48"/>
  <c r="E14" i="3"/>
  <c r="F58" i="48"/>
  <c r="E22" i="3"/>
  <c r="F60" i="48"/>
  <c r="E24" i="3"/>
  <c r="F52" i="48"/>
  <c r="E16" i="3"/>
  <c r="F54" i="48"/>
  <c r="E18" i="3"/>
  <c r="F43" i="48"/>
  <c r="E7" i="3"/>
  <c r="F45" i="48"/>
  <c r="E9" i="3"/>
  <c r="F46" i="48"/>
  <c r="E10" i="3"/>
  <c r="E5" i="3"/>
  <c r="F47" i="48"/>
  <c r="E11" i="3"/>
  <c r="F53" i="48"/>
  <c r="E17" i="3"/>
  <c r="F59" i="48"/>
  <c r="E23" i="3"/>
  <c r="D64" i="48"/>
  <c r="F64" i="48" l="1"/>
  <c r="I26" i="21" l="1"/>
  <c r="I25" i="21"/>
  <c r="I24" i="21"/>
  <c r="I23" i="21"/>
  <c r="I22" i="21"/>
  <c r="I20" i="21"/>
  <c r="I19" i="21"/>
  <c r="I18" i="21"/>
  <c r="I17" i="21"/>
  <c r="I16" i="21"/>
  <c r="F15" i="21"/>
  <c r="I15" i="21" s="1"/>
  <c r="I74" i="21" l="1"/>
  <c r="I76" i="21" s="1"/>
  <c r="F78" i="42" l="1"/>
  <c r="I78" i="42" s="1"/>
  <c r="F77" i="42"/>
  <c r="I77" i="42" s="1"/>
  <c r="F76" i="42"/>
  <c r="I76" i="42" s="1"/>
  <c r="F75" i="42"/>
  <c r="I75" i="42" s="1"/>
  <c r="F84" i="42"/>
  <c r="I84" i="42" s="1"/>
  <c r="F58" i="42"/>
  <c r="I58" i="42" s="1"/>
  <c r="F57" i="42"/>
  <c r="I57" i="42" s="1"/>
  <c r="F74" i="42"/>
  <c r="I74" i="42" s="1"/>
  <c r="F73" i="42"/>
  <c r="I73" i="42" s="1"/>
  <c r="F40" i="42"/>
  <c r="I40" i="42" s="1"/>
  <c r="F56" i="42"/>
  <c r="I56" i="42" s="1"/>
  <c r="F55" i="42"/>
  <c r="I55" i="42" s="1"/>
  <c r="F54" i="42"/>
  <c r="I54" i="42" s="1"/>
  <c r="F39" i="42"/>
  <c r="I39" i="42" s="1"/>
  <c r="F72" i="42"/>
  <c r="I72" i="42" s="1"/>
  <c r="F38" i="42"/>
  <c r="I38" i="42" s="1"/>
  <c r="F37" i="42"/>
  <c r="I37" i="42" s="1"/>
  <c r="F71" i="42"/>
  <c r="I71" i="42" s="1"/>
  <c r="F70" i="42"/>
  <c r="I70" i="42" s="1"/>
  <c r="F53" i="42"/>
  <c r="I53" i="42" s="1"/>
  <c r="F52" i="42"/>
  <c r="I52" i="42" s="1"/>
  <c r="F69" i="42"/>
  <c r="I69" i="42" s="1"/>
  <c r="F83" i="42"/>
  <c r="I83" i="42" s="1"/>
  <c r="F51" i="42"/>
  <c r="I51" i="42" s="1"/>
  <c r="F36" i="42"/>
  <c r="I36" i="42" s="1"/>
  <c r="F50" i="42"/>
  <c r="I50" i="42" s="1"/>
  <c r="F35" i="42"/>
  <c r="I35" i="42" s="1"/>
  <c r="F34" i="42"/>
  <c r="I34" i="42" s="1"/>
  <c r="F33" i="42"/>
  <c r="I33" i="42" s="1"/>
  <c r="F32" i="42"/>
  <c r="I32" i="42" s="1"/>
  <c r="F31" i="42"/>
  <c r="I31" i="42" s="1"/>
  <c r="F30" i="42"/>
  <c r="I30" i="42" s="1"/>
  <c r="F29" i="42"/>
  <c r="I29" i="42" s="1"/>
  <c r="F82" i="42"/>
  <c r="I82" i="42" s="1"/>
  <c r="F28" i="42"/>
  <c r="I28" i="42" s="1"/>
  <c r="F27" i="42"/>
  <c r="I27" i="42" s="1"/>
  <c r="F26" i="42"/>
  <c r="I26" i="42" s="1"/>
  <c r="F25" i="42"/>
  <c r="I25" i="42" s="1"/>
  <c r="F24" i="42"/>
  <c r="I24" i="42" s="1"/>
  <c r="F49" i="42"/>
  <c r="I49" i="42" s="1"/>
  <c r="F68" i="42"/>
  <c r="I68" i="42" s="1"/>
  <c r="F23" i="42"/>
  <c r="I23" i="42" s="1"/>
  <c r="F22" i="42"/>
  <c r="I22" i="42" s="1"/>
  <c r="F21" i="42"/>
  <c r="I21" i="42" s="1"/>
  <c r="F81" i="42"/>
  <c r="I81" i="42" s="1"/>
  <c r="F48" i="42"/>
  <c r="I48" i="42" s="1"/>
  <c r="F47" i="42"/>
  <c r="I47" i="42" s="1"/>
  <c r="F46" i="42"/>
  <c r="I46" i="42" s="1"/>
  <c r="F45" i="42"/>
  <c r="I45" i="42" s="1"/>
  <c r="F44" i="42"/>
  <c r="I44" i="42" s="1"/>
  <c r="F80" i="42"/>
  <c r="I80" i="42" s="1"/>
  <c r="F79" i="42"/>
  <c r="I79" i="42" s="1"/>
  <c r="F20" i="42"/>
  <c r="I20" i="42" s="1"/>
  <c r="F67" i="42"/>
  <c r="I67" i="42" s="1"/>
  <c r="F19" i="42"/>
  <c r="I19" i="42" s="1"/>
  <c r="F18" i="42"/>
  <c r="I18" i="42" s="1"/>
  <c r="F43" i="42"/>
  <c r="I43" i="42" s="1"/>
  <c r="F66" i="42"/>
  <c r="I66" i="42" s="1"/>
  <c r="F17" i="42"/>
  <c r="I17" i="42" s="1"/>
  <c r="F65" i="42"/>
  <c r="I65" i="42" s="1"/>
  <c r="F64" i="42"/>
  <c r="I64" i="42" s="1"/>
  <c r="F16" i="42"/>
  <c r="I16" i="42" s="1"/>
  <c r="F63" i="42"/>
  <c r="I63" i="42" s="1"/>
  <c r="F42" i="42"/>
  <c r="I42" i="42" s="1"/>
  <c r="F62" i="42"/>
  <c r="I62" i="42" s="1"/>
  <c r="F15" i="42"/>
  <c r="I15" i="42" s="1"/>
  <c r="F61" i="42"/>
  <c r="I61" i="42" s="1"/>
  <c r="F41" i="42"/>
  <c r="I41" i="42" s="1"/>
  <c r="F60" i="42"/>
  <c r="I60" i="42" s="1"/>
  <c r="F59" i="42"/>
  <c r="I59" i="42" s="1"/>
  <c r="F16" i="46"/>
  <c r="I16" i="46" s="1"/>
  <c r="F17" i="46"/>
  <c r="I17" i="46" s="1"/>
  <c r="F18" i="46"/>
  <c r="I18" i="46" s="1"/>
  <c r="F19" i="46"/>
  <c r="I19" i="46" s="1"/>
  <c r="F20" i="46"/>
  <c r="I20" i="46" s="1"/>
  <c r="F21" i="46"/>
  <c r="I21" i="46" s="1"/>
  <c r="F22" i="46"/>
  <c r="I22" i="46" s="1"/>
  <c r="F23" i="46"/>
  <c r="I23" i="46" s="1"/>
  <c r="F24" i="46"/>
  <c r="I24" i="46" s="1"/>
  <c r="F25" i="46"/>
  <c r="I25" i="46" s="1"/>
  <c r="F26" i="46"/>
  <c r="I26" i="46" s="1"/>
  <c r="F27" i="46"/>
  <c r="I27" i="46" s="1"/>
  <c r="F28" i="46"/>
  <c r="I28" i="46" s="1"/>
  <c r="F29" i="46"/>
  <c r="I29" i="46" s="1"/>
  <c r="F30" i="46"/>
  <c r="I30" i="46" s="1"/>
  <c r="F31" i="46"/>
  <c r="I31" i="46" s="1"/>
  <c r="F33" i="46"/>
  <c r="I33" i="46" s="1"/>
  <c r="F34" i="46"/>
  <c r="I34" i="46" s="1"/>
  <c r="F35" i="46"/>
  <c r="I35" i="46" s="1"/>
  <c r="F36" i="46"/>
  <c r="I36" i="46" s="1"/>
  <c r="F37" i="46"/>
  <c r="I37" i="46" s="1"/>
  <c r="F38" i="46"/>
  <c r="I38" i="46" s="1"/>
  <c r="F39" i="46"/>
  <c r="I39" i="46" s="1"/>
  <c r="F40" i="46"/>
  <c r="I40" i="46" s="1"/>
  <c r="F41" i="46"/>
  <c r="I41" i="46" s="1"/>
  <c r="F42" i="46"/>
  <c r="I42" i="46" s="1"/>
  <c r="F43" i="46"/>
  <c r="I43" i="46" s="1"/>
  <c r="F44" i="46"/>
  <c r="I44" i="46" s="1"/>
  <c r="F45" i="46"/>
  <c r="I45" i="46" s="1"/>
  <c r="F46" i="46"/>
  <c r="I46" i="46" s="1"/>
  <c r="F47" i="46"/>
  <c r="I47" i="46" s="1"/>
  <c r="F48" i="46"/>
  <c r="I48" i="46" s="1"/>
  <c r="F49" i="46"/>
  <c r="I49" i="46" s="1"/>
  <c r="F50" i="46"/>
  <c r="I50" i="46" s="1"/>
  <c r="F51" i="46"/>
  <c r="I51" i="46" s="1"/>
  <c r="F52" i="46"/>
  <c r="I52" i="46" s="1"/>
  <c r="F53" i="46"/>
  <c r="I53" i="46" s="1"/>
  <c r="F15" i="47"/>
  <c r="B94" i="46"/>
  <c r="E93" i="46"/>
  <c r="D93" i="46"/>
  <c r="E92" i="46"/>
  <c r="D92" i="46"/>
  <c r="E91" i="46"/>
  <c r="D91" i="46"/>
  <c r="E90" i="46"/>
  <c r="D90" i="46"/>
  <c r="E89" i="46"/>
  <c r="D89" i="46"/>
  <c r="E88" i="46"/>
  <c r="D88" i="46"/>
  <c r="E87" i="46"/>
  <c r="D87" i="46"/>
  <c r="E86" i="46"/>
  <c r="D86" i="46"/>
  <c r="E85" i="46"/>
  <c r="D85" i="46"/>
  <c r="E84" i="46"/>
  <c r="D84" i="46"/>
  <c r="E83" i="46"/>
  <c r="D83" i="46"/>
  <c r="E82" i="46"/>
  <c r="D82" i="46"/>
  <c r="E81" i="46"/>
  <c r="D81" i="46"/>
  <c r="E80" i="46"/>
  <c r="D80" i="46"/>
  <c r="E79" i="46"/>
  <c r="D79" i="46"/>
  <c r="E78" i="46"/>
  <c r="D78" i="46"/>
  <c r="E77" i="46"/>
  <c r="D77" i="46"/>
  <c r="E76" i="46"/>
  <c r="D76" i="46"/>
  <c r="E75" i="46"/>
  <c r="D75" i="46"/>
  <c r="E74" i="46"/>
  <c r="D74" i="46"/>
  <c r="E73" i="46"/>
  <c r="D73" i="46"/>
  <c r="E72" i="46"/>
  <c r="D72" i="46"/>
  <c r="E71" i="46"/>
  <c r="I5" i="3" s="1"/>
  <c r="I54" i="46"/>
  <c r="F15" i="46"/>
  <c r="I15" i="46" s="1"/>
  <c r="I55" i="46" l="1"/>
  <c r="I57" i="46" s="1"/>
  <c r="F73" i="46"/>
  <c r="I7" i="3"/>
  <c r="F74" i="46"/>
  <c r="I8" i="3"/>
  <c r="F81" i="46"/>
  <c r="I15" i="3"/>
  <c r="F84" i="46"/>
  <c r="I18" i="3"/>
  <c r="F91" i="46"/>
  <c r="I25" i="3"/>
  <c r="F86" i="46"/>
  <c r="I20" i="3"/>
  <c r="F87" i="46"/>
  <c r="I21" i="3"/>
  <c r="F76" i="46"/>
  <c r="I10" i="3"/>
  <c r="F88" i="46"/>
  <c r="I22" i="3"/>
  <c r="F90" i="46"/>
  <c r="I24" i="3"/>
  <c r="F85" i="46"/>
  <c r="I19" i="3"/>
  <c r="F92" i="46"/>
  <c r="I26" i="3"/>
  <c r="F75" i="46"/>
  <c r="I9" i="3"/>
  <c r="F93" i="46"/>
  <c r="I27" i="3"/>
  <c r="F82" i="46"/>
  <c r="I16" i="3"/>
  <c r="F79" i="46"/>
  <c r="I13" i="3"/>
  <c r="F80" i="46"/>
  <c r="I14" i="3"/>
  <c r="F77" i="46"/>
  <c r="I11" i="3"/>
  <c r="F89" i="46"/>
  <c r="I23" i="3"/>
  <c r="F72" i="46"/>
  <c r="I6" i="3"/>
  <c r="F83" i="46"/>
  <c r="I17" i="3"/>
  <c r="F78" i="46"/>
  <c r="I12" i="3"/>
  <c r="D94" i="46"/>
  <c r="E94" i="46"/>
  <c r="F71" i="46"/>
  <c r="E175" i="44"/>
  <c r="D175" i="44"/>
  <c r="E174" i="44"/>
  <c r="D174" i="44"/>
  <c r="E173" i="44"/>
  <c r="D173" i="44"/>
  <c r="E172" i="44"/>
  <c r="D172" i="44"/>
  <c r="E171" i="44"/>
  <c r="D171" i="44"/>
  <c r="E170" i="44"/>
  <c r="D170" i="44"/>
  <c r="E169" i="44"/>
  <c r="D169" i="44"/>
  <c r="E168" i="44"/>
  <c r="D168" i="44"/>
  <c r="E167" i="44"/>
  <c r="D167" i="44"/>
  <c r="E166" i="44"/>
  <c r="D166" i="44"/>
  <c r="E165" i="44"/>
  <c r="D165" i="44"/>
  <c r="E164" i="44"/>
  <c r="D164" i="44"/>
  <c r="E163" i="44"/>
  <c r="D163" i="44"/>
  <c r="E162" i="44"/>
  <c r="D162" i="44"/>
  <c r="E161" i="44"/>
  <c r="D161" i="44"/>
  <c r="E160" i="44"/>
  <c r="D160" i="44"/>
  <c r="E159" i="44"/>
  <c r="D159" i="44"/>
  <c r="E158" i="44"/>
  <c r="D158" i="44"/>
  <c r="E157" i="44"/>
  <c r="D157" i="44"/>
  <c r="E156" i="44"/>
  <c r="D156" i="44"/>
  <c r="E155" i="44"/>
  <c r="D155" i="44"/>
  <c r="E154" i="44"/>
  <c r="D154" i="44"/>
  <c r="E153" i="44"/>
  <c r="F94" i="46" l="1"/>
  <c r="F159" i="44"/>
  <c r="AB11" i="3"/>
  <c r="F154" i="44"/>
  <c r="AB6" i="3"/>
  <c r="F166" i="44"/>
  <c r="AB18" i="3"/>
  <c r="F167" i="44"/>
  <c r="AB19" i="3"/>
  <c r="F156" i="44"/>
  <c r="AB8" i="3"/>
  <c r="F162" i="44"/>
  <c r="AB14" i="3"/>
  <c r="F168" i="44"/>
  <c r="AB20" i="3"/>
  <c r="F174" i="44"/>
  <c r="AB26" i="3"/>
  <c r="F153" i="44"/>
  <c r="AB5" i="3"/>
  <c r="F171" i="44"/>
  <c r="AB23" i="3"/>
  <c r="F172" i="44"/>
  <c r="AB24" i="3"/>
  <c r="F161" i="44"/>
  <c r="AB13" i="3"/>
  <c r="F157" i="44"/>
  <c r="AB9" i="3"/>
  <c r="F163" i="44"/>
  <c r="AB15" i="3"/>
  <c r="F169" i="44"/>
  <c r="AB21" i="3"/>
  <c r="F175" i="44"/>
  <c r="AB27" i="3"/>
  <c r="F165" i="44"/>
  <c r="AB17" i="3"/>
  <c r="F160" i="44"/>
  <c r="AB12" i="3"/>
  <c r="F155" i="44"/>
  <c r="AB7" i="3"/>
  <c r="F173" i="44"/>
  <c r="AB25" i="3"/>
  <c r="F158" i="44"/>
  <c r="AB10" i="3"/>
  <c r="F164" i="44"/>
  <c r="AB16" i="3"/>
  <c r="F170" i="44"/>
  <c r="AB22" i="3"/>
  <c r="I106" i="17"/>
  <c r="F105" i="17"/>
  <c r="I105" i="17" s="1"/>
  <c r="F104" i="17"/>
  <c r="I104" i="17" s="1"/>
  <c r="F103" i="17"/>
  <c r="I103" i="17" s="1"/>
  <c r="F102" i="17"/>
  <c r="I102" i="17" s="1"/>
  <c r="F101" i="17"/>
  <c r="I101" i="17" s="1"/>
  <c r="F100" i="17"/>
  <c r="I100" i="17" s="1"/>
  <c r="F99" i="17"/>
  <c r="I99" i="17" s="1"/>
  <c r="F98" i="17"/>
  <c r="I98" i="17" s="1"/>
  <c r="F97" i="17"/>
  <c r="I97" i="17" s="1"/>
  <c r="F96" i="17"/>
  <c r="I96" i="17" s="1"/>
  <c r="F95" i="17"/>
  <c r="I95" i="17" s="1"/>
  <c r="F94" i="17"/>
  <c r="I94" i="17" s="1"/>
  <c r="F93" i="17"/>
  <c r="I93" i="17" s="1"/>
  <c r="F92" i="17"/>
  <c r="I92" i="17" s="1"/>
  <c r="F91" i="17"/>
  <c r="I91" i="17" s="1"/>
  <c r="F90" i="17"/>
  <c r="I90" i="17" s="1"/>
  <c r="F89" i="17"/>
  <c r="I89" i="17" s="1"/>
  <c r="F88" i="17"/>
  <c r="I88" i="17" s="1"/>
  <c r="F87" i="17"/>
  <c r="I87" i="17" s="1"/>
  <c r="F86" i="17"/>
  <c r="I86" i="17" s="1"/>
  <c r="F85" i="17"/>
  <c r="I85" i="17" s="1"/>
  <c r="F84" i="17"/>
  <c r="I84" i="17" s="1"/>
  <c r="F83" i="17"/>
  <c r="I83" i="17" s="1"/>
  <c r="F82" i="17"/>
  <c r="I82" i="17" s="1"/>
  <c r="F81" i="17"/>
  <c r="I81" i="17" s="1"/>
  <c r="F80" i="17"/>
  <c r="I80" i="17" s="1"/>
  <c r="F79" i="17"/>
  <c r="I79" i="17" s="1"/>
  <c r="F78" i="17"/>
  <c r="I78" i="17" s="1"/>
  <c r="F77" i="17"/>
  <c r="I77" i="17" s="1"/>
  <c r="F76" i="17"/>
  <c r="I76" i="17" s="1"/>
  <c r="F75" i="17"/>
  <c r="I75" i="17" s="1"/>
  <c r="F74" i="17"/>
  <c r="I74" i="17" s="1"/>
  <c r="F73" i="17"/>
  <c r="I73" i="17" s="1"/>
  <c r="F72" i="17"/>
  <c r="I72" i="17" s="1"/>
  <c r="F71" i="17"/>
  <c r="I71" i="17" s="1"/>
  <c r="F70" i="17"/>
  <c r="I70" i="17" s="1"/>
  <c r="F69" i="17"/>
  <c r="I69" i="17" s="1"/>
  <c r="F68" i="17"/>
  <c r="I68" i="17" s="1"/>
  <c r="F67" i="17"/>
  <c r="I67" i="17" s="1"/>
  <c r="F66" i="17"/>
  <c r="I66" i="17" s="1"/>
  <c r="F65" i="17"/>
  <c r="I65" i="17" s="1"/>
  <c r="F64" i="17"/>
  <c r="I64" i="17" s="1"/>
  <c r="F63" i="17"/>
  <c r="I63" i="17" s="1"/>
  <c r="F62" i="17"/>
  <c r="I62" i="17" s="1"/>
  <c r="F61" i="17"/>
  <c r="I61" i="17" s="1"/>
  <c r="F60" i="17"/>
  <c r="I60" i="17" s="1"/>
  <c r="F59" i="17"/>
  <c r="I59" i="17" s="1"/>
  <c r="F58" i="17"/>
  <c r="I58" i="17" s="1"/>
  <c r="F57" i="17"/>
  <c r="I57" i="17" s="1"/>
  <c r="F56" i="17"/>
  <c r="I56" i="17" s="1"/>
  <c r="F55" i="17"/>
  <c r="I55" i="17" s="1"/>
  <c r="F54" i="17"/>
  <c r="I54" i="17" s="1"/>
  <c r="F53" i="17"/>
  <c r="I53" i="17" s="1"/>
  <c r="F52" i="17"/>
  <c r="I52" i="17" s="1"/>
  <c r="F51" i="17"/>
  <c r="I51" i="17" s="1"/>
  <c r="F50" i="17"/>
  <c r="I50" i="17" s="1"/>
  <c r="F49" i="17"/>
  <c r="I49" i="17" s="1"/>
  <c r="F48" i="17"/>
  <c r="I48" i="17" s="1"/>
  <c r="F47" i="17"/>
  <c r="I47" i="17" s="1"/>
  <c r="F46" i="17"/>
  <c r="I46" i="17" s="1"/>
  <c r="F45" i="17"/>
  <c r="I45" i="17" s="1"/>
  <c r="F44" i="17"/>
  <c r="I44" i="17" s="1"/>
  <c r="F43" i="17"/>
  <c r="I43" i="17" s="1"/>
  <c r="F42" i="17"/>
  <c r="I42" i="17" s="1"/>
  <c r="F41" i="17"/>
  <c r="I41" i="17" s="1"/>
  <c r="F40" i="17"/>
  <c r="I40" i="17" s="1"/>
  <c r="F39" i="17"/>
  <c r="I39" i="17" s="1"/>
  <c r="F38" i="17"/>
  <c r="I38" i="17" s="1"/>
  <c r="I108" i="17" l="1"/>
  <c r="F176" i="44"/>
  <c r="D176" i="44"/>
  <c r="E176" i="44" l="1"/>
  <c r="F37" i="25"/>
  <c r="I37" i="25" s="1"/>
  <c r="F38" i="25"/>
  <c r="I38" i="25" s="1"/>
  <c r="F40" i="25"/>
  <c r="I40" i="25" s="1"/>
  <c r="F41" i="25"/>
  <c r="I41" i="25" s="1"/>
  <c r="F36" i="25"/>
  <c r="I36" i="25" s="1"/>
  <c r="F35" i="25"/>
  <c r="I35" i="25" s="1"/>
  <c r="F30" i="25"/>
  <c r="I30" i="25" s="1"/>
  <c r="F31" i="25"/>
  <c r="I31" i="25" s="1"/>
  <c r="F29" i="25"/>
  <c r="I29" i="25" s="1"/>
  <c r="F33" i="25"/>
  <c r="I33" i="25" s="1"/>
  <c r="F32" i="25"/>
  <c r="I32" i="25" s="1"/>
  <c r="F130" i="25"/>
  <c r="I130" i="25" s="1"/>
  <c r="F135" i="25"/>
  <c r="I135" i="25" s="1"/>
  <c r="I43" i="25" l="1"/>
  <c r="F18" i="23"/>
  <c r="I18" i="23" s="1"/>
  <c r="F19" i="23"/>
  <c r="I19" i="23" s="1"/>
  <c r="F20" i="23"/>
  <c r="I20" i="23" s="1"/>
  <c r="F21" i="23"/>
  <c r="I21" i="23" s="1"/>
  <c r="F16" i="23"/>
  <c r="I16" i="23" s="1"/>
  <c r="F17" i="23"/>
  <c r="I17" i="23" s="1"/>
  <c r="F15" i="23"/>
  <c r="I15" i="23" s="1"/>
  <c r="F23" i="23"/>
  <c r="F35" i="23"/>
  <c r="I35" i="23" s="1"/>
  <c r="F37" i="23" l="1"/>
  <c r="I37" i="23" s="1"/>
  <c r="F36" i="23"/>
  <c r="I36" i="23" s="1"/>
  <c r="F34" i="23"/>
  <c r="I34" i="23" s="1"/>
  <c r="F33" i="23"/>
  <c r="I33" i="23" s="1"/>
  <c r="F32" i="23"/>
  <c r="I32" i="23" s="1"/>
  <c r="F28" i="23"/>
  <c r="I28" i="23" s="1"/>
  <c r="F27" i="23"/>
  <c r="I27" i="23" s="1"/>
  <c r="I30" i="23" s="1"/>
  <c r="I39" i="23" l="1"/>
  <c r="C15" i="43"/>
  <c r="B126" i="42"/>
  <c r="E125" i="42"/>
  <c r="D125" i="42"/>
  <c r="E124" i="42"/>
  <c r="D124" i="42"/>
  <c r="E123" i="42"/>
  <c r="D123" i="42"/>
  <c r="E122" i="42"/>
  <c r="D122" i="42"/>
  <c r="E121" i="42"/>
  <c r="D121" i="42"/>
  <c r="E120" i="42"/>
  <c r="D120" i="42"/>
  <c r="E119" i="42"/>
  <c r="D119" i="42"/>
  <c r="E118" i="42"/>
  <c r="D118" i="42"/>
  <c r="E117" i="42"/>
  <c r="D117" i="42"/>
  <c r="E116" i="42"/>
  <c r="D116" i="42"/>
  <c r="E115" i="42"/>
  <c r="D115" i="42"/>
  <c r="E114" i="42"/>
  <c r="D114" i="42"/>
  <c r="E113" i="42"/>
  <c r="D113" i="42"/>
  <c r="E112" i="42"/>
  <c r="D112" i="42"/>
  <c r="E111" i="42"/>
  <c r="D111" i="42"/>
  <c r="E110" i="42"/>
  <c r="D110" i="42"/>
  <c r="E109" i="42"/>
  <c r="D109" i="42"/>
  <c r="E108" i="42"/>
  <c r="D108" i="42"/>
  <c r="E107" i="42"/>
  <c r="D107" i="42"/>
  <c r="E106" i="42"/>
  <c r="D106" i="42"/>
  <c r="E105" i="42"/>
  <c r="D105" i="42"/>
  <c r="E104" i="42"/>
  <c r="D104" i="42"/>
  <c r="E103" i="42"/>
  <c r="I86" i="42"/>
  <c r="I87" i="42" s="1"/>
  <c r="I89" i="42" l="1"/>
  <c r="T25" i="3"/>
  <c r="F123" i="42"/>
  <c r="T24" i="3"/>
  <c r="F122" i="42"/>
  <c r="T10" i="3"/>
  <c r="F108" i="42"/>
  <c r="T12" i="3"/>
  <c r="F110" i="42"/>
  <c r="T14" i="3"/>
  <c r="F112" i="42"/>
  <c r="T16" i="3"/>
  <c r="F114" i="42"/>
  <c r="T18" i="3"/>
  <c r="F116" i="42"/>
  <c r="T20" i="3"/>
  <c r="F118" i="42"/>
  <c r="T22" i="3"/>
  <c r="F120" i="42"/>
  <c r="T26" i="3"/>
  <c r="F124" i="42"/>
  <c r="T6" i="3"/>
  <c r="F104" i="42"/>
  <c r="T8" i="3"/>
  <c r="F106" i="42"/>
  <c r="T5" i="3"/>
  <c r="F103" i="42"/>
  <c r="T7" i="3"/>
  <c r="F105" i="42"/>
  <c r="T9" i="3"/>
  <c r="F107" i="42"/>
  <c r="T11" i="3"/>
  <c r="F109" i="42"/>
  <c r="T13" i="3"/>
  <c r="F111" i="42"/>
  <c r="T15" i="3"/>
  <c r="F113" i="42"/>
  <c r="T17" i="3"/>
  <c r="F115" i="42"/>
  <c r="T19" i="3"/>
  <c r="F117" i="42"/>
  <c r="T21" i="3"/>
  <c r="F119" i="42"/>
  <c r="T23" i="3"/>
  <c r="F121" i="42"/>
  <c r="T27" i="3"/>
  <c r="F125" i="42"/>
  <c r="D126" i="42"/>
  <c r="E126" i="42"/>
  <c r="F19" i="33"/>
  <c r="I19" i="33" s="1"/>
  <c r="F33" i="33"/>
  <c r="F34" i="33"/>
  <c r="F35" i="33"/>
  <c r="F126" i="42" l="1"/>
  <c r="F50" i="7" l="1"/>
  <c r="I50" i="7" s="1"/>
  <c r="C20" i="38" l="1"/>
  <c r="F20" i="38"/>
  <c r="F65" i="37"/>
  <c r="B65" i="37"/>
  <c r="E64" i="37"/>
  <c r="R27" i="3" s="1"/>
  <c r="D64" i="37"/>
  <c r="E63" i="37"/>
  <c r="R26" i="3" s="1"/>
  <c r="D63" i="37"/>
  <c r="E62" i="37"/>
  <c r="R25" i="3" s="1"/>
  <c r="D62" i="37"/>
  <c r="E61" i="37"/>
  <c r="R24" i="3" s="1"/>
  <c r="D61" i="37"/>
  <c r="E60" i="37"/>
  <c r="R23" i="3" s="1"/>
  <c r="D60" i="37"/>
  <c r="E59" i="37"/>
  <c r="R22" i="3" s="1"/>
  <c r="D59" i="37"/>
  <c r="E58" i="37"/>
  <c r="R21" i="3" s="1"/>
  <c r="D58" i="37"/>
  <c r="E57" i="37"/>
  <c r="R20" i="3" s="1"/>
  <c r="D57" i="37"/>
  <c r="E56" i="37"/>
  <c r="R19" i="3" s="1"/>
  <c r="D56" i="37"/>
  <c r="E55" i="37"/>
  <c r="R18" i="3" s="1"/>
  <c r="D55" i="37"/>
  <c r="E54" i="37"/>
  <c r="R17" i="3" s="1"/>
  <c r="D54" i="37"/>
  <c r="E53" i="37"/>
  <c r="R16" i="3" s="1"/>
  <c r="D53" i="37"/>
  <c r="E52" i="37"/>
  <c r="R15" i="3" s="1"/>
  <c r="D52" i="37"/>
  <c r="E51" i="37"/>
  <c r="R14" i="3" s="1"/>
  <c r="D51" i="37"/>
  <c r="E50" i="37"/>
  <c r="R13" i="3" s="1"/>
  <c r="D50" i="37"/>
  <c r="E49" i="37"/>
  <c r="R12" i="3" s="1"/>
  <c r="D49" i="37"/>
  <c r="E48" i="37"/>
  <c r="R11" i="3" s="1"/>
  <c r="D48" i="37"/>
  <c r="E47" i="37"/>
  <c r="R10" i="3" s="1"/>
  <c r="D47" i="37"/>
  <c r="E46" i="37"/>
  <c r="R9" i="3" s="1"/>
  <c r="D46" i="37"/>
  <c r="E45" i="37"/>
  <c r="R8" i="3" s="1"/>
  <c r="D45" i="37"/>
  <c r="E44" i="37"/>
  <c r="R7" i="3" s="1"/>
  <c r="D44" i="37"/>
  <c r="E43" i="37"/>
  <c r="R6" i="3" s="1"/>
  <c r="D43" i="37"/>
  <c r="E42" i="37"/>
  <c r="R5" i="3" s="1"/>
  <c r="H28" i="37"/>
  <c r="F15" i="37"/>
  <c r="I15" i="37" s="1"/>
  <c r="I26" i="37" s="1"/>
  <c r="I28" i="37" l="1"/>
  <c r="D65" i="37"/>
  <c r="E65" i="37"/>
  <c r="F13" i="34"/>
  <c r="F14" i="34" s="1"/>
  <c r="I34" i="33"/>
  <c r="I35" i="33"/>
  <c r="F51" i="25" l="1"/>
  <c r="I51" i="25" s="1"/>
  <c r="F52" i="25"/>
  <c r="I52" i="25" s="1"/>
  <c r="F55" i="25"/>
  <c r="I55" i="25" s="1"/>
  <c r="F50" i="25"/>
  <c r="I50" i="25" s="1"/>
  <c r="I59" i="25"/>
  <c r="F49" i="25"/>
  <c r="I49" i="25" s="1"/>
  <c r="F48" i="25"/>
  <c r="I48" i="25" s="1"/>
  <c r="I60" i="25" l="1"/>
  <c r="F131" i="25"/>
  <c r="I131" i="25" s="1"/>
  <c r="F129" i="25"/>
  <c r="I129" i="25" s="1"/>
  <c r="F118" i="25" l="1"/>
  <c r="I124" i="25"/>
  <c r="F120" i="25"/>
  <c r="I120" i="25" s="1"/>
  <c r="I118" i="25" l="1"/>
  <c r="I125" i="25" s="1"/>
  <c r="I33" i="33"/>
  <c r="B82" i="33"/>
  <c r="E81" i="33"/>
  <c r="Z27" i="3" s="1"/>
  <c r="D81" i="33"/>
  <c r="E80" i="33"/>
  <c r="Z26" i="3" s="1"/>
  <c r="D80" i="33"/>
  <c r="E79" i="33"/>
  <c r="Z25" i="3" s="1"/>
  <c r="D79" i="33"/>
  <c r="E78" i="33"/>
  <c r="Z24" i="3" s="1"/>
  <c r="D78" i="33"/>
  <c r="E77" i="33"/>
  <c r="D77" i="33"/>
  <c r="E76" i="33"/>
  <c r="Z22" i="3" s="1"/>
  <c r="D76" i="33"/>
  <c r="E75" i="33"/>
  <c r="Z21" i="3" s="1"/>
  <c r="D75" i="33"/>
  <c r="E74" i="33"/>
  <c r="Z20" i="3" s="1"/>
  <c r="D74" i="33"/>
  <c r="E73" i="33"/>
  <c r="Z19" i="3" s="1"/>
  <c r="D73" i="33"/>
  <c r="E72" i="33"/>
  <c r="Z18" i="3" s="1"/>
  <c r="D72" i="33"/>
  <c r="E71" i="33"/>
  <c r="D71" i="33"/>
  <c r="E70" i="33"/>
  <c r="Z16" i="3" s="1"/>
  <c r="D70" i="33"/>
  <c r="E69" i="33"/>
  <c r="Z15" i="3" s="1"/>
  <c r="D69" i="33"/>
  <c r="E68" i="33"/>
  <c r="D68" i="33"/>
  <c r="E67" i="33"/>
  <c r="Z13" i="3" s="1"/>
  <c r="D67" i="33"/>
  <c r="E66" i="33"/>
  <c r="Z12" i="3" s="1"/>
  <c r="D66" i="33"/>
  <c r="E65" i="33"/>
  <c r="D65" i="33"/>
  <c r="E64" i="33"/>
  <c r="D64" i="33"/>
  <c r="E63" i="33"/>
  <c r="D63" i="33"/>
  <c r="E62" i="33"/>
  <c r="Z8" i="3" s="1"/>
  <c r="D62" i="33"/>
  <c r="E61" i="33"/>
  <c r="Z7" i="3" s="1"/>
  <c r="D61" i="33"/>
  <c r="E60" i="33"/>
  <c r="Z6" i="3" s="1"/>
  <c r="D60" i="33"/>
  <c r="E59" i="33"/>
  <c r="Z5" i="3" s="1"/>
  <c r="I42" i="33"/>
  <c r="F16" i="17"/>
  <c r="I16" i="17" s="1"/>
  <c r="C19" i="32"/>
  <c r="F18" i="32"/>
  <c r="I43" i="33" l="1"/>
  <c r="I45" i="33" s="1"/>
  <c r="Z14" i="3"/>
  <c r="F68" i="33"/>
  <c r="Z9" i="3"/>
  <c r="F63" i="33"/>
  <c r="Z23" i="3"/>
  <c r="F77" i="33"/>
  <c r="Z10" i="3"/>
  <c r="F64" i="33"/>
  <c r="Z11" i="3"/>
  <c r="F65" i="33"/>
  <c r="Z17" i="3"/>
  <c r="F71" i="33"/>
  <c r="F19" i="32"/>
  <c r="D82" i="33"/>
  <c r="E82" i="33"/>
  <c r="B75" i="29"/>
  <c r="E74" i="29"/>
  <c r="D74" i="29"/>
  <c r="E73" i="29"/>
  <c r="D73" i="29"/>
  <c r="E72" i="29"/>
  <c r="D72" i="29"/>
  <c r="E71" i="29"/>
  <c r="D71" i="29"/>
  <c r="E70" i="29"/>
  <c r="D70" i="29"/>
  <c r="E69" i="29"/>
  <c r="D69" i="29"/>
  <c r="E68" i="29"/>
  <c r="D68" i="29"/>
  <c r="E67" i="29"/>
  <c r="D67" i="29"/>
  <c r="E66" i="29"/>
  <c r="D66" i="29"/>
  <c r="E65" i="29"/>
  <c r="D65" i="29"/>
  <c r="D64" i="29"/>
  <c r="E63" i="29"/>
  <c r="D63" i="29"/>
  <c r="E62" i="29"/>
  <c r="D62" i="29"/>
  <c r="E61" i="29"/>
  <c r="D61" i="29"/>
  <c r="E60" i="29"/>
  <c r="D60" i="29"/>
  <c r="E59" i="29"/>
  <c r="D59" i="29"/>
  <c r="E58" i="29"/>
  <c r="D58" i="29"/>
  <c r="E57" i="29"/>
  <c r="D57" i="29"/>
  <c r="E56" i="29"/>
  <c r="D56" i="29"/>
  <c r="E55" i="29"/>
  <c r="D55" i="29"/>
  <c r="E54" i="29"/>
  <c r="D54" i="29"/>
  <c r="E53" i="29"/>
  <c r="D53" i="29"/>
  <c r="E52" i="29"/>
  <c r="Q5" i="3" s="1"/>
  <c r="H36" i="29"/>
  <c r="H38" i="29" s="1"/>
  <c r="I35" i="29"/>
  <c r="F25" i="17"/>
  <c r="I25" i="17" s="1"/>
  <c r="B226" i="25"/>
  <c r="E225" i="25"/>
  <c r="S27" i="3" s="1"/>
  <c r="D225" i="25"/>
  <c r="E224" i="25"/>
  <c r="S26" i="3" s="1"/>
  <c r="D224" i="25"/>
  <c r="E223" i="25"/>
  <c r="S25" i="3" s="1"/>
  <c r="D223" i="25"/>
  <c r="E222" i="25"/>
  <c r="F222" i="25" s="1"/>
  <c r="D222" i="25"/>
  <c r="E221" i="25"/>
  <c r="S23" i="3" s="1"/>
  <c r="D221" i="25"/>
  <c r="E220" i="25"/>
  <c r="S22" i="3" s="1"/>
  <c r="D220" i="25"/>
  <c r="E219" i="25"/>
  <c r="S21" i="3" s="1"/>
  <c r="D219" i="25"/>
  <c r="E218" i="25"/>
  <c r="F218" i="25" s="1"/>
  <c r="D218" i="25"/>
  <c r="E217" i="25"/>
  <c r="S19" i="3" s="1"/>
  <c r="D217" i="25"/>
  <c r="E216" i="25"/>
  <c r="S18" i="3" s="1"/>
  <c r="D216" i="25"/>
  <c r="E215" i="25"/>
  <c r="S17" i="3" s="1"/>
  <c r="D215" i="25"/>
  <c r="E214" i="25"/>
  <c r="F214" i="25" s="1"/>
  <c r="D214" i="25"/>
  <c r="E213" i="25"/>
  <c r="S15" i="3" s="1"/>
  <c r="D213" i="25"/>
  <c r="E212" i="25"/>
  <c r="S14" i="3" s="1"/>
  <c r="D212" i="25"/>
  <c r="E211" i="25"/>
  <c r="S13" i="3" s="1"/>
  <c r="D211" i="25"/>
  <c r="E210" i="25"/>
  <c r="F210" i="25" s="1"/>
  <c r="D210" i="25"/>
  <c r="E209" i="25"/>
  <c r="S11" i="3" s="1"/>
  <c r="D209" i="25"/>
  <c r="E208" i="25"/>
  <c r="S10" i="3" s="1"/>
  <c r="D208" i="25"/>
  <c r="E207" i="25"/>
  <c r="S9" i="3" s="1"/>
  <c r="D207" i="25"/>
  <c r="E206" i="25"/>
  <c r="F206" i="25" s="1"/>
  <c r="D206" i="25"/>
  <c r="E205" i="25"/>
  <c r="S7" i="3" s="1"/>
  <c r="D205" i="25"/>
  <c r="E204" i="25"/>
  <c r="S6" i="3" s="1"/>
  <c r="D204" i="25"/>
  <c r="E203" i="25"/>
  <c r="I173" i="25"/>
  <c r="F168" i="25"/>
  <c r="I168" i="25" s="1"/>
  <c r="I174" i="25" s="1"/>
  <c r="F137" i="25"/>
  <c r="I137" i="25" s="1"/>
  <c r="F136" i="25"/>
  <c r="I136" i="25" s="1"/>
  <c r="I139" i="25" s="1"/>
  <c r="F18" i="25"/>
  <c r="I18" i="25" s="1"/>
  <c r="I27" i="25" s="1"/>
  <c r="I189" i="25" l="1"/>
  <c r="F82" i="33"/>
  <c r="F203" i="25"/>
  <c r="S5" i="3"/>
  <c r="F55" i="29"/>
  <c r="Q8" i="3"/>
  <c r="F61" i="29"/>
  <c r="Q14" i="3"/>
  <c r="F67" i="29"/>
  <c r="Q20" i="3"/>
  <c r="F73" i="29"/>
  <c r="Q26" i="3"/>
  <c r="F56" i="29"/>
  <c r="Q9" i="3"/>
  <c r="F62" i="29"/>
  <c r="Q15" i="3"/>
  <c r="F68" i="29"/>
  <c r="Q21" i="3"/>
  <c r="F74" i="29"/>
  <c r="Q27" i="3"/>
  <c r="F57" i="29"/>
  <c r="Q10" i="3"/>
  <c r="F63" i="29"/>
  <c r="Q16" i="3"/>
  <c r="F69" i="29"/>
  <c r="Q22" i="3"/>
  <c r="F58" i="29"/>
  <c r="Q11" i="3"/>
  <c r="F64" i="29"/>
  <c r="Q17" i="3"/>
  <c r="F70" i="29"/>
  <c r="Q23" i="3"/>
  <c r="F53" i="29"/>
  <c r="Q6" i="3"/>
  <c r="F59" i="29"/>
  <c r="Q12" i="3"/>
  <c r="F65" i="29"/>
  <c r="Q18" i="3"/>
  <c r="F71" i="29"/>
  <c r="Q24" i="3"/>
  <c r="F54" i="29"/>
  <c r="Q7" i="3"/>
  <c r="F60" i="29"/>
  <c r="Q13" i="3"/>
  <c r="F66" i="29"/>
  <c r="Q19" i="3"/>
  <c r="F72" i="29"/>
  <c r="Q25" i="3"/>
  <c r="I36" i="29"/>
  <c r="I38" i="29" s="1"/>
  <c r="E75" i="29"/>
  <c r="D75" i="29"/>
  <c r="F52" i="29"/>
  <c r="F223" i="25"/>
  <c r="F219" i="25"/>
  <c r="F215" i="25"/>
  <c r="F211" i="25"/>
  <c r="F207" i="25"/>
  <c r="S24" i="3"/>
  <c r="S20" i="3"/>
  <c r="S16" i="3"/>
  <c r="S12" i="3"/>
  <c r="S8" i="3"/>
  <c r="F224" i="25"/>
  <c r="F220" i="25"/>
  <c r="F216" i="25"/>
  <c r="F212" i="25"/>
  <c r="F208" i="25"/>
  <c r="F204" i="25"/>
  <c r="F225" i="25"/>
  <c r="F221" i="25"/>
  <c r="F217" i="25"/>
  <c r="F213" i="25"/>
  <c r="F209" i="25"/>
  <c r="F205" i="25"/>
  <c r="D226" i="25"/>
  <c r="E226" i="25"/>
  <c r="F12" i="24"/>
  <c r="C17" i="24"/>
  <c r="F16" i="24"/>
  <c r="B78" i="23"/>
  <c r="E77" i="23"/>
  <c r="V27" i="3" s="1"/>
  <c r="D77" i="23"/>
  <c r="E76" i="23"/>
  <c r="F76" i="23" s="1"/>
  <c r="D76" i="23"/>
  <c r="E75" i="23"/>
  <c r="V25" i="3" s="1"/>
  <c r="D75" i="23"/>
  <c r="E74" i="23"/>
  <c r="V24" i="3" s="1"/>
  <c r="D74" i="23"/>
  <c r="E73" i="23"/>
  <c r="V23" i="3" s="1"/>
  <c r="D73" i="23"/>
  <c r="E72" i="23"/>
  <c r="F72" i="23" s="1"/>
  <c r="D72" i="23"/>
  <c r="E71" i="23"/>
  <c r="V21" i="3" s="1"/>
  <c r="D71" i="23"/>
  <c r="E70" i="23"/>
  <c r="V20" i="3" s="1"/>
  <c r="D70" i="23"/>
  <c r="E69" i="23"/>
  <c r="V19" i="3" s="1"/>
  <c r="D69" i="23"/>
  <c r="E68" i="23"/>
  <c r="F68" i="23" s="1"/>
  <c r="D68" i="23"/>
  <c r="E67" i="23"/>
  <c r="V17" i="3" s="1"/>
  <c r="D67" i="23"/>
  <c r="E66" i="23"/>
  <c r="V16" i="3" s="1"/>
  <c r="D66" i="23"/>
  <c r="E65" i="23"/>
  <c r="V15" i="3" s="1"/>
  <c r="D65" i="23"/>
  <c r="E64" i="23"/>
  <c r="F64" i="23" s="1"/>
  <c r="D64" i="23"/>
  <c r="E63" i="23"/>
  <c r="V13" i="3" s="1"/>
  <c r="D63" i="23"/>
  <c r="E62" i="23"/>
  <c r="V12" i="3" s="1"/>
  <c r="D62" i="23"/>
  <c r="E61" i="23"/>
  <c r="V11" i="3" s="1"/>
  <c r="D61" i="23"/>
  <c r="E60" i="23"/>
  <c r="F60" i="23" s="1"/>
  <c r="D60" i="23"/>
  <c r="E59" i="23"/>
  <c r="V9" i="3" s="1"/>
  <c r="D59" i="23"/>
  <c r="E58" i="23"/>
  <c r="V8" i="3" s="1"/>
  <c r="D58" i="23"/>
  <c r="E57" i="23"/>
  <c r="V7" i="3" s="1"/>
  <c r="D57" i="23"/>
  <c r="E56" i="23"/>
  <c r="F56" i="23" s="1"/>
  <c r="D56" i="23"/>
  <c r="E55" i="23"/>
  <c r="V5" i="3" s="1"/>
  <c r="I24" i="23"/>
  <c r="I23" i="23"/>
  <c r="F22" i="23"/>
  <c r="I22" i="23" s="1"/>
  <c r="B113" i="21"/>
  <c r="E112" i="21"/>
  <c r="F27" i="3" s="1"/>
  <c r="D112" i="21"/>
  <c r="E111" i="21"/>
  <c r="F26" i="3" s="1"/>
  <c r="D111" i="21"/>
  <c r="E110" i="21"/>
  <c r="F25" i="3" s="1"/>
  <c r="D110" i="21"/>
  <c r="E109" i="21"/>
  <c r="F109" i="21" s="1"/>
  <c r="D109" i="21"/>
  <c r="E108" i="21"/>
  <c r="F23" i="3" s="1"/>
  <c r="D108" i="21"/>
  <c r="E107" i="21"/>
  <c r="F22" i="3" s="1"/>
  <c r="D107" i="21"/>
  <c r="E106" i="21"/>
  <c r="F21" i="3" s="1"/>
  <c r="D106" i="21"/>
  <c r="E105" i="21"/>
  <c r="F105" i="21" s="1"/>
  <c r="D105" i="21"/>
  <c r="E104" i="21"/>
  <c r="F19" i="3" s="1"/>
  <c r="D104" i="21"/>
  <c r="E103" i="21"/>
  <c r="F18" i="3" s="1"/>
  <c r="D103" i="21"/>
  <c r="E102" i="21"/>
  <c r="F17" i="3" s="1"/>
  <c r="D102" i="21"/>
  <c r="E101" i="21"/>
  <c r="F101" i="21" s="1"/>
  <c r="D101" i="21"/>
  <c r="E100" i="21"/>
  <c r="F15" i="3" s="1"/>
  <c r="D100" i="21"/>
  <c r="E99" i="21"/>
  <c r="F14" i="3" s="1"/>
  <c r="D99" i="21"/>
  <c r="E98" i="21"/>
  <c r="F13" i="3" s="1"/>
  <c r="D98" i="21"/>
  <c r="E97" i="21"/>
  <c r="F97" i="21" s="1"/>
  <c r="D97" i="21"/>
  <c r="E96" i="21"/>
  <c r="F11" i="3" s="1"/>
  <c r="D96" i="21"/>
  <c r="E95" i="21"/>
  <c r="F10" i="3" s="1"/>
  <c r="D95" i="21"/>
  <c r="E94" i="21"/>
  <c r="F9" i="3" s="1"/>
  <c r="D94" i="21"/>
  <c r="E93" i="21"/>
  <c r="F93" i="21" s="1"/>
  <c r="D93" i="21"/>
  <c r="E92" i="21"/>
  <c r="F7" i="3" s="1"/>
  <c r="D92" i="21"/>
  <c r="E91" i="21"/>
  <c r="F6" i="3" s="1"/>
  <c r="D91" i="21"/>
  <c r="E90" i="21"/>
  <c r="F17" i="17"/>
  <c r="I17" i="17" s="1"/>
  <c r="F18" i="17"/>
  <c r="I18" i="17" s="1"/>
  <c r="F19" i="17"/>
  <c r="I19" i="17" s="1"/>
  <c r="F20" i="17"/>
  <c r="I20" i="17" s="1"/>
  <c r="F21" i="17"/>
  <c r="I21" i="17" s="1"/>
  <c r="F22" i="17"/>
  <c r="I22" i="17" s="1"/>
  <c r="F23" i="17"/>
  <c r="I23" i="17" s="1"/>
  <c r="F24" i="17"/>
  <c r="I24" i="17" s="1"/>
  <c r="F26" i="17"/>
  <c r="I26" i="17" s="1"/>
  <c r="F27" i="17"/>
  <c r="I27" i="17" s="1"/>
  <c r="F28" i="17"/>
  <c r="I28" i="17" s="1"/>
  <c r="F29" i="17"/>
  <c r="I29" i="17" s="1"/>
  <c r="F30" i="17"/>
  <c r="I30" i="17" s="1"/>
  <c r="F31" i="17"/>
  <c r="I31" i="17" s="1"/>
  <c r="F32" i="17"/>
  <c r="I32" i="17" s="1"/>
  <c r="F33" i="17"/>
  <c r="I33" i="17" s="1"/>
  <c r="F34" i="17"/>
  <c r="I34" i="17" s="1"/>
  <c r="F15" i="17"/>
  <c r="I15" i="17" s="1"/>
  <c r="C15" i="18"/>
  <c r="B152" i="17"/>
  <c r="E151" i="17"/>
  <c r="W27" i="3" s="1"/>
  <c r="D151" i="17"/>
  <c r="E150" i="17"/>
  <c r="F150" i="17" s="1"/>
  <c r="D150" i="17"/>
  <c r="E149" i="17"/>
  <c r="F149" i="17" s="1"/>
  <c r="D149" i="17"/>
  <c r="E148" i="17"/>
  <c r="F148" i="17" s="1"/>
  <c r="D148" i="17"/>
  <c r="E147" i="17"/>
  <c r="W23" i="3" s="1"/>
  <c r="D147" i="17"/>
  <c r="E146" i="17"/>
  <c r="F146" i="17" s="1"/>
  <c r="D146" i="17"/>
  <c r="E145" i="17"/>
  <c r="F145" i="17" s="1"/>
  <c r="D145" i="17"/>
  <c r="E144" i="17"/>
  <c r="W20" i="3" s="1"/>
  <c r="D144" i="17"/>
  <c r="E143" i="17"/>
  <c r="W19" i="3" s="1"/>
  <c r="D143" i="17"/>
  <c r="E142" i="17"/>
  <c r="W18" i="3" s="1"/>
  <c r="D142" i="17"/>
  <c r="E141" i="17"/>
  <c r="F141" i="17" s="1"/>
  <c r="D141" i="17"/>
  <c r="E140" i="17"/>
  <c r="W16" i="3" s="1"/>
  <c r="D140" i="17"/>
  <c r="E139" i="17"/>
  <c r="W15" i="3" s="1"/>
  <c r="D139" i="17"/>
  <c r="E138" i="17"/>
  <c r="F138" i="17" s="1"/>
  <c r="D138" i="17"/>
  <c r="E137" i="17"/>
  <c r="F137" i="17" s="1"/>
  <c r="D137" i="17"/>
  <c r="E136" i="17"/>
  <c r="F136" i="17" s="1"/>
  <c r="D136" i="17"/>
  <c r="E135" i="17"/>
  <c r="W11" i="3" s="1"/>
  <c r="D135" i="17"/>
  <c r="E134" i="17"/>
  <c r="F134" i="17" s="1"/>
  <c r="D134" i="17"/>
  <c r="E133" i="17"/>
  <c r="W9" i="3" s="1"/>
  <c r="D133" i="17"/>
  <c r="E132" i="17"/>
  <c r="W8" i="3" s="1"/>
  <c r="D132" i="17"/>
  <c r="E131" i="17"/>
  <c r="W7" i="3" s="1"/>
  <c r="D131" i="17"/>
  <c r="E130" i="17"/>
  <c r="F130" i="17" s="1"/>
  <c r="D130" i="17"/>
  <c r="E129" i="17"/>
  <c r="F129" i="17" s="1"/>
  <c r="I35" i="17"/>
  <c r="I27" i="5"/>
  <c r="I33" i="5"/>
  <c r="I21" i="5"/>
  <c r="F15" i="7"/>
  <c r="I15" i="7" s="1"/>
  <c r="I68" i="7"/>
  <c r="I39" i="7"/>
  <c r="F16" i="7"/>
  <c r="I16" i="7" s="1"/>
  <c r="F66" i="7"/>
  <c r="I66" i="7" s="1"/>
  <c r="C14" i="10"/>
  <c r="F13" i="10"/>
  <c r="C21" i="9"/>
  <c r="F20" i="9"/>
  <c r="F19" i="9"/>
  <c r="F18" i="9"/>
  <c r="F17" i="9"/>
  <c r="F16" i="9"/>
  <c r="F15" i="9"/>
  <c r="F14" i="9"/>
  <c r="F13" i="9"/>
  <c r="F12" i="9"/>
  <c r="AD17" i="3" l="1"/>
  <c r="I25" i="23"/>
  <c r="I41" i="23" s="1"/>
  <c r="I36" i="17"/>
  <c r="I115" i="17" s="1"/>
  <c r="F75" i="29"/>
  <c r="F226" i="25"/>
  <c r="F151" i="17"/>
  <c r="W22" i="3"/>
  <c r="F140" i="17"/>
  <c r="W21" i="3"/>
  <c r="F139" i="17"/>
  <c r="F133" i="17"/>
  <c r="F77" i="23"/>
  <c r="F73" i="23"/>
  <c r="F69" i="23"/>
  <c r="F65" i="23"/>
  <c r="F61" i="23"/>
  <c r="F57" i="23"/>
  <c r="V26" i="3"/>
  <c r="V22" i="3"/>
  <c r="V18" i="3"/>
  <c r="V14" i="3"/>
  <c r="V10" i="3"/>
  <c r="V6" i="3"/>
  <c r="F55" i="23"/>
  <c r="F74" i="23"/>
  <c r="F70" i="23"/>
  <c r="F66" i="23"/>
  <c r="F62" i="23"/>
  <c r="F58" i="23"/>
  <c r="F75" i="23"/>
  <c r="F71" i="23"/>
  <c r="F67" i="23"/>
  <c r="F63" i="23"/>
  <c r="F59" i="23"/>
  <c r="F90" i="21"/>
  <c r="F5" i="3"/>
  <c r="F110" i="21"/>
  <c r="F106" i="21"/>
  <c r="F102" i="21"/>
  <c r="F98" i="21"/>
  <c r="F94" i="21"/>
  <c r="F24" i="3"/>
  <c r="F20" i="3"/>
  <c r="F16" i="3"/>
  <c r="F12" i="3"/>
  <c r="F8" i="3"/>
  <c r="F111" i="21"/>
  <c r="F107" i="21"/>
  <c r="F103" i="21"/>
  <c r="F99" i="21"/>
  <c r="F95" i="21"/>
  <c r="F91" i="21"/>
  <c r="F112" i="21"/>
  <c r="F108" i="21"/>
  <c r="F104" i="21"/>
  <c r="F100" i="21"/>
  <c r="F96" i="21"/>
  <c r="F92" i="21"/>
  <c r="F17" i="24"/>
  <c r="D78" i="23"/>
  <c r="E78" i="23"/>
  <c r="D113" i="21"/>
  <c r="E113" i="21"/>
  <c r="W10" i="3"/>
  <c r="F142" i="17"/>
  <c r="W25" i="3"/>
  <c r="F147" i="17"/>
  <c r="F135" i="17"/>
  <c r="W6" i="3"/>
  <c r="W17" i="3"/>
  <c r="W5" i="3"/>
  <c r="F144" i="17"/>
  <c r="F132" i="17"/>
  <c r="F143" i="17"/>
  <c r="F131" i="17"/>
  <c r="W26" i="3"/>
  <c r="W14" i="3"/>
  <c r="W13" i="3"/>
  <c r="W24" i="3"/>
  <c r="W12" i="3"/>
  <c r="F15" i="18"/>
  <c r="E152" i="17"/>
  <c r="D152" i="17"/>
  <c r="F21" i="9"/>
  <c r="F14" i="10"/>
  <c r="F25" i="7"/>
  <c r="I25" i="7" s="1"/>
  <c r="F78" i="23" l="1"/>
  <c r="F113" i="21"/>
  <c r="F152" i="17"/>
  <c r="F61" i="7" l="1"/>
  <c r="I61" i="7" s="1"/>
  <c r="F62" i="7"/>
  <c r="I62" i="7" s="1"/>
  <c r="F63" i="7"/>
  <c r="I63" i="7" s="1"/>
  <c r="F64" i="7"/>
  <c r="I64" i="7" s="1"/>
  <c r="F65" i="7"/>
  <c r="I65" i="7" s="1"/>
  <c r="F57" i="7"/>
  <c r="I57" i="7" s="1"/>
  <c r="F58" i="7"/>
  <c r="I58" i="7" s="1"/>
  <c r="F53" i="7"/>
  <c r="I53" i="7" s="1"/>
  <c r="F54" i="7"/>
  <c r="I54" i="7" s="1"/>
  <c r="F55" i="7"/>
  <c r="I55" i="7" s="1"/>
  <c r="F56" i="7"/>
  <c r="I56" i="7" s="1"/>
  <c r="F59" i="7"/>
  <c r="I59" i="7" s="1"/>
  <c r="F60" i="7"/>
  <c r="I60" i="7" s="1"/>
  <c r="F52" i="7"/>
  <c r="I52" i="7" s="1"/>
  <c r="F42" i="7"/>
  <c r="I42" i="7" s="1"/>
  <c r="F43" i="7"/>
  <c r="I43" i="7" s="1"/>
  <c r="F44" i="7"/>
  <c r="I44" i="7" s="1"/>
  <c r="F45" i="7"/>
  <c r="I45" i="7" s="1"/>
  <c r="F46" i="7"/>
  <c r="I46" i="7" s="1"/>
  <c r="F47" i="7"/>
  <c r="I47" i="7" s="1"/>
  <c r="F48" i="7"/>
  <c r="I48" i="7" s="1"/>
  <c r="F49" i="7"/>
  <c r="I49" i="7" s="1"/>
  <c r="F51" i="7"/>
  <c r="I51" i="7" s="1"/>
  <c r="F67" i="7"/>
  <c r="I67" i="7" s="1"/>
  <c r="I69" i="7" l="1"/>
  <c r="F26" i="7"/>
  <c r="I26" i="7" s="1"/>
  <c r="F27" i="7"/>
  <c r="I27" i="7" s="1"/>
  <c r="F28" i="7"/>
  <c r="I28" i="7" s="1"/>
  <c r="F29" i="7"/>
  <c r="I29" i="7" s="1"/>
  <c r="F30" i="7"/>
  <c r="I30" i="7" s="1"/>
  <c r="F31" i="7"/>
  <c r="I31" i="7" s="1"/>
  <c r="F32" i="7"/>
  <c r="I32" i="7" s="1"/>
  <c r="F33" i="7"/>
  <c r="I33" i="7" s="1"/>
  <c r="F34" i="7"/>
  <c r="I34" i="7" s="1"/>
  <c r="F35" i="7"/>
  <c r="I35" i="7" s="1"/>
  <c r="F17" i="7"/>
  <c r="I17" i="7" s="1"/>
  <c r="F18" i="7"/>
  <c r="I18" i="7" s="1"/>
  <c r="F19" i="7"/>
  <c r="I19" i="7" s="1"/>
  <c r="F20" i="7"/>
  <c r="I20" i="7" s="1"/>
  <c r="F21" i="7"/>
  <c r="I21" i="7" s="1"/>
  <c r="F22" i="7"/>
  <c r="I22" i="7" s="1"/>
  <c r="F23" i="7"/>
  <c r="I23" i="7" s="1"/>
  <c r="F24" i="7"/>
  <c r="I24" i="7" s="1"/>
  <c r="B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F36" i="7"/>
  <c r="I36" i="7" s="1"/>
  <c r="F73" i="5"/>
  <c r="D64" i="5"/>
  <c r="D65" i="5"/>
  <c r="D66" i="5"/>
  <c r="D67" i="5"/>
  <c r="D68" i="5"/>
  <c r="D69" i="5"/>
  <c r="D70" i="5"/>
  <c r="D71" i="5"/>
  <c r="D72" i="5"/>
  <c r="D59" i="5"/>
  <c r="D60" i="5"/>
  <c r="B73" i="5"/>
  <c r="E72" i="5"/>
  <c r="E71" i="5"/>
  <c r="E70" i="5"/>
  <c r="E69" i="5"/>
  <c r="E68" i="5"/>
  <c r="E67" i="5"/>
  <c r="E66" i="5"/>
  <c r="E65" i="5"/>
  <c r="E64" i="5"/>
  <c r="E63" i="5"/>
  <c r="D63" i="5"/>
  <c r="E62" i="5"/>
  <c r="D62" i="5"/>
  <c r="E61" i="5"/>
  <c r="D61" i="5"/>
  <c r="E60" i="5"/>
  <c r="E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D51" i="5"/>
  <c r="E50" i="5"/>
  <c r="H34" i="5"/>
  <c r="F32" i="5"/>
  <c r="I32" i="5" s="1"/>
  <c r="F31" i="5"/>
  <c r="I31" i="5" s="1"/>
  <c r="F30" i="5"/>
  <c r="I30" i="5" s="1"/>
  <c r="H28" i="5"/>
  <c r="H36" i="5" s="1"/>
  <c r="F26" i="5"/>
  <c r="I26" i="5" s="1"/>
  <c r="F25" i="5"/>
  <c r="I25" i="5" s="1"/>
  <c r="F24" i="5"/>
  <c r="I24" i="5" s="1"/>
  <c r="F20" i="5"/>
  <c r="I20" i="5" s="1"/>
  <c r="F19" i="5"/>
  <c r="I19" i="5" s="1"/>
  <c r="F18" i="5"/>
  <c r="I18" i="5" s="1"/>
  <c r="F17" i="5"/>
  <c r="I17" i="5" s="1"/>
  <c r="F16" i="5"/>
  <c r="I16" i="5" s="1"/>
  <c r="F15" i="5"/>
  <c r="I15" i="5" s="1"/>
  <c r="I40" i="7" l="1"/>
  <c r="I71" i="7" s="1"/>
  <c r="I28" i="5"/>
  <c r="I34" i="5"/>
  <c r="I22" i="5"/>
  <c r="F85" i="7"/>
  <c r="AC5" i="3"/>
  <c r="AD5" i="3" s="1"/>
  <c r="F93" i="7"/>
  <c r="AC13" i="3"/>
  <c r="F89" i="7"/>
  <c r="AC9" i="3"/>
  <c r="F86" i="7"/>
  <c r="AC6" i="3"/>
  <c r="F88" i="7"/>
  <c r="AC8" i="3"/>
  <c r="F100" i="7"/>
  <c r="AC20" i="3"/>
  <c r="F106" i="7"/>
  <c r="AC26" i="3"/>
  <c r="F98" i="7"/>
  <c r="AC18" i="3"/>
  <c r="F94" i="7"/>
  <c r="AC14" i="3"/>
  <c r="F95" i="7"/>
  <c r="AC15" i="3"/>
  <c r="F101" i="7"/>
  <c r="AC21" i="3"/>
  <c r="F107" i="7"/>
  <c r="AC27" i="3"/>
  <c r="F90" i="7"/>
  <c r="AC10" i="3"/>
  <c r="F102" i="7"/>
  <c r="AC22" i="3"/>
  <c r="F96" i="7"/>
  <c r="AC16" i="3"/>
  <c r="F97" i="7"/>
  <c r="AC17" i="3"/>
  <c r="F103" i="7"/>
  <c r="AC23" i="3"/>
  <c r="F91" i="7"/>
  <c r="AC11" i="3"/>
  <c r="F104" i="7"/>
  <c r="AC24" i="3"/>
  <c r="F92" i="7"/>
  <c r="AC12" i="3"/>
  <c r="F87" i="7"/>
  <c r="AC7" i="3"/>
  <c r="F99" i="7"/>
  <c r="AC19" i="3"/>
  <c r="F105" i="7"/>
  <c r="AC25" i="3"/>
  <c r="E108" i="7"/>
  <c r="E73" i="5"/>
  <c r="D73" i="5"/>
  <c r="D108" i="7"/>
  <c r="I36" i="5" l="1"/>
  <c r="F108" i="7"/>
  <c r="AD26" i="3"/>
  <c r="AD27" i="3"/>
  <c r="AD25" i="3"/>
  <c r="AD24" i="3"/>
  <c r="AD23" i="3"/>
  <c r="AD22" i="3"/>
  <c r="AD21" i="3"/>
  <c r="AD20" i="3"/>
  <c r="AD19" i="3"/>
  <c r="AD18" i="3"/>
  <c r="AD16" i="3"/>
  <c r="AD15" i="3"/>
  <c r="AD14" i="3"/>
  <c r="AD13" i="3"/>
  <c r="AD12" i="3"/>
  <c r="AD11" i="3"/>
  <c r="AD10" i="3"/>
  <c r="AD9" i="3"/>
  <c r="AD8" i="3"/>
  <c r="AD7" i="3"/>
  <c r="AD6" i="3"/>
  <c r="AD28" i="3" l="1"/>
  <c r="B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B28" i="3"/>
  <c r="AC28" i="3"/>
  <c r="E2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5" i="3"/>
  <c r="AD30" i="3" l="1"/>
  <c r="AA32" i="3"/>
  <c r="D28" i="3"/>
  <c r="D30" i="3" s="1"/>
</calcChain>
</file>

<file path=xl/sharedStrings.xml><?xml version="1.0" encoding="utf-8"?>
<sst xmlns="http://schemas.openxmlformats.org/spreadsheetml/2006/main" count="4157" uniqueCount="1046">
  <si>
    <t>Equipamento</t>
  </si>
  <si>
    <t>Uso (Dias)</t>
  </si>
  <si>
    <t>R$ Unitário</t>
  </si>
  <si>
    <t>Quantidade</t>
  </si>
  <si>
    <t>R$ Total</t>
  </si>
  <si>
    <t>Instalado</t>
  </si>
  <si>
    <t>Saldo</t>
  </si>
  <si>
    <t>Total</t>
  </si>
  <si>
    <t>Patrimônio</t>
  </si>
  <si>
    <t>Período de Medição</t>
  </si>
  <si>
    <t>Unidade:</t>
  </si>
  <si>
    <t>Fornecedor</t>
  </si>
  <si>
    <r>
      <t xml:space="preserve">CNPJ: </t>
    </r>
    <r>
      <rPr>
        <sz val="10"/>
        <rFont val="Arial"/>
        <family val="2"/>
      </rPr>
      <t>03.019.757/0001-15</t>
    </r>
  </si>
  <si>
    <r>
      <t xml:space="preserve">Telefone: </t>
    </r>
    <r>
      <rPr>
        <sz val="10"/>
        <rFont val="Arial"/>
        <family val="2"/>
      </rPr>
      <t>71 2104-6211</t>
    </r>
  </si>
  <si>
    <t>Cliente</t>
  </si>
  <si>
    <t>Patrimônio Instalado</t>
  </si>
  <si>
    <t>Patrimônio Devolvido</t>
  </si>
  <si>
    <t>Data de Inst.</t>
  </si>
  <si>
    <t>Cond Ar Janela 7.500 BTU/h</t>
  </si>
  <si>
    <t>Cond Ar Janela 10.000 BTU/h</t>
  </si>
  <si>
    <t>Cond Ar Janela 18.000 BTU/h</t>
  </si>
  <si>
    <t>Cond Ar Janela 21.000 BTU/h</t>
  </si>
  <si>
    <t>Cond Ar Split 9.000 BTU/h Hi Wall</t>
  </si>
  <si>
    <t>Cond Ar Split 12.000 BTU/h Hi Wall</t>
  </si>
  <si>
    <t>Cond Ar Split 18.000 BTU/h Hi Wall</t>
  </si>
  <si>
    <t>Cond Ar Split 22.000 BTU/h Hi Wall</t>
  </si>
  <si>
    <t>Cond Ar Split 24.000 BTU/h Hi Wall</t>
  </si>
  <si>
    <t>Cond Ar Split 30.000 BTU/h Hi Wall</t>
  </si>
  <si>
    <t>Sala/Ambiente</t>
  </si>
  <si>
    <t>Contrato Nº 051/2024 - SEMGE</t>
  </si>
  <si>
    <t>Cond Ar Split 24.000 BTU/h Piso/Teto</t>
  </si>
  <si>
    <t>Cond Ar Split 30.000 BTU/h Piso/Teto</t>
  </si>
  <si>
    <t>Cond Ar Split 36.000 BTU/h Piso/Teto</t>
  </si>
  <si>
    <t>Cond Ar Split 48.000 BTU/h Piso/Teto</t>
  </si>
  <si>
    <t>Cond Ar Split 60.000 BTU/h Piso/Teto</t>
  </si>
  <si>
    <t>Cond Ar Split 18.000 BTU/h Cassete</t>
  </si>
  <si>
    <t>Cond Ar Split 24.000 BTU/h Cassete</t>
  </si>
  <si>
    <t>Cond Ar Split 30.000 BTU/h Cassete</t>
  </si>
  <si>
    <t>Cond Ar Split 36.000 BTU/h Cassete</t>
  </si>
  <si>
    <t>Cond Ar Split 48.000 BTU/h Cassete</t>
  </si>
  <si>
    <t>Cond Ar Split 60.000 BTU/h Cassete</t>
  </si>
  <si>
    <t>Cond Ar Tri Split 36.000 BTU/h (3x12.000)</t>
  </si>
  <si>
    <t>Cond Ar Portátil 12.000 BTU/h</t>
  </si>
  <si>
    <t xml:space="preserve">Unidade: </t>
  </si>
  <si>
    <t>SEMGE</t>
  </si>
  <si>
    <t>Contratado</t>
  </si>
  <si>
    <t>ARSAL</t>
  </si>
  <si>
    <t>CGM</t>
  </si>
  <si>
    <t>FCM</t>
  </si>
  <si>
    <t>FGM</t>
  </si>
  <si>
    <t>FMLF</t>
  </si>
  <si>
    <t>PGMS</t>
  </si>
  <si>
    <t>SECIS</t>
  </si>
  <si>
    <t>SECOM</t>
  </si>
  <si>
    <t>SECULT</t>
  </si>
  <si>
    <t>SEDUR</t>
  </si>
  <si>
    <t>SEFAZ</t>
  </si>
  <si>
    <t>SEINFRA</t>
  </si>
  <si>
    <t>SEMAN</t>
  </si>
  <si>
    <t>SEMDEC</t>
  </si>
  <si>
    <t>SEMOB</t>
  </si>
  <si>
    <t>SEMOP</t>
  </si>
  <si>
    <t>SEMPRE</t>
  </si>
  <si>
    <t>SEMUR</t>
  </si>
  <si>
    <t>SMS</t>
  </si>
  <si>
    <t>SPMJ</t>
  </si>
  <si>
    <t>TRANSALV</t>
  </si>
  <si>
    <t xml:space="preserve">Gestor: </t>
  </si>
  <si>
    <t>Consolidado Contrato Nº 051/2024</t>
  </si>
  <si>
    <t>OS</t>
  </si>
  <si>
    <t xml:space="preserve">Razão Social: </t>
  </si>
  <si>
    <t>GERENCIA GTRAN</t>
  </si>
  <si>
    <t>SECRETARIA GTRAN</t>
  </si>
  <si>
    <t>SEFIT SALA 02</t>
  </si>
  <si>
    <t xml:space="preserve">APOIO SEGES </t>
  </si>
  <si>
    <t>COORDENADORIA II</t>
  </si>
  <si>
    <t>GESIN COPA</t>
  </si>
  <si>
    <t>GESIN SALA DE SILVIO LOPES</t>
  </si>
  <si>
    <t>GESIN SERAT</t>
  </si>
  <si>
    <t>GESIN SERVIDOR SILVIO</t>
  </si>
  <si>
    <t>GESIN SERVIDOR SILVIO SALA DE REUNIAO</t>
  </si>
  <si>
    <t>COORDENADORIA / SEVOP</t>
  </si>
  <si>
    <t>SEFIT SALA 01</t>
  </si>
  <si>
    <t xml:space="preserve">SEFIT RECEPCAO </t>
  </si>
  <si>
    <t>SALA DE CONVIVENCIA</t>
  </si>
  <si>
    <t>SALA DE TI</t>
  </si>
  <si>
    <t>GESIN LABORATORIO SILVIO</t>
  </si>
  <si>
    <t xml:space="preserve">GESIN SERVIDOR SILVIO GERENCIA </t>
  </si>
  <si>
    <t>SEMOT / SEMAS GESIN</t>
  </si>
  <si>
    <t>SEVOP</t>
  </si>
  <si>
    <t>APOIO GTRAN - NERY</t>
  </si>
  <si>
    <t>SEOPE</t>
  </si>
  <si>
    <t>GESIN SERVIDOR SILVIO MONITORAMENTO</t>
  </si>
  <si>
    <t>Gerência - Gedut</t>
  </si>
  <si>
    <t>Área apoio -  Gedut</t>
  </si>
  <si>
    <t>Gerência - Recursos Humanos</t>
  </si>
  <si>
    <t>Gerência - Seinp</t>
  </si>
  <si>
    <t>Área - Seipn</t>
  </si>
  <si>
    <t>Gerência - Copel</t>
  </si>
  <si>
    <t xml:space="preserve">Coordenação </t>
  </si>
  <si>
    <t>Assist Social</t>
  </si>
  <si>
    <t>Rack</t>
  </si>
  <si>
    <t>Sala de Apoio</t>
  </si>
  <si>
    <t>Copa</t>
  </si>
  <si>
    <t>Gedut</t>
  </si>
  <si>
    <t>Setor de Pesquisa</t>
  </si>
  <si>
    <t>Sala de reunião - C.D.A's</t>
  </si>
  <si>
    <t>Comiss. Leilão</t>
  </si>
  <si>
    <t>C.P.C.A</t>
  </si>
  <si>
    <t>Arquivo geral</t>
  </si>
  <si>
    <t xml:space="preserve">Recursos Humanos </t>
  </si>
  <si>
    <t>Seinp</t>
  </si>
  <si>
    <t>C.D.A'S</t>
  </si>
  <si>
    <t>Secretaria</t>
  </si>
  <si>
    <t>Biblioteca</t>
  </si>
  <si>
    <r>
      <t xml:space="preserve">CNPJ: </t>
    </r>
    <r>
      <rPr>
        <sz val="10"/>
        <rFont val="Arial"/>
        <family val="2"/>
      </rPr>
      <t>10.603.491/0001-19</t>
    </r>
  </si>
  <si>
    <r>
      <t xml:space="preserve">Razão Social: </t>
    </r>
    <r>
      <rPr>
        <sz val="10"/>
        <rFont val="Arial"/>
        <family val="2"/>
      </rPr>
      <t xml:space="preserve"> LOC Tudo Locação e Assistência Técnica LTDA </t>
    </r>
  </si>
  <si>
    <r>
      <t xml:space="preserve">Endereço: </t>
    </r>
    <r>
      <rPr>
        <sz val="10"/>
        <rFont val="Arial"/>
        <family val="2"/>
      </rPr>
      <t>Rua Claudionor dos Santos paranhos, Lauro de Freitas - BA</t>
    </r>
  </si>
  <si>
    <r>
      <t xml:space="preserve">Razão Social: </t>
    </r>
    <r>
      <rPr>
        <sz val="10"/>
        <rFont val="Arial"/>
        <family val="2"/>
      </rPr>
      <t xml:space="preserve">Superitendência de Trânsito de Salvador </t>
    </r>
  </si>
  <si>
    <r>
      <t xml:space="preserve">Gestor: </t>
    </r>
    <r>
      <rPr>
        <sz val="10"/>
        <rFont val="Arial"/>
        <family val="2"/>
      </rPr>
      <t>Rodrigo Vasconcelos</t>
    </r>
  </si>
  <si>
    <t>Legendas do Patrimônio:</t>
  </si>
  <si>
    <t>Demonstrativo Financeiro / Equipamentos Locados - SEMGE: Contrato N 051/2024</t>
  </si>
  <si>
    <r>
      <t xml:space="preserve">E-mail: </t>
    </r>
    <r>
      <rPr>
        <sz val="10"/>
        <rFont val="Arial"/>
        <family val="2"/>
      </rPr>
      <t>comercial2@aluguetudo.com</t>
    </r>
  </si>
  <si>
    <t>E-mail:</t>
  </si>
  <si>
    <t xml:space="preserve">Atestamos para os devidos fins que os serviços foram prestados conforme o período informado. </t>
  </si>
  <si>
    <t>Assinatura / Autorização:</t>
  </si>
  <si>
    <t>Representante da Secretaria</t>
  </si>
  <si>
    <t>Representante da LOC TUDO</t>
  </si>
  <si>
    <r>
      <t>Gestor:</t>
    </r>
    <r>
      <rPr>
        <sz val="10"/>
        <rFont val="Arial"/>
        <family val="2"/>
      </rPr>
      <t xml:space="preserve"> Rodrigo Vasconcelos</t>
    </r>
  </si>
  <si>
    <r>
      <t xml:space="preserve">Razão Social: </t>
    </r>
    <r>
      <rPr>
        <sz val="10"/>
        <rFont val="Arial"/>
        <family val="2"/>
      </rPr>
      <t>Procuradoria Geral do Municipio de Salvador - PGMS</t>
    </r>
  </si>
  <si>
    <r>
      <t>CNPJ:</t>
    </r>
    <r>
      <rPr>
        <sz val="10"/>
        <rFont val="Arial"/>
        <family val="2"/>
      </rPr>
      <t xml:space="preserve"> 13.927.801/0008-15</t>
    </r>
  </si>
  <si>
    <r>
      <t xml:space="preserve">Gestor: </t>
    </r>
    <r>
      <rPr>
        <sz val="10"/>
        <rFont val="Arial"/>
        <family val="2"/>
      </rPr>
      <t>Paulo Pinheiro</t>
    </r>
  </si>
  <si>
    <t>CNPJ:</t>
  </si>
  <si>
    <t>Segem</t>
  </si>
  <si>
    <r>
      <t>Razão Social:</t>
    </r>
    <r>
      <rPr>
        <sz val="10"/>
        <rFont val="Arial"/>
        <family val="2"/>
      </rPr>
      <t xml:space="preserve"> Procuradoria Geral do Municipio de Salvador - PGMS</t>
    </r>
  </si>
  <si>
    <r>
      <t xml:space="preserve">CNPJ: </t>
    </r>
    <r>
      <rPr>
        <sz val="10"/>
        <rFont val="Arial"/>
        <family val="2"/>
      </rPr>
      <t>13.927.801/0008-15</t>
    </r>
  </si>
  <si>
    <r>
      <t>CNPJ:</t>
    </r>
    <r>
      <rPr>
        <sz val="10"/>
        <rFont val="Arial"/>
        <family val="2"/>
      </rPr>
      <t xml:space="preserve"> 00.883.962/0001-36</t>
    </r>
  </si>
  <si>
    <r>
      <t xml:space="preserve">Razão Social: </t>
    </r>
    <r>
      <rPr>
        <sz val="10"/>
        <rFont val="Arial"/>
        <family val="2"/>
      </rPr>
      <t>Fundação Cidade Mãe - FCM</t>
    </r>
  </si>
  <si>
    <r>
      <t xml:space="preserve">Gestor: </t>
    </r>
    <r>
      <rPr>
        <sz val="10"/>
        <rFont val="Arial"/>
        <family val="2"/>
      </rPr>
      <t>Rosângela Bispo</t>
    </r>
  </si>
  <si>
    <t>Geraf</t>
  </si>
  <si>
    <t>Senut</t>
  </si>
  <si>
    <t>Seges</t>
  </si>
  <si>
    <t>Familia Acolhedora</t>
  </si>
  <si>
    <t>Coord. Bariri</t>
  </si>
  <si>
    <r>
      <t xml:space="preserve">CNPJ: </t>
    </r>
    <r>
      <rPr>
        <sz val="10"/>
        <rFont val="Arial"/>
        <family val="2"/>
      </rPr>
      <t>00.883.962/0001-36</t>
    </r>
  </si>
  <si>
    <r>
      <t xml:space="preserve">Gestor: </t>
    </r>
    <r>
      <rPr>
        <sz val="10"/>
        <rFont val="Arial"/>
        <family val="2"/>
      </rPr>
      <t>Rosângela Bispo</t>
    </r>
    <r>
      <rPr>
        <b/>
        <sz val="10"/>
        <rFont val="Arial"/>
        <family val="2"/>
      </rPr>
      <t xml:space="preserve"> </t>
    </r>
  </si>
  <si>
    <r>
      <t xml:space="preserve">CNPJ: </t>
    </r>
    <r>
      <rPr>
        <sz val="10"/>
        <rFont val="Arial"/>
        <family val="2"/>
      </rPr>
      <t>09.075.910/0001-08</t>
    </r>
  </si>
  <si>
    <r>
      <t xml:space="preserve">Gestor: </t>
    </r>
    <r>
      <rPr>
        <sz val="10"/>
        <rFont val="Arial"/>
        <family val="2"/>
      </rPr>
      <t>Zeferino Batista</t>
    </r>
  </si>
  <si>
    <r>
      <t>E-mail:</t>
    </r>
    <r>
      <rPr>
        <sz val="10"/>
        <rFont val="Arial"/>
        <family val="2"/>
      </rPr>
      <t xml:space="preserve"> comercial2@aluguetudo.com</t>
    </r>
  </si>
  <si>
    <t>Rh</t>
  </si>
  <si>
    <t>Secretario Muniz</t>
  </si>
  <si>
    <t>Gedhu</t>
  </si>
  <si>
    <t>Coordenador Jackson</t>
  </si>
  <si>
    <t>Subinspetor</t>
  </si>
  <si>
    <r>
      <t>Gestor:</t>
    </r>
    <r>
      <rPr>
        <sz val="10"/>
        <rFont val="Arial"/>
        <family val="2"/>
      </rPr>
      <t xml:space="preserve"> Zeferino Batista</t>
    </r>
  </si>
  <si>
    <t>GCM</t>
  </si>
  <si>
    <r>
      <t xml:space="preserve">CNPJ: </t>
    </r>
    <r>
      <rPr>
        <sz val="10"/>
        <rFont val="Arial"/>
        <family val="2"/>
      </rPr>
      <t>13.927.801/0020-01</t>
    </r>
  </si>
  <si>
    <r>
      <t xml:space="preserve">Gestor: </t>
    </r>
    <r>
      <rPr>
        <sz val="10"/>
        <rFont val="Arial"/>
        <family val="2"/>
      </rPr>
      <t>Vanderval Lima</t>
    </r>
  </si>
  <si>
    <t>Julgamento Copit</t>
  </si>
  <si>
    <t>Copit</t>
  </si>
  <si>
    <t>Sevip</t>
  </si>
  <si>
    <t>Coord. Copit</t>
  </si>
  <si>
    <t>Coord. Corpro</t>
  </si>
  <si>
    <t>Secretaria Corpro</t>
  </si>
  <si>
    <t>Ouvidoria</t>
  </si>
  <si>
    <t>Bloomberg</t>
  </si>
  <si>
    <t xml:space="preserve">Copit </t>
  </si>
  <si>
    <t>Sala Livre</t>
  </si>
  <si>
    <t>Planejamento de Prog Operacional</t>
  </si>
  <si>
    <t>Jari</t>
  </si>
  <si>
    <t>Reunião Geral</t>
  </si>
  <si>
    <t>Corpro / Seap</t>
  </si>
  <si>
    <t>Corpro / Sepop</t>
  </si>
  <si>
    <r>
      <t xml:space="preserve">Unidade: </t>
    </r>
    <r>
      <rPr>
        <sz val="10"/>
        <rFont val="Arial"/>
        <family val="2"/>
      </rPr>
      <t>Sete Portas</t>
    </r>
  </si>
  <si>
    <t>Recepção DMI</t>
  </si>
  <si>
    <t>Sala Protocolo</t>
  </si>
  <si>
    <r>
      <t xml:space="preserve">Unidade: </t>
    </r>
    <r>
      <rPr>
        <sz val="10"/>
        <rFont val="Arial"/>
        <family val="2"/>
      </rPr>
      <t>Comercio</t>
    </r>
  </si>
  <si>
    <r>
      <t xml:space="preserve">Gestor: </t>
    </r>
    <r>
      <rPr>
        <sz val="10"/>
        <rFont val="Arial"/>
        <family val="2"/>
      </rPr>
      <t>Alisson</t>
    </r>
  </si>
  <si>
    <r>
      <t xml:space="preserve">CNPJ: </t>
    </r>
    <r>
      <rPr>
        <sz val="10"/>
        <rFont val="Arial"/>
        <family val="2"/>
      </rPr>
      <t>13.927.801/0030-83</t>
    </r>
  </si>
  <si>
    <r>
      <t xml:space="preserve">Gestor: </t>
    </r>
    <r>
      <rPr>
        <sz val="10"/>
        <rFont val="Arial"/>
        <family val="2"/>
      </rPr>
      <t>Alisson Alves</t>
    </r>
  </si>
  <si>
    <t>Sala Segep (Marquila)</t>
  </si>
  <si>
    <r>
      <t xml:space="preserve">Unidade: </t>
    </r>
    <r>
      <rPr>
        <sz val="10"/>
        <rFont val="Arial"/>
        <family val="2"/>
      </rPr>
      <t>Sede</t>
    </r>
  </si>
  <si>
    <r>
      <t xml:space="preserve">Gestor: </t>
    </r>
    <r>
      <rPr>
        <sz val="10"/>
        <rFont val="Arial"/>
        <family val="2"/>
      </rPr>
      <t>Maria Ventin</t>
    </r>
  </si>
  <si>
    <r>
      <t xml:space="preserve">CNPJ: </t>
    </r>
    <r>
      <rPr>
        <sz val="10"/>
        <rFont val="Arial"/>
        <family val="2"/>
      </rPr>
      <t>13.927.801/0034-07</t>
    </r>
  </si>
  <si>
    <r>
      <t xml:space="preserve">Gestor: </t>
    </r>
    <r>
      <rPr>
        <sz val="10"/>
        <rFont val="Arial"/>
        <family val="2"/>
      </rPr>
      <t>Maria Ventim</t>
    </r>
  </si>
  <si>
    <t xml:space="preserve">Diretoria 2 Andar </t>
  </si>
  <si>
    <t xml:space="preserve">Diretoria </t>
  </si>
  <si>
    <r>
      <t xml:space="preserve">CNPJ: </t>
    </r>
    <r>
      <rPr>
        <sz val="10"/>
        <rFont val="Arial"/>
        <family val="2"/>
      </rPr>
      <t>13.927.801/0032-45</t>
    </r>
  </si>
  <si>
    <r>
      <t xml:space="preserve">Gestor: </t>
    </r>
    <r>
      <rPr>
        <sz val="10"/>
        <rFont val="Arial"/>
        <family val="2"/>
      </rPr>
      <t>José Rosalvo</t>
    </r>
  </si>
  <si>
    <r>
      <t>Gestor:</t>
    </r>
    <r>
      <rPr>
        <sz val="10"/>
        <rFont val="Arial"/>
        <family val="2"/>
      </rPr>
      <t xml:space="preserve"> José Rosalvo</t>
    </r>
  </si>
  <si>
    <r>
      <t xml:space="preserve">Unidade: </t>
    </r>
    <r>
      <rPr>
        <sz val="10"/>
        <rFont val="Arial"/>
        <family val="2"/>
      </rPr>
      <t>Sede - Edf Comendador Pedreira</t>
    </r>
  </si>
  <si>
    <r>
      <t xml:space="preserve">Razão Social: </t>
    </r>
    <r>
      <rPr>
        <sz val="10"/>
        <rFont val="Arial"/>
        <family val="2"/>
      </rPr>
      <t>Controladoria Geral do Municipio - CGM</t>
    </r>
  </si>
  <si>
    <r>
      <t>Razão Social:</t>
    </r>
    <r>
      <rPr>
        <sz val="10"/>
        <rFont val="Arial"/>
        <family val="2"/>
      </rPr>
      <t xml:space="preserve"> Guarda Civil Municipal - GCM</t>
    </r>
  </si>
  <si>
    <r>
      <t xml:space="preserve">Razão Social: </t>
    </r>
    <r>
      <rPr>
        <sz val="10"/>
        <rFont val="Arial"/>
        <family val="2"/>
      </rPr>
      <t>Guarda Civil Municipal - GCM</t>
    </r>
  </si>
  <si>
    <r>
      <t xml:space="preserve">Razão Social: </t>
    </r>
    <r>
      <rPr>
        <sz val="10"/>
        <rFont val="Arial"/>
        <family val="2"/>
      </rPr>
      <t>Secretaria de Governo - SEGOV</t>
    </r>
  </si>
  <si>
    <r>
      <t xml:space="preserve">Gestor: </t>
    </r>
    <r>
      <rPr>
        <sz val="10"/>
        <rFont val="Arial"/>
        <family val="2"/>
      </rPr>
      <t>Diego Sales</t>
    </r>
  </si>
  <si>
    <r>
      <t xml:space="preserve">CNPJ: </t>
    </r>
    <r>
      <rPr>
        <sz val="10"/>
        <rFont val="Arial"/>
        <family val="2"/>
      </rPr>
      <t>13.927.801/0001-49</t>
    </r>
  </si>
  <si>
    <r>
      <t xml:space="preserve">Razão Social: </t>
    </r>
    <r>
      <rPr>
        <sz val="10"/>
        <rFont val="Arial"/>
        <family val="2"/>
      </rPr>
      <t>Secretaria Municipal de Mobilidade - SEMOB</t>
    </r>
  </si>
  <si>
    <t>NTI</t>
  </si>
  <si>
    <r>
      <t xml:space="preserve">Unidade: </t>
    </r>
    <r>
      <rPr>
        <sz val="10"/>
        <rFont val="Arial"/>
        <family val="2"/>
      </rPr>
      <t>Sede - 3º andar</t>
    </r>
  </si>
  <si>
    <t>Subprefeito</t>
  </si>
  <si>
    <t>Servidor</t>
  </si>
  <si>
    <t>Almoço</t>
  </si>
  <si>
    <t>Secretaria Vice Prefeita</t>
  </si>
  <si>
    <t>Escritorio Gov Social - Sra Rosana</t>
  </si>
  <si>
    <t>Coord CMP - 7º andar</t>
  </si>
  <si>
    <t>Coord CMA - 7º andar</t>
  </si>
  <si>
    <t>Coord CTR - 7º andar</t>
  </si>
  <si>
    <t>Coord CNI - 7º andar</t>
  </si>
  <si>
    <t>instalado</t>
  </si>
  <si>
    <r>
      <t xml:space="preserve">Unidade: </t>
    </r>
    <r>
      <rPr>
        <sz val="10"/>
        <rFont val="Arial"/>
        <family val="2"/>
      </rPr>
      <t>Todas</t>
    </r>
  </si>
  <si>
    <t>FUNFIN</t>
  </si>
  <si>
    <r>
      <t xml:space="preserve">Gestor: </t>
    </r>
    <r>
      <rPr>
        <sz val="10"/>
        <rFont val="Arial"/>
        <family val="2"/>
      </rPr>
      <t>Thaís Pinelli</t>
    </r>
  </si>
  <si>
    <t>Sala de Mônica</t>
  </si>
  <si>
    <t>Recepção de Mônica</t>
  </si>
  <si>
    <r>
      <t xml:space="preserve">Razão Social: </t>
    </r>
    <r>
      <rPr>
        <sz val="10"/>
        <rFont val="Arial"/>
        <family val="2"/>
      </rPr>
      <t>Municipio de Salvador - SEDUR</t>
    </r>
  </si>
  <si>
    <r>
      <t xml:space="preserve">Gestor: </t>
    </r>
    <r>
      <rPr>
        <sz val="10"/>
        <rFont val="Arial"/>
        <family val="2"/>
      </rPr>
      <t>Nilton Silva</t>
    </r>
  </si>
  <si>
    <r>
      <t xml:space="preserve">CNPJ: </t>
    </r>
    <r>
      <rPr>
        <sz val="10"/>
        <rFont val="Arial"/>
        <family val="2"/>
      </rPr>
      <t>13.927.801/0029-40</t>
    </r>
  </si>
  <si>
    <t>CPD</t>
  </si>
  <si>
    <t>CEM - Dra Isaura</t>
  </si>
  <si>
    <r>
      <t xml:space="preserve">Unidade: </t>
    </r>
    <r>
      <rPr>
        <sz val="10"/>
        <rFont val="Arial"/>
        <family val="2"/>
      </rPr>
      <t>Edf Tomé de Souza</t>
    </r>
  </si>
  <si>
    <t>Sala de Adailza</t>
  </si>
  <si>
    <t>Guarita</t>
  </si>
  <si>
    <r>
      <t>Razão Social:</t>
    </r>
    <r>
      <rPr>
        <sz val="10"/>
        <rFont val="Arial"/>
        <family val="2"/>
      </rPr>
      <t xml:space="preserve"> Municipio de Salvador - SEDUR</t>
    </r>
  </si>
  <si>
    <t>Boletim de Medição / Equipamentos Locados - SEMGE: Contrato N 051/2024</t>
  </si>
  <si>
    <t>Protocolo Areas Verdes</t>
  </si>
  <si>
    <r>
      <t xml:space="preserve">Unidade: </t>
    </r>
    <r>
      <rPr>
        <sz val="10"/>
        <rFont val="Arial"/>
        <family val="2"/>
      </rPr>
      <t>Caminho das Árvores - 3º Pav</t>
    </r>
  </si>
  <si>
    <r>
      <t xml:space="preserve">Unidade: </t>
    </r>
    <r>
      <rPr>
        <sz val="10"/>
        <rFont val="Arial"/>
        <family val="2"/>
      </rPr>
      <t>Edfº Nossa Senhora da Ajuda</t>
    </r>
  </si>
  <si>
    <r>
      <t xml:space="preserve">Unidade: </t>
    </r>
    <r>
      <rPr>
        <sz val="10"/>
        <rFont val="Arial"/>
        <family val="2"/>
      </rPr>
      <t>Prefeitura Bairro - Barra</t>
    </r>
  </si>
  <si>
    <r>
      <t xml:space="preserve">E-mail: </t>
    </r>
    <r>
      <rPr>
        <sz val="10"/>
        <rFont val="Arial"/>
        <family val="2"/>
      </rPr>
      <t>Orgaopublico@aluguetudo.com</t>
    </r>
  </si>
  <si>
    <r>
      <t xml:space="preserve">CNPJ: </t>
    </r>
    <r>
      <rPr>
        <sz val="10"/>
        <rFont val="Arial"/>
        <family val="2"/>
      </rPr>
      <t>13.927.801/0004-91</t>
    </r>
  </si>
  <si>
    <r>
      <rPr>
        <b/>
        <sz val="10"/>
        <rFont val="Arial"/>
        <family val="2"/>
      </rPr>
      <t xml:space="preserve">E-mail: </t>
    </r>
    <r>
      <rPr>
        <sz val="10"/>
        <rFont val="Arial"/>
        <family val="2"/>
      </rPr>
      <t>orgaopublico@aluguetudo.com</t>
    </r>
  </si>
  <si>
    <t xml:space="preserve">Cliente: </t>
  </si>
  <si>
    <r>
      <t xml:space="preserve">Razão Social: </t>
    </r>
    <r>
      <rPr>
        <sz val="10"/>
        <rFont val="Arial"/>
        <family val="2"/>
      </rPr>
      <t>Secretaria Municipal da Fazenda</t>
    </r>
  </si>
  <si>
    <r>
      <t xml:space="preserve">Gestor: </t>
    </r>
    <r>
      <rPr>
        <sz val="10"/>
        <rFont val="Arial"/>
        <family val="2"/>
      </rPr>
      <t>Cidélia Bispo</t>
    </r>
  </si>
  <si>
    <t>Subsecretario</t>
  </si>
  <si>
    <r>
      <t xml:space="preserve">Razão Social: </t>
    </r>
    <r>
      <rPr>
        <sz val="10"/>
        <rFont val="Arial"/>
        <family val="2"/>
      </rPr>
      <t>Secretaria Municipal de Reparação - Semur</t>
    </r>
    <r>
      <rPr>
        <b/>
        <sz val="10"/>
        <rFont val="Arial"/>
        <family val="2"/>
      </rPr>
      <t xml:space="preserve"> </t>
    </r>
  </si>
  <si>
    <r>
      <t>CNPJ:</t>
    </r>
    <r>
      <rPr>
        <sz val="10"/>
        <rFont val="Arial"/>
        <family val="2"/>
      </rPr>
      <t xml:space="preserve"> 13.927.801/0023-54</t>
    </r>
  </si>
  <si>
    <r>
      <t xml:space="preserve">Gestor: </t>
    </r>
    <r>
      <rPr>
        <sz val="10"/>
        <rFont val="Arial"/>
        <family val="2"/>
      </rPr>
      <t>Manoela Barreto</t>
    </r>
  </si>
  <si>
    <r>
      <t xml:space="preserve">CNPJ:  </t>
    </r>
    <r>
      <rPr>
        <sz val="10"/>
        <rFont val="Arial"/>
        <family val="2"/>
      </rPr>
      <t>13.927.801/0023-54</t>
    </r>
  </si>
  <si>
    <r>
      <t xml:space="preserve">Razão Social:  </t>
    </r>
    <r>
      <rPr>
        <sz val="10"/>
        <rFont val="Arial"/>
        <family val="2"/>
      </rPr>
      <t xml:space="preserve">Secretaria Municipal de Reparação - Semur </t>
    </r>
  </si>
  <si>
    <t xml:space="preserve">Cliente </t>
  </si>
  <si>
    <r>
      <t xml:space="preserve">Razão Social: </t>
    </r>
    <r>
      <rPr>
        <sz val="10"/>
        <rFont val="Arial"/>
        <family val="2"/>
      </rPr>
      <t>Municipio de Salvador - SEMDEC</t>
    </r>
  </si>
  <si>
    <r>
      <t xml:space="preserve">Razão Social: </t>
    </r>
    <r>
      <rPr>
        <sz val="10"/>
        <rFont val="Arial"/>
        <family val="2"/>
      </rPr>
      <t>Municipio de Salvador - SEMAN</t>
    </r>
  </si>
  <si>
    <r>
      <t xml:space="preserve">Unidade: </t>
    </r>
    <r>
      <rPr>
        <sz val="10"/>
        <rFont val="Arial"/>
        <family val="2"/>
      </rPr>
      <t>Prefeitura Bairro - Itapuã</t>
    </r>
  </si>
  <si>
    <t xml:space="preserve">Supervisor </t>
  </si>
  <si>
    <t>10128</t>
  </si>
  <si>
    <t xml:space="preserve">Sala de Sandoval </t>
  </si>
  <si>
    <t xml:space="preserve">Copa Corredor </t>
  </si>
  <si>
    <t>SEGOV</t>
  </si>
  <si>
    <r>
      <t xml:space="preserve">Unidade: </t>
    </r>
    <r>
      <rPr>
        <sz val="10"/>
        <rFont val="Arial"/>
        <family val="2"/>
      </rPr>
      <t>Escritório de Governança Social</t>
    </r>
  </si>
  <si>
    <r>
      <t xml:space="preserve">Unidade: </t>
    </r>
    <r>
      <rPr>
        <sz val="10"/>
        <rFont val="Arial"/>
        <family val="2"/>
      </rPr>
      <t>Prefeitura Bairro - Pau da Lima</t>
    </r>
  </si>
  <si>
    <t>Chefia Administrativa</t>
  </si>
  <si>
    <t>Chefia Comunitária</t>
  </si>
  <si>
    <t>Suporte de Informática</t>
  </si>
  <si>
    <t>Diretoria</t>
  </si>
  <si>
    <t xml:space="preserve">Recepção da Diretoria </t>
  </si>
  <si>
    <t>Copa (Subsolo)</t>
  </si>
  <si>
    <t>12014</t>
  </si>
  <si>
    <t>12029</t>
  </si>
  <si>
    <t>11555</t>
  </si>
  <si>
    <t>11529</t>
  </si>
  <si>
    <t>12080</t>
  </si>
  <si>
    <t>Sala NTI</t>
  </si>
  <si>
    <t>Sala do Goc</t>
  </si>
  <si>
    <t>Secof</t>
  </si>
  <si>
    <t>Secretaria do Inspetor</t>
  </si>
  <si>
    <t>Sala do Inspetor</t>
  </si>
  <si>
    <t>Corpo da Guarda</t>
  </si>
  <si>
    <t>Paiol</t>
  </si>
  <si>
    <t>Ceop</t>
  </si>
  <si>
    <r>
      <t xml:space="preserve">CNPJ: </t>
    </r>
    <r>
      <rPr>
        <sz val="10"/>
        <rFont val="Arial"/>
        <family val="2"/>
      </rPr>
      <t>13.927.801/0010-30</t>
    </r>
  </si>
  <si>
    <r>
      <t xml:space="preserve">Razão Social: </t>
    </r>
    <r>
      <rPr>
        <sz val="10"/>
        <rFont val="Arial"/>
        <family val="2"/>
      </rPr>
      <t>Secretaria Municipal de Ordem Publica</t>
    </r>
  </si>
  <si>
    <t>Nof</t>
  </si>
  <si>
    <t>Segep</t>
  </si>
  <si>
    <t>Segem Sala Cesar</t>
  </si>
  <si>
    <t>Sala Cat</t>
  </si>
  <si>
    <t>Sala Nti</t>
  </si>
  <si>
    <t>Apoio CCCO 7° andar</t>
  </si>
  <si>
    <t>Apoio Adm CCAU 8° andar</t>
  </si>
  <si>
    <t>Nuap 9° Andar</t>
  </si>
  <si>
    <t>Anexo ao Nuap 9° Andar</t>
  </si>
  <si>
    <t>Recepção c / Rpgms 9° andar</t>
  </si>
  <si>
    <t>Apoio Limpeza 10° andar</t>
  </si>
  <si>
    <t xml:space="preserve">Sala do Motorista 10° andar </t>
  </si>
  <si>
    <t>Apoio ADM Cad 10° andar</t>
  </si>
  <si>
    <t>Sala Catarina</t>
  </si>
  <si>
    <r>
      <t xml:space="preserve">Unidade: </t>
    </r>
    <r>
      <rPr>
        <sz val="10"/>
        <rFont val="Arial"/>
        <family val="2"/>
      </rPr>
      <t>Dois Leões</t>
    </r>
  </si>
  <si>
    <t>SEARQ / SALA 06</t>
  </si>
  <si>
    <t>CEM Após Recepção 18° Andar</t>
  </si>
  <si>
    <t>CLA Nobraik 19° Andar</t>
  </si>
  <si>
    <t>Gerencia CAD 19° andar</t>
  </si>
  <si>
    <t>Gerencia Gfis</t>
  </si>
  <si>
    <t>Auditoria</t>
  </si>
  <si>
    <t>Ger. Gerpe</t>
  </si>
  <si>
    <t>Getec / Gerencia Basica</t>
  </si>
  <si>
    <t>CAF</t>
  </si>
  <si>
    <t>Almoxarifado</t>
  </si>
  <si>
    <t>Sala de Instrução</t>
  </si>
  <si>
    <t>Sala de Reunião do Gabinete</t>
  </si>
  <si>
    <t xml:space="preserve">Servidor </t>
  </si>
  <si>
    <t xml:space="preserve">Arquivo Geral </t>
  </si>
  <si>
    <t>Coord Cad</t>
  </si>
  <si>
    <t>Recepção Cad</t>
  </si>
  <si>
    <t>Reunião I 8° Andar</t>
  </si>
  <si>
    <t>Coord CCAU 8 Andar</t>
  </si>
  <si>
    <t>Reunião 10 Andar</t>
  </si>
  <si>
    <t>Tecnico de Suporte 10 Andar</t>
  </si>
  <si>
    <t>Chefe Nti Desenvolvedores</t>
  </si>
  <si>
    <t>Reunião 9 andar</t>
  </si>
  <si>
    <t>Hall 9 Andar</t>
  </si>
  <si>
    <t>Gab. Sub 9 andar</t>
  </si>
  <si>
    <t>Audiência Oitiva</t>
  </si>
  <si>
    <t>Reunião Aberta Uci I, II, III</t>
  </si>
  <si>
    <t>Cobertura Auditorio</t>
  </si>
  <si>
    <t>Gepese / Familia Acolhedora</t>
  </si>
  <si>
    <t>Gepes / Sala Meg</t>
  </si>
  <si>
    <t>Sala Senai 1 andar</t>
  </si>
  <si>
    <t>Gerap Cap Recepcao 18° Andar</t>
  </si>
  <si>
    <t>Gasup 19° Andar</t>
  </si>
  <si>
    <t>AUDITÓRIO</t>
  </si>
  <si>
    <t>Sala Cpr</t>
  </si>
  <si>
    <r>
      <t xml:space="preserve">CNPJ: </t>
    </r>
    <r>
      <rPr>
        <sz val="10"/>
        <rFont val="Arial"/>
        <family val="2"/>
      </rPr>
      <t>13.927.801/0033-26</t>
    </r>
  </si>
  <si>
    <t>Atendimento</t>
  </si>
  <si>
    <t>Protocolo</t>
  </si>
  <si>
    <r>
      <t xml:space="preserve">CNPJ: </t>
    </r>
    <r>
      <rPr>
        <sz val="10"/>
        <rFont val="Arial"/>
        <family val="2"/>
      </rPr>
      <t>13.927.801/0011-10</t>
    </r>
  </si>
  <si>
    <r>
      <t>Gestor:</t>
    </r>
    <r>
      <rPr>
        <sz val="10"/>
        <rFont val="Arial"/>
        <family val="2"/>
      </rPr>
      <t xml:space="preserve"> Olivia Ribeiro</t>
    </r>
  </si>
  <si>
    <t xml:space="preserve">Supervisão Carpintaria </t>
  </si>
  <si>
    <t>Coordenação</t>
  </si>
  <si>
    <t>Multiuso / Sebrae</t>
  </si>
  <si>
    <t>Reunião</t>
  </si>
  <si>
    <t>Atendimento 01</t>
  </si>
  <si>
    <t>Atendimento 02/03</t>
  </si>
  <si>
    <r>
      <t xml:space="preserve">Unidade: </t>
    </r>
    <r>
      <rPr>
        <sz val="10"/>
        <rFont val="Arial"/>
        <family val="2"/>
      </rPr>
      <t>Sac Empreendedor</t>
    </r>
  </si>
  <si>
    <r>
      <t xml:space="preserve">Unidade: </t>
    </r>
    <r>
      <rPr>
        <sz val="10"/>
        <rFont val="Arial"/>
        <family val="2"/>
      </rPr>
      <t xml:space="preserve">Sede </t>
    </r>
  </si>
  <si>
    <t>,</t>
  </si>
  <si>
    <r>
      <t xml:space="preserve">Gestor: </t>
    </r>
    <r>
      <rPr>
        <sz val="10"/>
        <rFont val="Arial"/>
        <family val="2"/>
      </rPr>
      <t xml:space="preserve"> Terezinha Jesus</t>
    </r>
  </si>
  <si>
    <t>Sala de Qualificação</t>
  </si>
  <si>
    <t>Assessoria da Secretaria</t>
  </si>
  <si>
    <t>NOF</t>
  </si>
  <si>
    <t>CAD</t>
  </si>
  <si>
    <t>SUB</t>
  </si>
  <si>
    <r>
      <t xml:space="preserve">Unidade: </t>
    </r>
    <r>
      <rPr>
        <sz val="10"/>
        <rFont val="Arial"/>
        <family val="2"/>
      </rPr>
      <t>Sac Nautica</t>
    </r>
  </si>
  <si>
    <r>
      <t xml:space="preserve">Razão Social: </t>
    </r>
    <r>
      <rPr>
        <sz val="10"/>
        <rFont val="Arial"/>
        <family val="2"/>
      </rPr>
      <t>Municipio de Salvador - SECOM</t>
    </r>
  </si>
  <si>
    <r>
      <t xml:space="preserve">Razão Social: </t>
    </r>
    <r>
      <rPr>
        <sz val="10"/>
        <rFont val="Arial"/>
        <family val="2"/>
      </rPr>
      <t>Municipio de Salvador - SEINFRA</t>
    </r>
  </si>
  <si>
    <r>
      <t>CNPJ:</t>
    </r>
    <r>
      <rPr>
        <sz val="10"/>
        <rFont val="Arial"/>
        <family val="2"/>
      </rPr>
      <t>13.927.801/0003-00</t>
    </r>
  </si>
  <si>
    <r>
      <t>Razão Social:</t>
    </r>
    <r>
      <rPr>
        <sz val="10"/>
        <rFont val="Arial"/>
        <family val="2"/>
      </rPr>
      <t xml:space="preserve"> MUNICIPIO DE SALVADOR - SEMGE</t>
    </r>
  </si>
  <si>
    <r>
      <t xml:space="preserve">Gestor: </t>
    </r>
    <r>
      <rPr>
        <sz val="10"/>
        <rFont val="Arial"/>
        <family val="2"/>
      </rPr>
      <t xml:space="preserve">Eduardo </t>
    </r>
  </si>
  <si>
    <r>
      <t xml:space="preserve">Razão Social: </t>
    </r>
    <r>
      <rPr>
        <sz val="10"/>
        <rFont val="Arial"/>
        <family val="2"/>
      </rPr>
      <t>MUNICIPIO DE SALVADOR - SEMGE</t>
    </r>
  </si>
  <si>
    <r>
      <t xml:space="preserve">CNPJ: </t>
    </r>
    <r>
      <rPr>
        <sz val="10"/>
        <rFont val="Arial"/>
        <family val="2"/>
      </rPr>
      <t>13.927.801/0003-00</t>
    </r>
  </si>
  <si>
    <r>
      <t xml:space="preserve">Gestor: </t>
    </r>
    <r>
      <rPr>
        <sz val="10"/>
        <rFont val="Arial"/>
        <family val="2"/>
      </rPr>
      <t>Eduardo</t>
    </r>
  </si>
  <si>
    <t>Assessoria Subsecretário</t>
  </si>
  <si>
    <t>Subsecretário</t>
  </si>
  <si>
    <r>
      <t xml:space="preserve">Unidade: </t>
    </r>
    <r>
      <rPr>
        <sz val="10"/>
        <rFont val="Arial"/>
        <family val="2"/>
      </rPr>
      <t>Prefeitura Bairro - Liberdade</t>
    </r>
  </si>
  <si>
    <t>Farmácia</t>
  </si>
  <si>
    <t>Balcão de Justiça</t>
  </si>
  <si>
    <t>T.R.E</t>
  </si>
  <si>
    <t>14637</t>
  </si>
  <si>
    <t>14608</t>
  </si>
  <si>
    <t>15979</t>
  </si>
  <si>
    <t>7237</t>
  </si>
  <si>
    <t>Atendimento 02</t>
  </si>
  <si>
    <t>010344</t>
  </si>
  <si>
    <t>010336</t>
  </si>
  <si>
    <t>Atendimento Térreo</t>
  </si>
  <si>
    <t>7490</t>
  </si>
  <si>
    <t>6701</t>
  </si>
  <si>
    <t>Auditório</t>
  </si>
  <si>
    <r>
      <t xml:space="preserve">Gestor: </t>
    </r>
    <r>
      <rPr>
        <sz val="10"/>
        <rFont val="Arial"/>
        <family val="2"/>
      </rPr>
      <t>Robson Cunha</t>
    </r>
  </si>
  <si>
    <r>
      <t>Unidade:</t>
    </r>
    <r>
      <rPr>
        <sz val="10"/>
        <rFont val="Arial"/>
        <family val="2"/>
      </rPr>
      <t xml:space="preserve"> Conselho Tutelar Ilhas</t>
    </r>
    <r>
      <rPr>
        <b/>
        <sz val="10"/>
        <rFont val="Arial"/>
        <family val="2"/>
      </rPr>
      <t xml:space="preserve"> </t>
    </r>
  </si>
  <si>
    <r>
      <t>Unidade:</t>
    </r>
    <r>
      <rPr>
        <sz val="10"/>
        <rFont val="Arial"/>
        <family val="2"/>
      </rPr>
      <t xml:space="preserve"> Conselho Tutelar Liberdade</t>
    </r>
  </si>
  <si>
    <r>
      <t>Unidade:</t>
    </r>
    <r>
      <rPr>
        <sz val="10"/>
        <rFont val="Arial"/>
        <family val="2"/>
      </rPr>
      <t xml:space="preserve"> Conselho Tutelar Roma</t>
    </r>
  </si>
  <si>
    <r>
      <t>Unidade:</t>
    </r>
    <r>
      <rPr>
        <sz val="10"/>
        <rFont val="Arial"/>
        <family val="2"/>
      </rPr>
      <t xml:space="preserve"> Conselho Tutelar São Caetano</t>
    </r>
  </si>
  <si>
    <r>
      <t>Unidade:</t>
    </r>
    <r>
      <rPr>
        <sz val="10"/>
        <rFont val="Arial"/>
        <family val="2"/>
      </rPr>
      <t xml:space="preserve"> Conselho Tutelar Itapuã</t>
    </r>
  </si>
  <si>
    <r>
      <t>Unidade:</t>
    </r>
    <r>
      <rPr>
        <sz val="10"/>
        <rFont val="Arial"/>
        <family val="2"/>
      </rPr>
      <t xml:space="preserve"> Centro de Treinamento Informática</t>
    </r>
  </si>
  <si>
    <r>
      <t>Unidade:</t>
    </r>
    <r>
      <rPr>
        <sz val="10"/>
        <rFont val="Arial"/>
        <family val="2"/>
      </rPr>
      <t xml:space="preserve"> Conselho Tutelar Barra</t>
    </r>
  </si>
  <si>
    <r>
      <t>Unidade:</t>
    </r>
    <r>
      <rPr>
        <sz val="10"/>
        <rFont val="Arial"/>
        <family val="2"/>
      </rPr>
      <t xml:space="preserve"> Conselho Tutelar Barroquinha</t>
    </r>
  </si>
  <si>
    <t>3 Andar CMDCA</t>
  </si>
  <si>
    <t>Sala 01</t>
  </si>
  <si>
    <t>Sala 02</t>
  </si>
  <si>
    <t>Sala 03</t>
  </si>
  <si>
    <t>Sala 04</t>
  </si>
  <si>
    <t>Sala 05</t>
  </si>
  <si>
    <t>Recepção</t>
  </si>
  <si>
    <t>Sala do Guarda</t>
  </si>
  <si>
    <t xml:space="preserve">Sala Técnica </t>
  </si>
  <si>
    <t>Sala de Reunião</t>
  </si>
  <si>
    <t>Recepçao</t>
  </si>
  <si>
    <t>Recepcao</t>
  </si>
  <si>
    <t xml:space="preserve">Corredor </t>
  </si>
  <si>
    <t>Diretoria Dgb</t>
  </si>
  <si>
    <t>Cad</t>
  </si>
  <si>
    <t>Segep / Recepção</t>
  </si>
  <si>
    <t>Segep / Chefe</t>
  </si>
  <si>
    <t>Coord. CCO</t>
  </si>
  <si>
    <t>DDT</t>
  </si>
  <si>
    <t>Assip</t>
  </si>
  <si>
    <t>Recepção / Dit</t>
  </si>
  <si>
    <t>Ascom</t>
  </si>
  <si>
    <t>Asseg / Corsel</t>
  </si>
  <si>
    <t>Asseg /  Gecom</t>
  </si>
  <si>
    <t>Gabinete Sec</t>
  </si>
  <si>
    <t>Setir</t>
  </si>
  <si>
    <t>Dot</t>
  </si>
  <si>
    <t>Seeqs / Sefig</t>
  </si>
  <si>
    <t>Apoio / Cofat</t>
  </si>
  <si>
    <t>Supervisao Cofat</t>
  </si>
  <si>
    <t>Secretaria Cofat</t>
  </si>
  <si>
    <t>Coord. Cofat</t>
  </si>
  <si>
    <t>Recepção / Copro</t>
  </si>
  <si>
    <t xml:space="preserve">Coord. Copro </t>
  </si>
  <si>
    <t>Copro / Sepv</t>
  </si>
  <si>
    <t>Arquivo Copro</t>
  </si>
  <si>
    <t>Astec</t>
  </si>
  <si>
    <t>CICTR / Transcord</t>
  </si>
  <si>
    <t>Estação NTI</t>
  </si>
  <si>
    <t>Cad / Adm</t>
  </si>
  <si>
    <t>Cad / Coord</t>
  </si>
  <si>
    <t xml:space="preserve">Sala de reuniao </t>
  </si>
  <si>
    <t>Cad / Seges</t>
  </si>
  <si>
    <t>Gestor / Nti</t>
  </si>
  <si>
    <t>Semob /  Subsecretario</t>
  </si>
  <si>
    <t>Semob /  Secretario da Sub</t>
  </si>
  <si>
    <t xml:space="preserve">Seits / CCO </t>
  </si>
  <si>
    <t>Geps</t>
  </si>
  <si>
    <t xml:space="preserve">Diretor / Dit </t>
  </si>
  <si>
    <t>Dpt</t>
  </si>
  <si>
    <t>Diretor / Dpt</t>
  </si>
  <si>
    <t>Asseg / Gecom</t>
  </si>
  <si>
    <t>Setor Reunião Gab /  Secrets</t>
  </si>
  <si>
    <t>Guarda Cgm</t>
  </si>
  <si>
    <t>Seive</t>
  </si>
  <si>
    <t>Cofot / Sebrt</t>
  </si>
  <si>
    <t>Nof / Fmmu</t>
  </si>
  <si>
    <t>Nti</t>
  </si>
  <si>
    <t>Coaet</t>
  </si>
  <si>
    <t>Coord / CCO</t>
  </si>
  <si>
    <t>Setor Gemac</t>
  </si>
  <si>
    <t>Secretario de Mobilidade</t>
  </si>
  <si>
    <t>Setor Secec</t>
  </si>
  <si>
    <t xml:space="preserve">Antiga Sala de Reunião </t>
  </si>
  <si>
    <t>Cofat / Sfit</t>
  </si>
  <si>
    <t>Operacional Copro</t>
  </si>
  <si>
    <t>DGB</t>
  </si>
  <si>
    <t>Auditorio</t>
  </si>
  <si>
    <t>CCO</t>
  </si>
  <si>
    <t>0509</t>
  </si>
  <si>
    <t>0603</t>
  </si>
  <si>
    <t>0605</t>
  </si>
  <si>
    <t>Diretor Jornalismo</t>
  </si>
  <si>
    <t>0574</t>
  </si>
  <si>
    <t>Publicidade</t>
  </si>
  <si>
    <t>0572</t>
  </si>
  <si>
    <t>1370</t>
  </si>
  <si>
    <t>Diretoria de Comunicação Digital</t>
  </si>
  <si>
    <t>1368</t>
  </si>
  <si>
    <t>Jornalismo</t>
  </si>
  <si>
    <t>16025</t>
  </si>
  <si>
    <r>
      <t xml:space="preserve">Razão Social: </t>
    </r>
    <r>
      <rPr>
        <sz val="10"/>
        <rFont val="Arial"/>
        <family val="2"/>
      </rPr>
      <t>Fundação Mario Leal</t>
    </r>
  </si>
  <si>
    <r>
      <t xml:space="preserve">Gestor: </t>
    </r>
    <r>
      <rPr>
        <sz val="10"/>
        <rFont val="Arial"/>
        <family val="2"/>
      </rPr>
      <t>Jéssica Andrade</t>
    </r>
  </si>
  <si>
    <r>
      <t>CNPJ:</t>
    </r>
    <r>
      <rPr>
        <sz val="10"/>
        <rFont val="Arial"/>
        <family val="2"/>
      </rPr>
      <t xml:space="preserve"> 34.283.754/0001-18</t>
    </r>
  </si>
  <si>
    <t>Diretoria GPU</t>
  </si>
  <si>
    <t>Gerencia</t>
  </si>
  <si>
    <t>Sala de reunião</t>
  </si>
  <si>
    <t>Diretoria deporto NF</t>
  </si>
  <si>
    <t>Gerencia Geraf</t>
  </si>
  <si>
    <t>Setor pessoal geraf</t>
  </si>
  <si>
    <t>Sub Gerente</t>
  </si>
  <si>
    <t>Sala de reunião 02</t>
  </si>
  <si>
    <t xml:space="preserve">Arquivo Inativo </t>
  </si>
  <si>
    <t>36k</t>
  </si>
  <si>
    <t>Gerencia GPU</t>
  </si>
  <si>
    <t>Chefe de gabinete</t>
  </si>
  <si>
    <t>Assessoria Juridica</t>
  </si>
  <si>
    <t>18k</t>
  </si>
  <si>
    <t>Gabinete</t>
  </si>
  <si>
    <t>24k</t>
  </si>
  <si>
    <t>Assessoria</t>
  </si>
  <si>
    <t>Contabilidade</t>
  </si>
  <si>
    <t>Diplan</t>
  </si>
  <si>
    <t>GPU/ GGU / GPC</t>
  </si>
  <si>
    <t>GEN</t>
  </si>
  <si>
    <t>36K</t>
  </si>
  <si>
    <t>GPU</t>
  </si>
  <si>
    <t>Serviços Gepes</t>
  </si>
  <si>
    <t>18K</t>
  </si>
  <si>
    <t>48K</t>
  </si>
  <si>
    <t>Mezanino Atendimento</t>
  </si>
  <si>
    <t>1159</t>
  </si>
  <si>
    <t>Mezanino Seham</t>
  </si>
  <si>
    <t>1168</t>
  </si>
  <si>
    <t>Mezanino Escritorio Publico</t>
  </si>
  <si>
    <t>1152</t>
  </si>
  <si>
    <t xml:space="preserve">Mezanino Atendimento </t>
  </si>
  <si>
    <t>1173</t>
  </si>
  <si>
    <t>Mezanino Tecnicos</t>
  </si>
  <si>
    <t>1154</t>
  </si>
  <si>
    <t>Mezanino Arquivo</t>
  </si>
  <si>
    <t>1121</t>
  </si>
  <si>
    <t>Mezanino almoxarifado</t>
  </si>
  <si>
    <t>Mezanino sala dos motoristas</t>
  </si>
  <si>
    <t>1156</t>
  </si>
  <si>
    <t>Mezanino refeitorio</t>
  </si>
  <si>
    <t>Mezanino arquivo</t>
  </si>
  <si>
    <t>4 andar recepção</t>
  </si>
  <si>
    <t>4 andar Atendimento social</t>
  </si>
  <si>
    <t>4 andar NTI 01</t>
  </si>
  <si>
    <t>4 andar NTI 02</t>
  </si>
  <si>
    <t>4 andar Financeiro</t>
  </si>
  <si>
    <t>4 andar Nucleo Social</t>
  </si>
  <si>
    <t>4 andar Nucleo Engenharia</t>
  </si>
  <si>
    <t>4 andar Diretor</t>
  </si>
  <si>
    <t>4 andar Sala de atendimento e consultores BIO</t>
  </si>
  <si>
    <t>4 andar Atendimento tecnico</t>
  </si>
  <si>
    <t>5 andar receção</t>
  </si>
  <si>
    <t>5 andar diretor</t>
  </si>
  <si>
    <t>5 andar CRI</t>
  </si>
  <si>
    <t>5 andar Coordenador CRI</t>
  </si>
  <si>
    <t>5 andar CHB Recepção</t>
  </si>
  <si>
    <t>5 andar Coordenador de Habitação</t>
  </si>
  <si>
    <t>5 andar SETEC</t>
  </si>
  <si>
    <t>5 andar Coordenador</t>
  </si>
  <si>
    <t>5 andar Gerencia RF</t>
  </si>
  <si>
    <t>5 andar tecnicos RF</t>
  </si>
  <si>
    <t>5 andar arquivo</t>
  </si>
  <si>
    <t>5 andar tecnicos</t>
  </si>
  <si>
    <t>5 andar gerente</t>
  </si>
  <si>
    <t>5 andar gestor de habitação</t>
  </si>
  <si>
    <t>AT 68618</t>
  </si>
  <si>
    <t>6 andar secretaria</t>
  </si>
  <si>
    <t>6 andar Diretor</t>
  </si>
  <si>
    <t>6 andar tecnico Ger</t>
  </si>
  <si>
    <t>6 andar tecnico ges</t>
  </si>
  <si>
    <t>6 andar tecnico</t>
  </si>
  <si>
    <t>6 andar licitação</t>
  </si>
  <si>
    <t>6 andar assessoria</t>
  </si>
  <si>
    <t>6 andar recepção</t>
  </si>
  <si>
    <t>6 andar Tecnicos</t>
  </si>
  <si>
    <t>6 andar sala reunião</t>
  </si>
  <si>
    <t>6 andar Gerencia</t>
  </si>
  <si>
    <t>6 andar xx</t>
  </si>
  <si>
    <t>6 andar Ouvidoria</t>
  </si>
  <si>
    <t>6 andar Auditorio</t>
  </si>
  <si>
    <t>7 andar CAD Cordenador</t>
  </si>
  <si>
    <t>7 andar CAD Recepção</t>
  </si>
  <si>
    <t>7 andar CAD SEGEP</t>
  </si>
  <si>
    <t>7 andar RPGM</t>
  </si>
  <si>
    <t>7 andar Comunicação</t>
  </si>
  <si>
    <t>7 andar NOF Gestor</t>
  </si>
  <si>
    <t>7 andar NOF Tecnicos</t>
  </si>
  <si>
    <t>7 andar Subsecretario</t>
  </si>
  <si>
    <t xml:space="preserve">7 andar Recepção </t>
  </si>
  <si>
    <t>7 andar ASTEC</t>
  </si>
  <si>
    <t>AT 68860</t>
  </si>
  <si>
    <t>7 andar Recepção/ GAB</t>
  </si>
  <si>
    <t>7 andar Secretario</t>
  </si>
  <si>
    <t>Terreo Protocolo</t>
  </si>
  <si>
    <t>Terreo Atendimento</t>
  </si>
  <si>
    <t>Seinfra</t>
  </si>
  <si>
    <t>30k</t>
  </si>
  <si>
    <r>
      <t>Unidade:</t>
    </r>
    <r>
      <rPr>
        <sz val="10"/>
        <rFont val="Arial"/>
        <family val="2"/>
      </rPr>
      <t xml:space="preserve"> Conselho Tutelar Pituba</t>
    </r>
  </si>
  <si>
    <r>
      <t>Unidade:</t>
    </r>
    <r>
      <rPr>
        <sz val="10"/>
        <rFont val="Arial"/>
        <family val="2"/>
      </rPr>
      <t xml:space="preserve"> Tancredo Neves</t>
    </r>
  </si>
  <si>
    <t>Sala DEAM</t>
  </si>
  <si>
    <t>AT 68101</t>
  </si>
  <si>
    <t>AT 68104</t>
  </si>
  <si>
    <t>AT 68112</t>
  </si>
  <si>
    <t>AT 66124</t>
  </si>
  <si>
    <t>AT 67412</t>
  </si>
  <si>
    <t>AT 67415</t>
  </si>
  <si>
    <t>AT 68658 12k</t>
  </si>
  <si>
    <t>NOF / CAD</t>
  </si>
  <si>
    <t>Gabinete / secretaria</t>
  </si>
  <si>
    <t>Sala Reunião</t>
  </si>
  <si>
    <t>22k</t>
  </si>
  <si>
    <t>ASCON</t>
  </si>
  <si>
    <t>Area Tecnica</t>
  </si>
  <si>
    <t>ADM Financeiro</t>
  </si>
  <si>
    <t>E-mail:  comercial2@aluguetudo.com</t>
  </si>
  <si>
    <r>
      <t xml:space="preserve">Competência: </t>
    </r>
    <r>
      <rPr>
        <sz val="10"/>
        <rFont val="Arial"/>
        <family val="2"/>
      </rPr>
      <t>Outubro/2024</t>
    </r>
  </si>
  <si>
    <r>
      <t xml:space="preserve">Gestor: </t>
    </r>
    <r>
      <rPr>
        <sz val="10"/>
        <rFont val="Arial"/>
        <family val="2"/>
      </rPr>
      <t>Jovanka Almeida</t>
    </r>
  </si>
  <si>
    <r>
      <t xml:space="preserve">CNPJ: </t>
    </r>
    <r>
      <rPr>
        <sz val="10"/>
        <rFont val="Arial"/>
        <family val="2"/>
      </rPr>
      <t>19.762.621/0001-30</t>
    </r>
  </si>
  <si>
    <r>
      <t xml:space="preserve">Razão Social: </t>
    </r>
    <r>
      <rPr>
        <sz val="10"/>
        <rFont val="Arial"/>
        <family val="2"/>
      </rPr>
      <t>Agência Reguladora e Fiscalizadora dos Serviços Públicos de Salvador - ARSAL</t>
    </r>
  </si>
  <si>
    <t>30K</t>
  </si>
  <si>
    <t>Supervisão</t>
  </si>
  <si>
    <r>
      <t xml:space="preserve">Unidade: </t>
    </r>
    <r>
      <rPr>
        <sz val="10"/>
        <rFont val="Arial"/>
        <family val="2"/>
      </rPr>
      <t>Prédio ABI</t>
    </r>
  </si>
  <si>
    <t>SEGEC (Setor de Contratos)</t>
  </si>
  <si>
    <t>Subcoordenadoria de Apoio Téc.</t>
  </si>
  <si>
    <t>Coordenação (5º Andar)</t>
  </si>
  <si>
    <t>Assessoria do Prefeito</t>
  </si>
  <si>
    <t>Apoio CCAN 8°andar</t>
  </si>
  <si>
    <t>Espera Reunião 9° andar</t>
  </si>
  <si>
    <t>Rpgms Procuradoria 9° andar</t>
  </si>
  <si>
    <t>NUACP 8° andar</t>
  </si>
  <si>
    <t>NUALC  8° andar</t>
  </si>
  <si>
    <t>APOIO CCT 8° andar</t>
  </si>
  <si>
    <t>Reunião I 7° andar</t>
  </si>
  <si>
    <t>Nuagr 8 Andar</t>
  </si>
  <si>
    <t>Nupla 8 Andar</t>
  </si>
  <si>
    <t>Coord CCAN 8 Andar</t>
  </si>
  <si>
    <t>Secin / Secoe / Sempc / Semar 7 andar</t>
  </si>
  <si>
    <t>Coord CCTI 7 andar</t>
  </si>
  <si>
    <t>Coord CCO 7 andar</t>
  </si>
  <si>
    <t>Seodp 7 andar</t>
  </si>
  <si>
    <t>Setra / Secos</t>
  </si>
  <si>
    <t>Gab. Com 9 Andar</t>
  </si>
  <si>
    <t>Recepcao Gab. Com 9 Andar</t>
  </si>
  <si>
    <t>Apoio 9 Andar</t>
  </si>
  <si>
    <t xml:space="preserve">Circ </t>
  </si>
  <si>
    <t>Whorkshop</t>
  </si>
  <si>
    <t>Assessoria Gab. Sub.</t>
  </si>
  <si>
    <t>Gab. CGM.</t>
  </si>
  <si>
    <t>Segem Seges</t>
  </si>
  <si>
    <t>0632</t>
  </si>
  <si>
    <t>0594</t>
  </si>
  <si>
    <t>Advogada</t>
  </si>
  <si>
    <t>0629</t>
  </si>
  <si>
    <t>Escuta Especializada</t>
  </si>
  <si>
    <t>0598</t>
  </si>
  <si>
    <t>Secretario</t>
  </si>
  <si>
    <t>0596</t>
  </si>
  <si>
    <t>Sala Motorista</t>
  </si>
  <si>
    <t>0701</t>
  </si>
  <si>
    <t>Sub Fin</t>
  </si>
  <si>
    <t>0801</t>
  </si>
  <si>
    <t>2355</t>
  </si>
  <si>
    <t xml:space="preserve">Chefe de Gabinete </t>
  </si>
  <si>
    <t xml:space="preserve">Auditorio </t>
  </si>
  <si>
    <t>0873</t>
  </si>
  <si>
    <t>1253</t>
  </si>
  <si>
    <t>WA</t>
  </si>
  <si>
    <r>
      <t xml:space="preserve">Unidade: </t>
    </r>
    <r>
      <rPr>
        <sz val="10"/>
        <rFont val="Arial"/>
        <family val="2"/>
      </rPr>
      <t>Jardim das Margaridas</t>
    </r>
  </si>
  <si>
    <t>16087</t>
  </si>
  <si>
    <t>69445 22k</t>
  </si>
  <si>
    <t>69620 22k</t>
  </si>
  <si>
    <t>Sala Senai Terreo</t>
  </si>
  <si>
    <t>Sala de Crises</t>
  </si>
  <si>
    <t>70566 18k split</t>
  </si>
  <si>
    <t>Sala Seinsc Arquivo II</t>
  </si>
  <si>
    <t>69298 pt 36k</t>
  </si>
  <si>
    <t>69894 22k</t>
  </si>
  <si>
    <t>CLA</t>
  </si>
  <si>
    <t>CPE</t>
  </si>
  <si>
    <t>PASSEIO</t>
  </si>
  <si>
    <t>ALMOXARIFADO</t>
  </si>
  <si>
    <t>CPL</t>
  </si>
  <si>
    <t>RH</t>
  </si>
  <si>
    <t>SECOB</t>
  </si>
  <si>
    <t>SCT</t>
  </si>
  <si>
    <t>GERIN</t>
  </si>
  <si>
    <t>RECEPÇÃO GABINETE</t>
  </si>
  <si>
    <t xml:space="preserve">SALA SECRETÁRIO </t>
  </si>
  <si>
    <t>CEM</t>
  </si>
  <si>
    <t>SESIM</t>
  </si>
  <si>
    <t>CJA</t>
  </si>
  <si>
    <t>FAMB</t>
  </si>
  <si>
    <t>CAP</t>
  </si>
  <si>
    <t>GEFIS</t>
  </si>
  <si>
    <t>MINISTÉRIO</t>
  </si>
  <si>
    <t>SONORA</t>
  </si>
  <si>
    <t>MEZANINO</t>
  </si>
  <si>
    <t>GAB2</t>
  </si>
  <si>
    <t>TRANSPORTE</t>
  </si>
  <si>
    <t>ATENDIMENTO</t>
  </si>
  <si>
    <t>ARQUIVO</t>
  </si>
  <si>
    <t>SALA DE REUNIÃO GRANDE</t>
  </si>
  <si>
    <t>RECEPÇÃO 19º</t>
  </si>
  <si>
    <t>RECEPÇÃO 18º</t>
  </si>
  <si>
    <t xml:space="preserve">CPL </t>
  </si>
  <si>
    <t>GERAF (SCF)</t>
  </si>
  <si>
    <t>SUAD</t>
  </si>
  <si>
    <t xml:space="preserve">GERIN </t>
  </si>
  <si>
    <t xml:space="preserve">ASJUR </t>
  </si>
  <si>
    <t xml:space="preserve">CPE </t>
  </si>
  <si>
    <t xml:space="preserve">CPF </t>
  </si>
  <si>
    <t xml:space="preserve">SESIM </t>
  </si>
  <si>
    <t xml:space="preserve">FAMB </t>
  </si>
  <si>
    <t>MINISTERIO</t>
  </si>
  <si>
    <t xml:space="preserve">SONORA </t>
  </si>
  <si>
    <r>
      <t>Unidade:</t>
    </r>
    <r>
      <rPr>
        <sz val="10"/>
        <rFont val="Arial"/>
        <family val="2"/>
      </rPr>
      <t xml:space="preserve"> Sede</t>
    </r>
  </si>
  <si>
    <r>
      <t>Unidade:</t>
    </r>
    <r>
      <rPr>
        <sz val="10"/>
        <rFont val="Arial"/>
        <family val="2"/>
      </rPr>
      <t xml:space="preserve"> Todas</t>
    </r>
  </si>
  <si>
    <r>
      <t xml:space="preserve">Gestor: </t>
    </r>
    <r>
      <rPr>
        <sz val="10"/>
        <rFont val="Arial"/>
        <family val="2"/>
      </rPr>
      <t>Davi Garrido</t>
    </r>
  </si>
  <si>
    <r>
      <t xml:space="preserve">Gestor: </t>
    </r>
    <r>
      <rPr>
        <sz val="10"/>
        <rFont val="Arial"/>
        <family val="2"/>
      </rPr>
      <t>Luana Dantas</t>
    </r>
  </si>
  <si>
    <r>
      <t xml:space="preserve">Razão Social: </t>
    </r>
    <r>
      <rPr>
        <sz val="10"/>
        <rFont val="Arial"/>
        <family val="2"/>
      </rPr>
      <t xml:space="preserve">FUNDAÇÃO GREGORIO DE MATTOS </t>
    </r>
  </si>
  <si>
    <r>
      <t>CNPJ:</t>
    </r>
    <r>
      <rPr>
        <sz val="10"/>
        <rFont val="Arial"/>
        <family val="2"/>
      </rPr>
      <t xml:space="preserve"> 15.185.234/0001-28</t>
    </r>
  </si>
  <si>
    <r>
      <t>Gestor:</t>
    </r>
    <r>
      <rPr>
        <sz val="10"/>
        <rFont val="Arial"/>
        <family val="2"/>
      </rPr>
      <t xml:space="preserve"> Aline Guimarães</t>
    </r>
  </si>
  <si>
    <t>TEATRO</t>
  </si>
  <si>
    <r>
      <t>Unidade:</t>
    </r>
    <r>
      <rPr>
        <sz val="10"/>
        <rFont val="Arial"/>
        <family val="2"/>
      </rPr>
      <t xml:space="preserve"> Teatro Gregorio</t>
    </r>
    <r>
      <rPr>
        <b/>
        <sz val="10"/>
        <rFont val="Arial"/>
        <family val="2"/>
      </rPr>
      <t xml:space="preserve"> </t>
    </r>
  </si>
  <si>
    <t>INFO CENTRO</t>
  </si>
  <si>
    <t xml:space="preserve">ADM </t>
  </si>
  <si>
    <r>
      <t>Unidade:</t>
    </r>
    <r>
      <rPr>
        <sz val="10"/>
        <rFont val="Arial"/>
        <family val="2"/>
      </rPr>
      <t xml:space="preserve"> Biblioteca Edgar</t>
    </r>
  </si>
  <si>
    <t xml:space="preserve">SALA INFANTIL </t>
  </si>
  <si>
    <t>INFO CENTRO I</t>
  </si>
  <si>
    <t xml:space="preserve">COORDENAÇÃO </t>
  </si>
  <si>
    <t>INFO CENTRO II</t>
  </si>
  <si>
    <t>SALA O PENSADOR</t>
  </si>
  <si>
    <t>MULTIUSO</t>
  </si>
  <si>
    <t xml:space="preserve">SALA CONSULTA I </t>
  </si>
  <si>
    <t>SALA CONSULTA II</t>
  </si>
  <si>
    <r>
      <t xml:space="preserve">Unidade: </t>
    </r>
    <r>
      <rPr>
        <sz val="10"/>
        <rFont val="Arial"/>
        <family val="2"/>
      </rPr>
      <t>Biblioteca Denise</t>
    </r>
  </si>
  <si>
    <r>
      <t xml:space="preserve">CNPJ: </t>
    </r>
    <r>
      <rPr>
        <sz val="10"/>
        <rFont val="Arial"/>
        <family val="2"/>
      </rPr>
      <t>34.283.754/0001-18</t>
    </r>
  </si>
  <si>
    <t>PT 37K WA</t>
  </si>
  <si>
    <t>PT 48K WA</t>
  </si>
  <si>
    <t>69740 AT</t>
  </si>
  <si>
    <t>ASSEG / DGOL</t>
  </si>
  <si>
    <t>69787 22k</t>
  </si>
  <si>
    <t>AT 68912 22k</t>
  </si>
  <si>
    <t>AT 69029 22k</t>
  </si>
  <si>
    <t>AT 69150 22k</t>
  </si>
  <si>
    <t>AT 69212 22k</t>
  </si>
  <si>
    <t>Sala NOF</t>
  </si>
  <si>
    <t>Sala Cosel</t>
  </si>
  <si>
    <r>
      <t xml:space="preserve">Unidade: </t>
    </r>
    <r>
      <rPr>
        <sz val="10"/>
        <rFont val="Arial"/>
        <family val="2"/>
      </rPr>
      <t>Núcleo de Apoio à Primeira Infância</t>
    </r>
  </si>
  <si>
    <t>Sala dos Técnicos</t>
  </si>
  <si>
    <r>
      <t xml:space="preserve">Unidade: </t>
    </r>
    <r>
      <rPr>
        <sz val="10"/>
        <rFont val="Arial"/>
        <family val="2"/>
      </rPr>
      <t>Prefeitura Bairro - Cabula</t>
    </r>
  </si>
  <si>
    <t>Antigo Balcão de Justiça</t>
  </si>
  <si>
    <r>
      <t xml:space="preserve">Unidade: </t>
    </r>
    <r>
      <rPr>
        <sz val="10"/>
        <rFont val="Arial"/>
        <family val="2"/>
      </rPr>
      <t xml:space="preserve">Prefeitura Bairro - Subúrbio </t>
    </r>
  </si>
  <si>
    <t>Balcão de Justiça (Térreo)</t>
  </si>
  <si>
    <t>Telefonista (3º Andar)</t>
  </si>
  <si>
    <t>Copa (5º Andar)</t>
  </si>
  <si>
    <t xml:space="preserve">Sala de Apoio a Limpeza </t>
  </si>
  <si>
    <t>Folha de Pagamento Terreo</t>
  </si>
  <si>
    <t>70081 36k</t>
  </si>
  <si>
    <t>Auditorio - Palacete</t>
  </si>
  <si>
    <r>
      <t xml:space="preserve">Gestor:  </t>
    </r>
    <r>
      <rPr>
        <sz val="10"/>
        <rFont val="Arial"/>
        <family val="2"/>
      </rPr>
      <t>Luana Dantas</t>
    </r>
  </si>
  <si>
    <r>
      <t xml:space="preserve">Gestor: </t>
    </r>
    <r>
      <rPr>
        <sz val="10"/>
        <rFont val="Arial"/>
        <family val="2"/>
      </rPr>
      <t xml:space="preserve"> Luana Dantas</t>
    </r>
  </si>
  <si>
    <t>SEGEP - RH</t>
  </si>
  <si>
    <r>
      <t xml:space="preserve">Unidade: </t>
    </r>
    <r>
      <rPr>
        <sz val="10"/>
        <rFont val="Arial"/>
        <family val="2"/>
      </rPr>
      <t>Comércio</t>
    </r>
  </si>
  <si>
    <t>ASSIS SOCIAL LGBT</t>
  </si>
  <si>
    <t>MARCELO LGBT</t>
  </si>
  <si>
    <t>SALA ZÚ LGBT</t>
  </si>
  <si>
    <t>SUB SECRETÁRIO</t>
  </si>
  <si>
    <t>CONSELHO LGBT</t>
  </si>
  <si>
    <t>AUDITORIO LGBT</t>
  </si>
  <si>
    <t>NTI LGBT</t>
  </si>
  <si>
    <t>RECEPÇÃO VAIXO LGBT</t>
  </si>
  <si>
    <t xml:space="preserve">ASCOM </t>
  </si>
  <si>
    <t>CAT</t>
  </si>
  <si>
    <t>SALA JURIDICO</t>
  </si>
  <si>
    <t xml:space="preserve">CPD OBSERVATÓRIO </t>
  </si>
  <si>
    <t>QUILOMBOLAS 1</t>
  </si>
  <si>
    <t>QUILOMBOLAS1</t>
  </si>
  <si>
    <r>
      <t xml:space="preserve">Unidade: </t>
    </r>
    <r>
      <rPr>
        <sz val="10"/>
        <rFont val="Arial"/>
        <family val="2"/>
      </rPr>
      <t>Todos</t>
    </r>
  </si>
  <si>
    <t>Recpção  DFIS 19º andar</t>
  </si>
  <si>
    <t>AT 68610</t>
  </si>
  <si>
    <t>AT 68613</t>
  </si>
  <si>
    <t>Ouvidoria 19 andar</t>
  </si>
  <si>
    <t>Chefia Sonora 18 andar</t>
  </si>
  <si>
    <t>69409 AT</t>
  </si>
  <si>
    <t>66345 AT</t>
  </si>
  <si>
    <t>67601 AT</t>
  </si>
  <si>
    <t>66346 AT</t>
  </si>
  <si>
    <t>69164 AT</t>
  </si>
  <si>
    <t>Sala Observatorio Disc</t>
  </si>
  <si>
    <t>Sala Coordenação Obser Disc</t>
  </si>
  <si>
    <t>69951 AT</t>
  </si>
  <si>
    <t>Sala de Estudos - Quilombola</t>
  </si>
  <si>
    <t>Quarto 3 - Quilombola</t>
  </si>
  <si>
    <t>68326 22k</t>
  </si>
  <si>
    <t>Almoxarifado novo</t>
  </si>
  <si>
    <t>Sala de Transportes</t>
  </si>
  <si>
    <t>SubAdm</t>
  </si>
  <si>
    <t>16139</t>
  </si>
  <si>
    <t>Acrescimo</t>
  </si>
  <si>
    <t>Supressão</t>
  </si>
  <si>
    <t>COT / 22K</t>
  </si>
  <si>
    <t>Unidade:  Edfº Nossa Senhora da Ajuda</t>
  </si>
  <si>
    <t xml:space="preserve">3 Andar Prestação de Contas </t>
  </si>
  <si>
    <t>5 Andar Gabinete - Recepção Moara</t>
  </si>
  <si>
    <t xml:space="preserve">5 andar Secretária </t>
  </si>
  <si>
    <t>CAD sala antiga FMDCA</t>
  </si>
  <si>
    <t>5 Andar Nef</t>
  </si>
  <si>
    <t>Diretoria DPIJ</t>
  </si>
  <si>
    <t>NOF (Antiga CAD)</t>
  </si>
  <si>
    <t>DPM</t>
  </si>
  <si>
    <t>DPM Sala da diretoria</t>
  </si>
  <si>
    <t>Sala do primeiro passo</t>
  </si>
  <si>
    <t>FMDCA</t>
  </si>
  <si>
    <t>211935</t>
  </si>
  <si>
    <t>29746</t>
  </si>
  <si>
    <t>Sala 06</t>
  </si>
  <si>
    <t>Sala da guarda</t>
  </si>
  <si>
    <t>Sala 0001</t>
  </si>
  <si>
    <t>DPIJ</t>
  </si>
  <si>
    <t>Sala de aula</t>
  </si>
  <si>
    <t>69141 22k</t>
  </si>
  <si>
    <r>
      <t>CNPJ:</t>
    </r>
    <r>
      <rPr>
        <sz val="10"/>
        <rFont val="Arial"/>
        <family val="2"/>
      </rPr>
      <t xml:space="preserve"> 13.927.801/0031-64</t>
    </r>
  </si>
  <si>
    <r>
      <t xml:space="preserve">Gestor: </t>
    </r>
    <r>
      <rPr>
        <sz val="10"/>
        <rFont val="Arial"/>
        <family val="2"/>
      </rPr>
      <t>Juciene Santos</t>
    </r>
  </si>
  <si>
    <r>
      <t xml:space="preserve">CNPJ: </t>
    </r>
    <r>
      <rPr>
        <sz val="10"/>
        <rFont val="Arial"/>
        <family val="2"/>
      </rPr>
      <t>13.927.801/0031-64</t>
    </r>
  </si>
  <si>
    <r>
      <t xml:space="preserve">Razão Social: </t>
    </r>
    <r>
      <rPr>
        <sz val="10"/>
        <rFont val="Arial"/>
        <family val="2"/>
      </rPr>
      <t>Municipio de Salvador - SPMJ</t>
    </r>
  </si>
  <si>
    <r>
      <t xml:space="preserve">Gestor: </t>
    </r>
    <r>
      <rPr>
        <sz val="10"/>
        <rFont val="Arial"/>
        <family val="2"/>
      </rPr>
      <t>Manuela Barreto</t>
    </r>
  </si>
  <si>
    <t>5 Andar NTI</t>
  </si>
  <si>
    <t>Coord. Cooperação Internacional</t>
  </si>
  <si>
    <t>Recepção (Almoço)</t>
  </si>
  <si>
    <r>
      <t xml:space="preserve">Unidade: </t>
    </r>
    <r>
      <rPr>
        <sz val="10"/>
        <rFont val="Arial"/>
        <family val="2"/>
      </rPr>
      <t xml:space="preserve">Ouvidoria Geral do Município </t>
    </r>
  </si>
  <si>
    <t>Servidor (NTI)</t>
  </si>
  <si>
    <t>Multiuso</t>
  </si>
  <si>
    <t xml:space="preserve">Recep. Diretoria </t>
  </si>
  <si>
    <r>
      <t xml:space="preserve">Unidade: </t>
    </r>
    <r>
      <rPr>
        <sz val="10"/>
        <rFont val="Arial"/>
        <family val="2"/>
      </rPr>
      <t xml:space="preserve">Prefeitura Bairro - Cidade Baixa </t>
    </r>
  </si>
  <si>
    <t>Junta Militar</t>
  </si>
  <si>
    <t>T R E</t>
  </si>
  <si>
    <t>NTI (1º Andar)</t>
  </si>
  <si>
    <t>Chefia</t>
  </si>
  <si>
    <t>Guarda Municipal (3º andar)</t>
  </si>
  <si>
    <r>
      <t xml:space="preserve">Unidade: </t>
    </r>
    <r>
      <rPr>
        <sz val="10"/>
        <rFont val="Arial"/>
        <family val="2"/>
      </rPr>
      <t>Prefeitura Bairro - Centro</t>
    </r>
  </si>
  <si>
    <t>Secretaria da Gerência</t>
  </si>
  <si>
    <t>Gerência</t>
  </si>
  <si>
    <t>Gestão de Pessoas (5º andar)</t>
  </si>
  <si>
    <r>
      <t xml:space="preserve">Unidade: </t>
    </r>
    <r>
      <rPr>
        <sz val="10"/>
        <rFont val="Arial"/>
        <family val="2"/>
      </rPr>
      <t>Prefeitura Bairro - Valéria</t>
    </r>
  </si>
  <si>
    <t>Recep. Adm</t>
  </si>
  <si>
    <t>Sala da Coordenadora</t>
  </si>
  <si>
    <r>
      <t xml:space="preserve">Unidade: </t>
    </r>
    <r>
      <rPr>
        <sz val="10"/>
        <rFont val="Arial"/>
        <family val="2"/>
      </rPr>
      <t>SAC PB - Diretoria Geral</t>
    </r>
  </si>
  <si>
    <t>NTI (2º andar)</t>
  </si>
  <si>
    <t>Supervisão de Atend. (3º andar)</t>
  </si>
  <si>
    <t>Copa (3º andar)</t>
  </si>
  <si>
    <t>Sedur</t>
  </si>
  <si>
    <t xml:space="preserve">Junta Militar </t>
  </si>
  <si>
    <t>Apoio Térreo</t>
  </si>
  <si>
    <t>Chefia ADM</t>
  </si>
  <si>
    <t>Atendimento Comunitário</t>
  </si>
  <si>
    <t>Assessoria Mezzanino</t>
  </si>
  <si>
    <t>Ass. Area Circ. Mezzanino</t>
  </si>
  <si>
    <t xml:space="preserve">Material e Patrimônio </t>
  </si>
  <si>
    <t>Comunicação</t>
  </si>
  <si>
    <t>Administrativo</t>
  </si>
  <si>
    <r>
      <t xml:space="preserve">Unidade: </t>
    </r>
    <r>
      <rPr>
        <sz val="10"/>
        <rFont val="Arial"/>
        <family val="2"/>
      </rPr>
      <t>Junta Militar Joana Angélica</t>
    </r>
  </si>
  <si>
    <t>16608</t>
  </si>
  <si>
    <t>16552</t>
  </si>
  <si>
    <t>16503</t>
  </si>
  <si>
    <t>Estatisticas</t>
  </si>
  <si>
    <t>Almoxerifado</t>
  </si>
  <si>
    <t>Gerência 4º andar</t>
  </si>
  <si>
    <t>sala 01</t>
  </si>
  <si>
    <t>sala 03</t>
  </si>
  <si>
    <t>sala 04</t>
  </si>
  <si>
    <t>sala 02</t>
  </si>
  <si>
    <t>INSTALADO 22K</t>
  </si>
  <si>
    <t>PROTOCOLO</t>
  </si>
  <si>
    <t>Gabinete Subsecretária</t>
  </si>
  <si>
    <t>Gerência Qualidade e Atendimento</t>
  </si>
  <si>
    <t>Sala dos Motoristas</t>
  </si>
  <si>
    <r>
      <t xml:space="preserve">Unidade: </t>
    </r>
    <r>
      <rPr>
        <sz val="10"/>
        <rFont val="Arial"/>
        <family val="2"/>
      </rPr>
      <t xml:space="preserve">Dique </t>
    </r>
  </si>
  <si>
    <t>Recepção Mezzanino</t>
  </si>
  <si>
    <t>Recepção Subsolo</t>
  </si>
  <si>
    <t>Supervisão Mezzanino</t>
  </si>
  <si>
    <t>NTI Subsolo</t>
  </si>
  <si>
    <t>Farmácia Subsolo</t>
  </si>
  <si>
    <t>Chefia ADM Mezzanino</t>
  </si>
  <si>
    <t>T.R.E (1º andar)</t>
  </si>
  <si>
    <t>Supervisão (Térreo)</t>
  </si>
  <si>
    <t>Assessoria (3º andar)</t>
  </si>
  <si>
    <t>16655</t>
  </si>
  <si>
    <t>16145</t>
  </si>
  <si>
    <t>Instalado split 22k.</t>
  </si>
  <si>
    <t>Instalado split 60k.</t>
  </si>
  <si>
    <t>Instalado split 30k.</t>
  </si>
  <si>
    <t>Maq Wa manteve no local K7 24k</t>
  </si>
  <si>
    <t>Unidade: Sede - 2º andar</t>
  </si>
  <si>
    <t>Unidade: Sede - 1° andar SAC</t>
  </si>
  <si>
    <r>
      <t xml:space="preserve">Unidade: </t>
    </r>
    <r>
      <rPr>
        <sz val="10"/>
        <rFont val="Arial"/>
        <family val="2"/>
      </rPr>
      <t>Conselho Tutelar Vila Laura</t>
    </r>
  </si>
  <si>
    <t xml:space="preserve">sala dos guardas </t>
  </si>
  <si>
    <t xml:space="preserve">sala de reunião </t>
  </si>
  <si>
    <t>SALA DO MINISTRO PUBLICO (REUNIAO)</t>
  </si>
  <si>
    <r>
      <t>Razão Social:</t>
    </r>
    <r>
      <rPr>
        <sz val="10"/>
        <rFont val="Arial"/>
        <family val="2"/>
      </rPr>
      <t xml:space="preserve">  SECRETARIA DE CULTURA - SECULT</t>
    </r>
  </si>
  <si>
    <r>
      <t xml:space="preserve">CNPJ: </t>
    </r>
    <r>
      <rPr>
        <sz val="10"/>
        <rFont val="Arial"/>
        <family val="2"/>
      </rPr>
      <t>00.401.376/0001-08</t>
    </r>
  </si>
  <si>
    <r>
      <t xml:space="preserve">Gestor: </t>
    </r>
    <r>
      <rPr>
        <sz val="10"/>
        <rFont val="Arial"/>
        <family val="2"/>
      </rPr>
      <t xml:space="preserve">Glauber Neves </t>
    </r>
  </si>
  <si>
    <t>E-mail: orgaopublico@aluguetudo.com</t>
  </si>
  <si>
    <r>
      <t xml:space="preserve">E-mail: </t>
    </r>
    <r>
      <rPr>
        <sz val="10"/>
        <rFont val="Arial"/>
        <family val="2"/>
      </rPr>
      <t>orgaopublico@aluguetudo.com</t>
    </r>
  </si>
  <si>
    <r>
      <t xml:space="preserve">Razão Social:   </t>
    </r>
    <r>
      <rPr>
        <sz val="10"/>
        <rFont val="Arial"/>
        <family val="2"/>
      </rPr>
      <t>SECRETARIA DE CULTURA - SECULT</t>
    </r>
  </si>
  <si>
    <r>
      <t xml:space="preserve">CNPJ:   </t>
    </r>
    <r>
      <rPr>
        <sz val="10"/>
        <rFont val="Arial"/>
        <family val="2"/>
      </rPr>
      <t>00.401.376/0001-08</t>
    </r>
  </si>
  <si>
    <r>
      <t xml:space="preserve">Gestor: </t>
    </r>
    <r>
      <rPr>
        <sz val="10"/>
        <rFont val="Arial"/>
        <family val="2"/>
      </rPr>
      <t>Glauber Neves</t>
    </r>
  </si>
  <si>
    <t>Atendimento Térreo (Recepção)</t>
  </si>
  <si>
    <r>
      <t xml:space="preserve">Competência: </t>
    </r>
    <r>
      <rPr>
        <sz val="10"/>
        <rFont val="Arial"/>
        <family val="2"/>
      </rPr>
      <t>Dezembro/2024</t>
    </r>
  </si>
  <si>
    <t>SEGES</t>
  </si>
  <si>
    <t>Subfin</t>
  </si>
  <si>
    <t>Dança</t>
  </si>
  <si>
    <t>NTI - Diego</t>
  </si>
  <si>
    <t>GOE - Atrás do Shopp Paralela</t>
  </si>
  <si>
    <t>Rack, Térreo (Divida Ativa)</t>
  </si>
  <si>
    <t>CDA - Sala 107, 1 Andar (Divída Ativa)</t>
  </si>
  <si>
    <t>CDA Assessoria, 1 Andar (Divída Ativa)</t>
  </si>
  <si>
    <t>CDA Coordenador, 1 Andar (Divída Ativa)</t>
  </si>
  <si>
    <t>Cda Ajuizamento, Térreo (Divida Ativa)</t>
  </si>
  <si>
    <t>Cda Núcleo de parcelamento, Térreo (Divida Ativa)</t>
  </si>
  <si>
    <t>Seinsc Chefia, Térreo (Divida Ativa)</t>
  </si>
  <si>
    <t>Refeitório Divida, 1 Andar (Divída Ativa)</t>
  </si>
  <si>
    <t>Nti Suporte, Térreo (Divida Ativa)</t>
  </si>
  <si>
    <t>Seinsc Apoio, Térreo (Divida Ativa)</t>
  </si>
  <si>
    <t>CDA Apoio Coordenação I, 1 Andar (Divída Ativa)</t>
  </si>
  <si>
    <t>Chefia SECOB, Terreo (Divída Ativa)</t>
  </si>
  <si>
    <t>Arquivo SECOB, 1 Andar (Divída Ativa)</t>
  </si>
  <si>
    <t>Arquivo SECODF, 1 Andar (Divída Ativa)</t>
  </si>
  <si>
    <t>Núcleo de Cálculo, 1 Andar (Divída Ativa)</t>
  </si>
  <si>
    <t>Rack Infra (Divida Ativa)</t>
  </si>
  <si>
    <t>Atendimento Tecnico Secob, Térreo (Divida Ativa)</t>
  </si>
  <si>
    <t>Salão do Secob, Térreo (Divida Ativa)</t>
  </si>
  <si>
    <t>Secodf, Térreo (Divida Ativa)</t>
  </si>
  <si>
    <t>Split 22K</t>
  </si>
  <si>
    <t>Secob Atendimento, Térreo (Divida Ativa)</t>
  </si>
  <si>
    <t>Recepção, Térreo (Divida Ativa)</t>
  </si>
  <si>
    <r>
      <t xml:space="preserve">Unidade: </t>
    </r>
    <r>
      <rPr>
        <sz val="10"/>
        <rFont val="Arial"/>
        <family val="2"/>
      </rPr>
      <t>Edf Santa Cruz</t>
    </r>
  </si>
  <si>
    <t>Ejurt Procurador Chefe, 1 Andar</t>
  </si>
  <si>
    <t>Procat Ejuca Procurador Chefe, 1 Andar</t>
  </si>
  <si>
    <t>Procat coordenador, 1 Andar</t>
  </si>
  <si>
    <t>Rack |, 1 Andar</t>
  </si>
  <si>
    <t>Procat Ejuca, 1 Andar</t>
  </si>
  <si>
    <t xml:space="preserve">Central de copias II, 2 Andar </t>
  </si>
  <si>
    <t xml:space="preserve">Rack II, 2 Andar </t>
  </si>
  <si>
    <t xml:space="preserve">Recepção Profi, 2 Andar </t>
  </si>
  <si>
    <t>Rack III, 3 Andar</t>
  </si>
  <si>
    <t>Cad Coordenador, 3 Andar</t>
  </si>
  <si>
    <t>Assessoria Juridica, 1 Andar</t>
  </si>
  <si>
    <t>Motorista, 3 Andar</t>
  </si>
  <si>
    <t>Reunião - COREP, 1 Andar</t>
  </si>
  <si>
    <t>Proapo Coordenador, 1 Andar</t>
  </si>
  <si>
    <t>Proapo Secretarias, 1 Andar</t>
  </si>
  <si>
    <t>Apoio ao Gabinete, 1 Andar</t>
  </si>
  <si>
    <t>Proapo Procuradores |, 1 Andar</t>
  </si>
  <si>
    <t>Seju Procurador Chefe, 2 Andar</t>
  </si>
  <si>
    <t>Seju Apoio, 2 Andar</t>
  </si>
  <si>
    <t>Seju Digitação, 2 Andar</t>
  </si>
  <si>
    <t>Seadf Procurador chefe, 2 Andar</t>
  </si>
  <si>
    <t>Profi Coordenador, 2 Andar</t>
  </si>
  <si>
    <t>Segem, 3 Andar</t>
  </si>
  <si>
    <t>Nti Infraestrutura e Redes, 3 Andar</t>
  </si>
  <si>
    <t>Seat Protocolo, 3 Andar</t>
  </si>
  <si>
    <t>Demandas repetitivas 903, 9 Andar</t>
  </si>
  <si>
    <t>Biblioteca 903, 9 Andar</t>
  </si>
  <si>
    <t>Recepção Gabinete, 1 Andar</t>
  </si>
  <si>
    <t>Apoio I - Prof, 2 Andar</t>
  </si>
  <si>
    <t>Gabinete procurador Geral, 1 Andar</t>
  </si>
  <si>
    <t>Gabinete Sub-Procuradora G, 1 Andar</t>
  </si>
  <si>
    <t>Procat Estagiarios, 1 Andar</t>
  </si>
  <si>
    <t>Ejutr, 1 Andar</t>
  </si>
  <si>
    <t xml:space="preserve">Seju, 2 Andar </t>
  </si>
  <si>
    <t>Seju, 2 Andar</t>
  </si>
  <si>
    <t>SEADF, 2 Andar</t>
  </si>
  <si>
    <t>Setor de Gestão de pessoas (RH), 3 Andar</t>
  </si>
  <si>
    <t>Nof, 3 Andar</t>
  </si>
  <si>
    <t>Cad Apoio, 3 Andar</t>
  </si>
  <si>
    <t>Procat Procuradores, 1 Andar</t>
  </si>
  <si>
    <t>66943/troca manut</t>
  </si>
  <si>
    <t>Profi 2, 2 Andar</t>
  </si>
  <si>
    <t>67851/troca manut</t>
  </si>
  <si>
    <t>CADF (Secol), 2 Andar</t>
  </si>
  <si>
    <t>Corredor |, 1 Andar</t>
  </si>
  <si>
    <t>Sucret, 2 Andar</t>
  </si>
  <si>
    <t>Profi Impulsionamento III, 2 Andar</t>
  </si>
  <si>
    <t>Profi Nucleo de prazo/ Reda, 2 Andar</t>
  </si>
  <si>
    <t>Nti Sistemas, 3 Andar</t>
  </si>
  <si>
    <t>Sala de Estagiarios 904, 9 Andar</t>
  </si>
  <si>
    <t>Sala de Reunião Procurador Geral, 1 Andar</t>
  </si>
  <si>
    <t>66877/troca manut</t>
  </si>
  <si>
    <t>PROF - UNITP, 2 Andar</t>
  </si>
  <si>
    <t>Sala Prof - Arquivo, 2 Andar</t>
  </si>
  <si>
    <t>Sala de Procuradores, 2 Andar</t>
  </si>
  <si>
    <t>COREP - Coord. das Representações, 1 Andar</t>
  </si>
  <si>
    <t>Refeitório PGMS, 1 Andar</t>
  </si>
  <si>
    <r>
      <t xml:space="preserve">Unidade: </t>
    </r>
    <r>
      <rPr>
        <sz val="10"/>
        <rFont val="Arial"/>
        <family val="2"/>
      </rPr>
      <t>Sede - Edf Sulamerica</t>
    </r>
  </si>
  <si>
    <t>Publicidade/RH</t>
  </si>
  <si>
    <t>16176</t>
  </si>
  <si>
    <t>6720</t>
  </si>
  <si>
    <t>Diretoria de Comunicação</t>
  </si>
  <si>
    <t>Split 60K</t>
  </si>
  <si>
    <t>Gabinete do Sub Secretário</t>
  </si>
  <si>
    <t>Atendimento - Térreo</t>
  </si>
  <si>
    <t>Pagam
01 36K K7
01 60K K7</t>
  </si>
  <si>
    <t>Recepção - 19º Andar</t>
  </si>
  <si>
    <t>"   "</t>
  </si>
  <si>
    <t>"  "</t>
  </si>
  <si>
    <t xml:space="preserve">Sala da Procuradoria 19° andar </t>
  </si>
  <si>
    <t xml:space="preserve">GABINETE DO SUB SECRETARIO </t>
  </si>
  <si>
    <r>
      <t xml:space="preserve">Unidade: </t>
    </r>
    <r>
      <rPr>
        <sz val="10"/>
        <rFont val="Arial"/>
        <family val="2"/>
      </rPr>
      <t>Pituba</t>
    </r>
  </si>
  <si>
    <t>Escritório</t>
  </si>
  <si>
    <t>Supervisor</t>
  </si>
  <si>
    <t>Subsecretária</t>
  </si>
  <si>
    <t>Split 36K</t>
  </si>
  <si>
    <t>Engenheiros / Área Verde</t>
  </si>
  <si>
    <t>Motoristas</t>
  </si>
  <si>
    <t>Engenheiros</t>
  </si>
  <si>
    <t>Sala Sigp</t>
  </si>
  <si>
    <t xml:space="preserve">Sala 03 </t>
  </si>
  <si>
    <t>Sala de Emanoel Seges</t>
  </si>
  <si>
    <r>
      <t xml:space="preserve">Unidade: </t>
    </r>
    <r>
      <rPr>
        <sz val="10"/>
        <rFont val="Arial"/>
        <family val="2"/>
      </rPr>
      <t>Conselho Tutelar Boca do Rio</t>
    </r>
  </si>
  <si>
    <t>I - 18.000</t>
  </si>
  <si>
    <t xml:space="preserve">Vestiario </t>
  </si>
  <si>
    <t>Vestiario</t>
  </si>
  <si>
    <t xml:space="preserve"> </t>
  </si>
  <si>
    <r>
      <t>Competência: Dezembro</t>
    </r>
    <r>
      <rPr>
        <sz val="10"/>
        <rFont val="Arial"/>
        <family val="2"/>
      </rPr>
      <t>/2024</t>
    </r>
  </si>
  <si>
    <t>36k instalado, maquina emprestada</t>
  </si>
  <si>
    <r>
      <t xml:space="preserve">Competência: </t>
    </r>
    <r>
      <rPr>
        <sz val="10"/>
        <rFont val="Arial"/>
        <family val="2"/>
      </rPr>
      <t>Janeiro/2025</t>
    </r>
  </si>
  <si>
    <r>
      <t xml:space="preserve">Competência: </t>
    </r>
    <r>
      <rPr>
        <sz val="10"/>
        <rFont val="Arial"/>
        <family val="2"/>
      </rPr>
      <t>Janeiro/20245</t>
    </r>
  </si>
  <si>
    <r>
      <t>Competência:</t>
    </r>
    <r>
      <rPr>
        <sz val="10"/>
        <rFont val="Arial"/>
        <family val="2"/>
      </rPr>
      <t xml:space="preserve"> Janeiro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>2025</t>
    </r>
  </si>
  <si>
    <t>Sala dos engenheiros</t>
  </si>
  <si>
    <t>Coordenadores DMI/DEE</t>
  </si>
  <si>
    <t xml:space="preserve">Demac </t>
  </si>
  <si>
    <t>Recepção Gabinete</t>
  </si>
  <si>
    <t>instalado k7 36</t>
  </si>
  <si>
    <t>SALA DE MARIO ANDRÉ</t>
  </si>
  <si>
    <t>SEARQ CAD</t>
  </si>
  <si>
    <t>SEJUL</t>
  </si>
  <si>
    <t>TREINAMENTO</t>
  </si>
  <si>
    <t>SALA DOS MOTORISTAS/ ACJ 30K</t>
  </si>
  <si>
    <r>
      <t>Competência:</t>
    </r>
    <r>
      <rPr>
        <sz val="10"/>
        <rFont val="Arial"/>
        <family val="2"/>
      </rPr>
      <t xml:space="preserve"> Janeiro/2025</t>
    </r>
  </si>
  <si>
    <t>COPLAN</t>
  </si>
  <si>
    <r>
      <t xml:space="preserve">Competência: Janeiro/ </t>
    </r>
    <r>
      <rPr>
        <sz val="10"/>
        <rFont val="Arial"/>
        <family val="2"/>
      </rPr>
      <t>2025</t>
    </r>
  </si>
  <si>
    <t xml:space="preserve">Sala do Secretário </t>
  </si>
  <si>
    <t>CPD (Rack)</t>
  </si>
  <si>
    <t>Sala da Secretária do Secretário da SEGOV</t>
  </si>
  <si>
    <r>
      <t xml:space="preserve">Gestor: </t>
    </r>
    <r>
      <rPr>
        <sz val="10"/>
        <rFont val="Arial"/>
        <family val="2"/>
      </rPr>
      <t>Terezinha Jesus</t>
    </r>
  </si>
  <si>
    <t>2º andar</t>
  </si>
  <si>
    <t>3º andar</t>
  </si>
  <si>
    <t>4º andar</t>
  </si>
  <si>
    <t>5°andar</t>
  </si>
  <si>
    <t xml:space="preserve">1º andar </t>
  </si>
  <si>
    <t>2° andar</t>
  </si>
  <si>
    <t>5º andar</t>
  </si>
  <si>
    <t>6º andar</t>
  </si>
  <si>
    <t>Térreo</t>
  </si>
  <si>
    <t>67628 22k</t>
  </si>
  <si>
    <t>67627/67628</t>
  </si>
  <si>
    <t>COSEL 6 ANDAR</t>
  </si>
  <si>
    <t>RECEP. GAB. Sec. 6° andar</t>
  </si>
  <si>
    <t>CFM SEPEC 5 ANDAR</t>
  </si>
  <si>
    <t>CSD GESTAO DE CEMITERIO</t>
  </si>
  <si>
    <t xml:space="preserve"> 5 ANDAR</t>
  </si>
  <si>
    <t>CLF CFM CSD 5 ANDAR</t>
  </si>
  <si>
    <t>SEGEM 4 ANDAR</t>
  </si>
  <si>
    <t>CAD 4 ANDAR</t>
  </si>
  <si>
    <t>SEGEP 4 ANDAR</t>
  </si>
  <si>
    <t>COMISSAO / AUDIENCIA 4 ANDAR</t>
  </si>
  <si>
    <t>NTI 4 ANDAR</t>
  </si>
  <si>
    <t xml:space="preserve"> OBRAS 3 ANDAR</t>
  </si>
  <si>
    <t>ASSESSORIA 3 ANDAR</t>
  </si>
  <si>
    <t>SECAD 3 ANDAR</t>
  </si>
  <si>
    <t>MEDICAO SEMOM 3 ANDAR</t>
  </si>
  <si>
    <t>SEAP 2</t>
  </si>
  <si>
    <t>DIRETORIA 2</t>
  </si>
  <si>
    <t>REUNIÃO 2</t>
  </si>
  <si>
    <t>PROTOCOLO, TERREO</t>
  </si>
  <si>
    <t>73800 / 73804</t>
  </si>
  <si>
    <t xml:space="preserve">Térreo </t>
  </si>
  <si>
    <t>Recepção Térreo</t>
  </si>
  <si>
    <t>17347</t>
  </si>
  <si>
    <t>17344</t>
  </si>
  <si>
    <t>17345</t>
  </si>
  <si>
    <t>S/ SMS e Sempre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</si>
</sst>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_ ;[Red]\-#,##0\ "/>
    <numFmt numFmtId="165" formatCode="#,##0.00_ ;[Red]\-#,##0.00\ "/>
    <numFmt numFmtId="166" formatCode="&quot;R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B05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ED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</cellStyleXfs>
  <cellXfs count="338">
    <xf numFmtId="0" fontId="0" fillId="0" borderId="0" xfId="0"/>
    <xf numFmtId="40" fontId="2" fillId="0" borderId="0" xfId="1" applyNumberFormat="1"/>
    <xf numFmtId="0" fontId="2" fillId="0" borderId="7" xfId="1" applyBorder="1"/>
    <xf numFmtId="40" fontId="2" fillId="0" borderId="7" xfId="1" applyNumberFormat="1" applyBorder="1"/>
    <xf numFmtId="0" fontId="2" fillId="0" borderId="0" xfId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vertical="center"/>
    </xf>
    <xf numFmtId="16" fontId="2" fillId="0" borderId="0" xfId="1" applyNumberFormat="1" applyAlignment="1">
      <alignment horizontal="center" vertical="center"/>
    </xf>
    <xf numFmtId="38" fontId="2" fillId="0" borderId="0" xfId="1" applyNumberFormat="1" applyAlignment="1">
      <alignment horizontal="center" vertical="center"/>
    </xf>
    <xf numFmtId="40" fontId="2" fillId="0" borderId="0" xfId="1" applyNumberFormat="1" applyAlignment="1">
      <alignment vertical="center"/>
    </xf>
    <xf numFmtId="38" fontId="2" fillId="0" borderId="7" xfId="1" applyNumberFormat="1" applyBorder="1" applyAlignment="1">
      <alignment horizontal="center" vertical="center"/>
    </xf>
    <xf numFmtId="40" fontId="2" fillId="0" borderId="7" xfId="1" applyNumberFormat="1" applyBorder="1" applyAlignment="1">
      <alignment horizontal="right" vertical="center" wrapText="1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horizontal="center" vertical="center"/>
    </xf>
    <xf numFmtId="40" fontId="2" fillId="0" borderId="0" xfId="1" applyNumberFormat="1" applyAlignment="1">
      <alignment horizontal="center" vertical="center"/>
    </xf>
    <xf numFmtId="165" fontId="2" fillId="0" borderId="0" xfId="1" applyNumberFormat="1" applyAlignment="1">
      <alignment vertical="center"/>
    </xf>
    <xf numFmtId="0" fontId="6" fillId="0" borderId="0" xfId="1" applyFont="1" applyAlignment="1">
      <alignment vertical="center"/>
    </xf>
    <xf numFmtId="4" fontId="5" fillId="0" borderId="7" xfId="1" applyNumberFormat="1" applyFont="1" applyBorder="1" applyAlignment="1">
      <alignment vertical="center"/>
    </xf>
    <xf numFmtId="14" fontId="2" fillId="0" borderId="7" xfId="1" applyNumberForma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2" fillId="2" borderId="7" xfId="1" applyFill="1" applyBorder="1" applyAlignment="1">
      <alignment vertical="center"/>
    </xf>
    <xf numFmtId="38" fontId="4" fillId="2" borderId="7" xfId="1" applyNumberFormat="1" applyFont="1" applyFill="1" applyBorder="1" applyAlignment="1">
      <alignment horizontal="center" vertical="center"/>
    </xf>
    <xf numFmtId="40" fontId="4" fillId="0" borderId="7" xfId="1" applyNumberFormat="1" applyFont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2" fillId="4" borderId="7" xfId="1" applyFill="1" applyBorder="1" applyAlignment="1">
      <alignment vertical="center"/>
    </xf>
    <xf numFmtId="0" fontId="2" fillId="3" borderId="7" xfId="1" applyFill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2" borderId="7" xfId="1" applyFill="1" applyBorder="1" applyAlignment="1">
      <alignment horizontal="left" vertical="center"/>
    </xf>
    <xf numFmtId="0" fontId="4" fillId="0" borderId="7" xfId="1" applyFont="1" applyBorder="1" applyAlignment="1">
      <alignment horizontal="center"/>
    </xf>
    <xf numFmtId="2" fontId="2" fillId="0" borderId="7" xfId="1" applyNumberFormat="1" applyBorder="1" applyAlignment="1">
      <alignment horizontal="right"/>
    </xf>
    <xf numFmtId="3" fontId="4" fillId="0" borderId="7" xfId="1" applyNumberFormat="1" applyFont="1" applyBorder="1" applyAlignment="1">
      <alignment horizontal="center"/>
    </xf>
    <xf numFmtId="40" fontId="4" fillId="0" borderId="7" xfId="1" applyNumberFormat="1" applyFont="1" applyBorder="1"/>
    <xf numFmtId="40" fontId="4" fillId="2" borderId="7" xfId="1" applyNumberFormat="1" applyFont="1" applyFill="1" applyBorder="1"/>
    <xf numFmtId="0" fontId="2" fillId="0" borderId="7" xfId="1" applyBorder="1" applyAlignment="1">
      <alignment horizontal="center"/>
    </xf>
    <xf numFmtId="3" fontId="2" fillId="0" borderId="7" xfId="1" applyNumberFormat="1" applyBorder="1" applyAlignment="1">
      <alignment horizontal="center" vertical="center"/>
    </xf>
    <xf numFmtId="3" fontId="4" fillId="0" borderId="7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4" xfId="1" applyFont="1" applyBorder="1" applyAlignment="1">
      <alignment horizontal="center"/>
    </xf>
    <xf numFmtId="3" fontId="4" fillId="0" borderId="1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40" fontId="4" fillId="2" borderId="2" xfId="1" applyNumberFormat="1" applyFont="1" applyFill="1" applyBorder="1"/>
    <xf numFmtId="40" fontId="4" fillId="0" borderId="12" xfId="1" applyNumberFormat="1" applyFont="1" applyBorder="1"/>
    <xf numFmtId="0" fontId="4" fillId="0" borderId="21" xfId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/>
    </xf>
    <xf numFmtId="40" fontId="4" fillId="0" borderId="0" xfId="1" applyNumberFormat="1" applyFont="1"/>
    <xf numFmtId="0" fontId="5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left" vertical="center"/>
    </xf>
    <xf numFmtId="0" fontId="4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16" fontId="5" fillId="0" borderId="7" xfId="1" applyNumberFormat="1" applyFont="1" applyBorder="1" applyAlignment="1">
      <alignment horizontal="center" vertical="center"/>
    </xf>
    <xf numFmtId="38" fontId="5" fillId="0" borderId="7" xfId="1" applyNumberFormat="1" applyFont="1" applyBorder="1" applyAlignment="1">
      <alignment horizontal="center" vertical="center"/>
    </xf>
    <xf numFmtId="40" fontId="5" fillId="0" borderId="7" xfId="1" applyNumberFormat="1" applyFont="1" applyBorder="1" applyAlignment="1">
      <alignment horizontal="right" vertical="center" wrapText="1"/>
    </xf>
    <xf numFmtId="4" fontId="4" fillId="0" borderId="9" xfId="1" applyNumberFormat="1" applyFont="1" applyBorder="1" applyAlignment="1">
      <alignment vertical="center"/>
    </xf>
    <xf numFmtId="4" fontId="4" fillId="0" borderId="7" xfId="1" applyNumberFormat="1" applyFont="1" applyBorder="1" applyAlignment="1">
      <alignment horizontal="right" vertical="center"/>
    </xf>
    <xf numFmtId="0" fontId="2" fillId="2" borderId="9" xfId="1" applyFill="1" applyBorder="1" applyAlignment="1">
      <alignment horizontal="left" vertical="center"/>
    </xf>
    <xf numFmtId="0" fontId="2" fillId="0" borderId="25" xfId="1" applyBorder="1" applyAlignment="1">
      <alignment horizontal="left" vertical="center"/>
    </xf>
    <xf numFmtId="0" fontId="5" fillId="0" borderId="6" xfId="0" applyFont="1" applyBorder="1"/>
    <xf numFmtId="0" fontId="5" fillId="0" borderId="7" xfId="0" applyFont="1" applyBorder="1"/>
    <xf numFmtId="0" fontId="2" fillId="0" borderId="7" xfId="0" applyFont="1" applyBorder="1"/>
    <xf numFmtId="0" fontId="12" fillId="0" borderId="0" xfId="0" applyFont="1"/>
    <xf numFmtId="0" fontId="13" fillId="0" borderId="0" xfId="0" applyFont="1" applyAlignment="1">
      <alignment vertical="center"/>
    </xf>
    <xf numFmtId="4" fontId="4" fillId="0" borderId="9" xfId="1" applyNumberFormat="1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4" fillId="0" borderId="30" xfId="1" applyFont="1" applyBorder="1" applyAlignment="1">
      <alignment vertical="center"/>
    </xf>
    <xf numFmtId="16" fontId="2" fillId="0" borderId="7" xfId="1" applyNumberForma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9" xfId="1" applyBorder="1"/>
    <xf numFmtId="16" fontId="2" fillId="0" borderId="9" xfId="1" applyNumberFormat="1" applyBorder="1" applyAlignment="1">
      <alignment horizontal="center" vertical="center"/>
    </xf>
    <xf numFmtId="14" fontId="2" fillId="0" borderId="9" xfId="1" applyNumberFormat="1" applyBorder="1" applyAlignment="1">
      <alignment horizontal="center" vertical="center"/>
    </xf>
    <xf numFmtId="38" fontId="2" fillId="0" borderId="9" xfId="1" applyNumberFormat="1" applyBorder="1" applyAlignment="1">
      <alignment horizontal="center" vertical="center"/>
    </xf>
    <xf numFmtId="40" fontId="2" fillId="0" borderId="9" xfId="1" applyNumberFormat="1" applyBorder="1" applyAlignment="1">
      <alignment horizontal="right" vertical="center" wrapText="1"/>
    </xf>
    <xf numFmtId="0" fontId="2" fillId="0" borderId="9" xfId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2" fillId="0" borderId="9" xfId="1" applyBorder="1" applyAlignment="1">
      <alignment horizontal="left" vertical="center"/>
    </xf>
    <xf numFmtId="16" fontId="2" fillId="2" borderId="9" xfId="1" applyNumberFormat="1" applyFill="1" applyBorder="1" applyAlignment="1">
      <alignment horizontal="center" vertical="center"/>
    </xf>
    <xf numFmtId="0" fontId="2" fillId="0" borderId="25" xfId="1" applyBorder="1" applyAlignment="1">
      <alignment vertical="center"/>
    </xf>
    <xf numFmtId="16" fontId="2" fillId="0" borderId="25" xfId="1" applyNumberFormat="1" applyBorder="1" applyAlignment="1">
      <alignment horizontal="center" vertical="center"/>
    </xf>
    <xf numFmtId="14" fontId="2" fillId="0" borderId="25" xfId="1" applyNumberFormat="1" applyBorder="1" applyAlignment="1">
      <alignment horizontal="center" vertical="center"/>
    </xf>
    <xf numFmtId="38" fontId="2" fillId="0" borderId="25" xfId="1" applyNumberFormat="1" applyBorder="1" applyAlignment="1">
      <alignment horizontal="center" vertical="center"/>
    </xf>
    <xf numFmtId="40" fontId="2" fillId="0" borderId="25" xfId="1" applyNumberFormat="1" applyBorder="1" applyAlignment="1">
      <alignment horizontal="right" vertical="center" wrapText="1"/>
    </xf>
    <xf numFmtId="40" fontId="2" fillId="0" borderId="25" xfId="1" applyNumberFormat="1" applyBorder="1" applyAlignment="1">
      <alignment vertical="center"/>
    </xf>
    <xf numFmtId="0" fontId="2" fillId="0" borderId="6" xfId="1" applyBorder="1"/>
    <xf numFmtId="16" fontId="2" fillId="0" borderId="6" xfId="1" applyNumberFormat="1" applyBorder="1" applyAlignment="1">
      <alignment horizontal="center" vertical="center"/>
    </xf>
    <xf numFmtId="38" fontId="2" fillId="0" borderId="6" xfId="1" applyNumberFormat="1" applyBorder="1" applyAlignment="1">
      <alignment horizontal="center" vertical="center"/>
    </xf>
    <xf numFmtId="40" fontId="2" fillId="0" borderId="6" xfId="1" applyNumberFormat="1" applyBorder="1" applyAlignment="1">
      <alignment horizontal="right" vertical="center" wrapText="1"/>
    </xf>
    <xf numFmtId="0" fontId="2" fillId="0" borderId="6" xfId="1" applyBorder="1" applyAlignment="1">
      <alignment horizontal="center" vertical="center"/>
    </xf>
    <xf numFmtId="49" fontId="2" fillId="0" borderId="7" xfId="1" applyNumberFormat="1" applyBorder="1" applyAlignment="1">
      <alignment vertical="center"/>
    </xf>
    <xf numFmtId="16" fontId="2" fillId="2" borderId="7" xfId="1" applyNumberForma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" fontId="2" fillId="0" borderId="7" xfId="1" applyNumberFormat="1" applyBorder="1" applyAlignment="1">
      <alignment horizontal="right" vertical="center"/>
    </xf>
    <xf numFmtId="4" fontId="2" fillId="0" borderId="9" xfId="1" applyNumberFormat="1" applyBorder="1" applyAlignment="1">
      <alignment horizontal="right" vertical="center"/>
    </xf>
    <xf numFmtId="0" fontId="2" fillId="0" borderId="30" xfId="1" applyBorder="1" applyAlignment="1">
      <alignment vertical="center"/>
    </xf>
    <xf numFmtId="14" fontId="2" fillId="0" borderId="30" xfId="1" applyNumberFormat="1" applyBorder="1" applyAlignment="1">
      <alignment horizontal="center" vertical="center"/>
    </xf>
    <xf numFmtId="38" fontId="2" fillId="0" borderId="30" xfId="1" applyNumberFormat="1" applyBorder="1" applyAlignment="1">
      <alignment horizontal="center" vertical="center"/>
    </xf>
    <xf numFmtId="40" fontId="2" fillId="0" borderId="30" xfId="1" applyNumberFormat="1" applyBorder="1" applyAlignment="1">
      <alignment horizontal="right" vertical="center" wrapText="1"/>
    </xf>
    <xf numFmtId="4" fontId="5" fillId="5" borderId="7" xfId="3" applyNumberFormat="1" applyFont="1" applyFill="1" applyBorder="1" applyAlignment="1">
      <alignment horizontal="right"/>
    </xf>
    <xf numFmtId="0" fontId="5" fillId="0" borderId="0" xfId="0" applyFont="1"/>
    <xf numFmtId="0" fontId="11" fillId="0" borderId="0" xfId="0" applyFont="1" applyAlignment="1">
      <alignment vertical="center"/>
    </xf>
    <xf numFmtId="4" fontId="4" fillId="0" borderId="7" xfId="1" applyNumberFormat="1" applyFont="1" applyBorder="1" applyAlignment="1">
      <alignment vertical="center"/>
    </xf>
    <xf numFmtId="165" fontId="4" fillId="0" borderId="7" xfId="1" applyNumberFormat="1" applyFont="1" applyBorder="1" applyAlignment="1">
      <alignment horizontal="right" vertical="center"/>
    </xf>
    <xf numFmtId="14" fontId="2" fillId="5" borderId="7" xfId="1" applyNumberForma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2" borderId="7" xfId="1" applyFill="1" applyBorder="1" applyAlignment="1">
      <alignment horizontal="center" vertical="center"/>
    </xf>
    <xf numFmtId="0" fontId="2" fillId="0" borderId="5" xfId="1" applyBorder="1"/>
    <xf numFmtId="2" fontId="2" fillId="0" borderId="14" xfId="1" applyNumberFormat="1" applyBorder="1" applyAlignment="1">
      <alignment horizontal="right"/>
    </xf>
    <xf numFmtId="0" fontId="2" fillId="0" borderId="5" xfId="1" applyBorder="1" applyAlignment="1">
      <alignment horizontal="center" vertical="center"/>
    </xf>
    <xf numFmtId="0" fontId="2" fillId="0" borderId="8" xfId="1" applyBorder="1"/>
    <xf numFmtId="0" fontId="2" fillId="0" borderId="9" xfId="1" applyBorder="1" applyAlignment="1">
      <alignment horizontal="center"/>
    </xf>
    <xf numFmtId="40" fontId="2" fillId="0" borderId="9" xfId="1" applyNumberFormat="1" applyBorder="1"/>
    <xf numFmtId="2" fontId="2" fillId="0" borderId="15" xfId="1" applyNumberForma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66" fontId="5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165" fontId="14" fillId="0" borderId="0" xfId="0" applyNumberFormat="1" applyFont="1" applyAlignment="1">
      <alignment horizontal="right"/>
    </xf>
    <xf numFmtId="2" fontId="2" fillId="0" borderId="7" xfId="1" applyNumberFormat="1" applyBorder="1" applyAlignment="1">
      <alignment horizontal="center"/>
    </xf>
    <xf numFmtId="40" fontId="2" fillId="0" borderId="7" xfId="1" applyNumberFormat="1" applyBorder="1" applyAlignment="1">
      <alignment horizontal="center"/>
    </xf>
    <xf numFmtId="40" fontId="4" fillId="2" borderId="7" xfId="1" applyNumberFormat="1" applyFont="1" applyFill="1" applyBorder="1" applyAlignment="1">
      <alignment horizontal="center"/>
    </xf>
    <xf numFmtId="0" fontId="9" fillId="0" borderId="7" xfId="1" applyFont="1" applyBorder="1" applyAlignment="1">
      <alignment horizontal="center" vertical="center"/>
    </xf>
    <xf numFmtId="49" fontId="2" fillId="0" borderId="7" xfId="1" applyNumberFormat="1" applyBorder="1" applyAlignment="1">
      <alignment horizontal="center" vertical="center"/>
    </xf>
    <xf numFmtId="49" fontId="4" fillId="2" borderId="7" xfId="1" applyNumberFormat="1" applyFont="1" applyFill="1" applyBorder="1" applyAlignment="1">
      <alignment horizontal="center" vertical="center"/>
    </xf>
    <xf numFmtId="0" fontId="2" fillId="2" borderId="9" xfId="1" applyFill="1" applyBorder="1" applyAlignment="1">
      <alignment vertical="center"/>
    </xf>
    <xf numFmtId="38" fontId="4" fillId="2" borderId="9" xfId="1" applyNumberFormat="1" applyFont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4" fontId="5" fillId="0" borderId="6" xfId="1" applyNumberFormat="1" applyFont="1" applyBorder="1" applyAlignment="1">
      <alignment vertical="center"/>
    </xf>
    <xf numFmtId="0" fontId="2" fillId="0" borderId="6" xfId="1" applyBorder="1" applyAlignment="1">
      <alignment horizontal="left" vertical="center"/>
    </xf>
    <xf numFmtId="44" fontId="2" fillId="0" borderId="0" xfId="3" applyFont="1" applyAlignment="1">
      <alignment vertical="center"/>
    </xf>
    <xf numFmtId="0" fontId="2" fillId="0" borderId="0" xfId="1" applyAlignment="1">
      <alignment horizontal="right" vertical="center"/>
    </xf>
    <xf numFmtId="44" fontId="2" fillId="0" borderId="0" xfId="1" applyNumberFormat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6" fillId="5" borderId="0" xfId="1" applyFont="1" applyFill="1" applyAlignment="1">
      <alignment horizontal="left" vertical="center"/>
    </xf>
    <xf numFmtId="0" fontId="16" fillId="5" borderId="0" xfId="1" applyFont="1" applyFill="1" applyAlignment="1">
      <alignment horizontal="center" vertical="center"/>
    </xf>
    <xf numFmtId="0" fontId="10" fillId="5" borderId="0" xfId="1" applyFont="1" applyFill="1" applyAlignment="1">
      <alignment vertical="center"/>
    </xf>
    <xf numFmtId="38" fontId="16" fillId="5" borderId="0" xfId="1" applyNumberFormat="1" applyFont="1" applyFill="1" applyAlignment="1">
      <alignment horizontal="center" vertical="center"/>
    </xf>
    <xf numFmtId="4" fontId="16" fillId="5" borderId="0" xfId="1" applyNumberFormat="1" applyFont="1" applyFill="1" applyAlignment="1">
      <alignment vertical="center"/>
    </xf>
    <xf numFmtId="0" fontId="10" fillId="5" borderId="0" xfId="1" applyFont="1" applyFill="1" applyAlignment="1">
      <alignment horizontal="left" vertical="center"/>
    </xf>
    <xf numFmtId="0" fontId="10" fillId="5" borderId="0" xfId="1" applyFont="1" applyFill="1" applyAlignment="1">
      <alignment horizontal="center" vertical="center"/>
    </xf>
    <xf numFmtId="40" fontId="2" fillId="0" borderId="7" xfId="1" applyNumberFormat="1" applyBorder="1" applyAlignment="1">
      <alignment vertical="center"/>
    </xf>
    <xf numFmtId="0" fontId="9" fillId="0" borderId="9" xfId="0" applyFont="1" applyBorder="1" applyAlignment="1">
      <alignment horizontal="center"/>
    </xf>
    <xf numFmtId="0" fontId="4" fillId="5" borderId="0" xfId="1" applyFont="1" applyFill="1" applyAlignment="1">
      <alignment horizontal="left" vertical="center"/>
    </xf>
    <xf numFmtId="0" fontId="4" fillId="5" borderId="0" xfId="1" applyFont="1" applyFill="1" applyAlignment="1">
      <alignment horizontal="center" vertical="center"/>
    </xf>
    <xf numFmtId="0" fontId="2" fillId="5" borderId="0" xfId="1" applyFill="1" applyAlignment="1">
      <alignment vertical="center"/>
    </xf>
    <xf numFmtId="38" fontId="4" fillId="5" borderId="0" xfId="1" applyNumberFormat="1" applyFont="1" applyFill="1" applyAlignment="1">
      <alignment horizontal="center" vertical="center"/>
    </xf>
    <xf numFmtId="4" fontId="4" fillId="5" borderId="0" xfId="1" applyNumberFormat="1" applyFont="1" applyFill="1" applyAlignment="1">
      <alignment vertical="center"/>
    </xf>
    <xf numFmtId="0" fontId="2" fillId="5" borderId="0" xfId="1" applyFill="1" applyAlignment="1">
      <alignment horizontal="left" vertical="center"/>
    </xf>
    <xf numFmtId="0" fontId="2" fillId="5" borderId="0" xfId="1" applyFill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4" fontId="2" fillId="0" borderId="0" xfId="1" applyNumberFormat="1" applyAlignment="1">
      <alignment vertical="center"/>
    </xf>
    <xf numFmtId="4" fontId="2" fillId="0" borderId="9" xfId="1" applyNumberFormat="1" applyBorder="1" applyAlignment="1">
      <alignment horizontal="center" vertical="center"/>
    </xf>
    <xf numFmtId="16" fontId="2" fillId="5" borderId="7" xfId="1" applyNumberFormat="1" applyFill="1" applyBorder="1" applyAlignment="1">
      <alignment horizontal="center" vertical="center"/>
    </xf>
    <xf numFmtId="38" fontId="2" fillId="5" borderId="7" xfId="1" applyNumberFormat="1" applyFill="1" applyBorder="1" applyAlignment="1">
      <alignment horizontal="center" vertical="center"/>
    </xf>
    <xf numFmtId="40" fontId="2" fillId="5" borderId="7" xfId="1" applyNumberFormat="1" applyFill="1" applyBorder="1" applyAlignment="1">
      <alignment horizontal="right" vertical="center" wrapText="1"/>
    </xf>
    <xf numFmtId="0" fontId="2" fillId="5" borderId="7" xfId="1" applyFill="1" applyBorder="1" applyAlignment="1">
      <alignment horizontal="center" vertical="center"/>
    </xf>
    <xf numFmtId="4" fontId="5" fillId="5" borderId="7" xfId="1" applyNumberFormat="1" applyFont="1" applyFill="1" applyBorder="1" applyAlignment="1">
      <alignment vertical="center"/>
    </xf>
    <xf numFmtId="0" fontId="2" fillId="5" borderId="7" xfId="1" applyFill="1" applyBorder="1" applyAlignment="1">
      <alignment horizontal="left" vertical="center"/>
    </xf>
    <xf numFmtId="0" fontId="5" fillId="5" borderId="7" xfId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4" xfId="1" applyBorder="1" applyAlignment="1">
      <alignment horizontal="left"/>
    </xf>
    <xf numFmtId="0" fontId="2" fillId="0" borderId="11" xfId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4" fillId="5" borderId="7" xfId="1" applyFont="1" applyFill="1" applyBorder="1" applyAlignment="1">
      <alignment horizontal="center" vertical="center"/>
    </xf>
    <xf numFmtId="4" fontId="4" fillId="5" borderId="7" xfId="1" applyNumberFormat="1" applyFont="1" applyFill="1" applyBorder="1" applyAlignment="1">
      <alignment vertical="center"/>
    </xf>
    <xf numFmtId="0" fontId="11" fillId="5" borderId="7" xfId="1" applyFont="1" applyFill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4" fontId="2" fillId="0" borderId="7" xfId="1" applyNumberFormat="1" applyBorder="1" applyAlignment="1">
      <alignment vertical="center"/>
    </xf>
    <xf numFmtId="0" fontId="2" fillId="3" borderId="7" xfId="1" applyFill="1" applyBorder="1" applyAlignment="1">
      <alignment horizontal="center"/>
    </xf>
    <xf numFmtId="0" fontId="2" fillId="5" borderId="7" xfId="1" applyFill="1" applyBorder="1"/>
    <xf numFmtId="0" fontId="11" fillId="0" borderId="9" xfId="1" applyFont="1" applyBorder="1" applyAlignment="1">
      <alignment horizontal="center" vertical="center"/>
    </xf>
    <xf numFmtId="4" fontId="5" fillId="5" borderId="9" xfId="3" applyNumberFormat="1" applyFont="1" applyFill="1" applyBorder="1" applyAlignment="1">
      <alignment horizontal="right"/>
    </xf>
    <xf numFmtId="0" fontId="18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2" fontId="2" fillId="0" borderId="9" xfId="1" applyNumberFormat="1" applyBorder="1" applyAlignment="1">
      <alignment horizontal="center" vertical="center"/>
    </xf>
    <xf numFmtId="3" fontId="14" fillId="0" borderId="0" xfId="0" applyNumberFormat="1" applyFont="1"/>
    <xf numFmtId="3" fontId="11" fillId="0" borderId="10" xfId="0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left" vertical="center"/>
    </xf>
    <xf numFmtId="0" fontId="2" fillId="5" borderId="7" xfId="1" applyFill="1" applyBorder="1" applyAlignment="1">
      <alignment vertical="center"/>
    </xf>
    <xf numFmtId="38" fontId="4" fillId="5" borderId="7" xfId="1" applyNumberFormat="1" applyFont="1" applyFill="1" applyBorder="1" applyAlignment="1">
      <alignment horizontal="center" vertical="center"/>
    </xf>
    <xf numFmtId="0" fontId="0" fillId="5" borderId="7" xfId="0" applyFill="1" applyBorder="1"/>
    <xf numFmtId="0" fontId="4" fillId="5" borderId="25" xfId="1" applyFont="1" applyFill="1" applyBorder="1" applyAlignment="1">
      <alignment horizontal="center" vertical="center"/>
    </xf>
    <xf numFmtId="4" fontId="4" fillId="5" borderId="25" xfId="1" applyNumberFormat="1" applyFont="1" applyFill="1" applyBorder="1" applyAlignment="1">
      <alignment vertical="center"/>
    </xf>
    <xf numFmtId="0" fontId="2" fillId="5" borderId="30" xfId="1" applyFill="1" applyBorder="1" applyAlignment="1">
      <alignment horizontal="left" vertical="center"/>
    </xf>
    <xf numFmtId="4" fontId="2" fillId="0" borderId="0" xfId="1" applyNumberForma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2" fillId="3" borderId="0" xfId="1" applyFill="1" applyAlignment="1">
      <alignment horizontal="center" vertical="center"/>
    </xf>
    <xf numFmtId="0" fontId="2" fillId="6" borderId="0" xfId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38" fontId="4" fillId="0" borderId="0" xfId="1" applyNumberFormat="1" applyFont="1" applyAlignment="1">
      <alignment horizontal="center" vertical="center"/>
    </xf>
    <xf numFmtId="4" fontId="4" fillId="0" borderId="0" xfId="1" applyNumberFormat="1" applyFont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/>
    </xf>
    <xf numFmtId="0" fontId="19" fillId="0" borderId="7" xfId="0" applyFont="1" applyBorder="1" applyAlignment="1">
      <alignment horizontal="left"/>
    </xf>
    <xf numFmtId="49" fontId="2" fillId="0" borderId="0" xfId="1" applyNumberFormat="1" applyAlignment="1">
      <alignment horizontal="center" vertical="center"/>
    </xf>
    <xf numFmtId="0" fontId="17" fillId="0" borderId="7" xfId="0" applyFont="1" applyBorder="1"/>
    <xf numFmtId="0" fontId="5" fillId="5" borderId="14" xfId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" fontId="2" fillId="0" borderId="14" xfId="1" applyNumberForma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" fillId="0" borderId="35" xfId="1" applyBorder="1" applyAlignment="1">
      <alignment vertical="center"/>
    </xf>
    <xf numFmtId="0" fontId="10" fillId="0" borderId="7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21" fillId="0" borderId="9" xfId="0" applyFont="1" applyBorder="1" applyAlignment="1">
      <alignment horizontal="center"/>
    </xf>
    <xf numFmtId="3" fontId="2" fillId="6" borderId="7" xfId="1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" fontId="5" fillId="0" borderId="7" xfId="1" applyNumberFormat="1" applyFont="1" applyBorder="1" applyAlignment="1">
      <alignment horizontal="right" vertical="center"/>
    </xf>
    <xf numFmtId="4" fontId="5" fillId="0" borderId="9" xfId="1" applyNumberFormat="1" applyFont="1" applyBorder="1" applyAlignment="1">
      <alignment horizontal="right" vertical="center"/>
    </xf>
    <xf numFmtId="38" fontId="5" fillId="0" borderId="9" xfId="1" applyNumberFormat="1" applyFont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4" fontId="20" fillId="0" borderId="7" xfId="1" applyNumberFormat="1" applyFont="1" applyBorder="1" applyAlignment="1">
      <alignment horizontal="right" vertical="center"/>
    </xf>
    <xf numFmtId="0" fontId="2" fillId="0" borderId="0" xfId="1"/>
    <xf numFmtId="4" fontId="2" fillId="0" borderId="7" xfId="0" applyNumberFormat="1" applyFont="1" applyBorder="1"/>
    <xf numFmtId="4" fontId="2" fillId="0" borderId="7" xfId="1" applyNumberFormat="1" applyBorder="1" applyAlignment="1">
      <alignment horizontal="right" vertical="center" wrapText="1"/>
    </xf>
    <xf numFmtId="40" fontId="2" fillId="0" borderId="7" xfId="1" applyNumberFormat="1" applyBorder="1" applyAlignment="1">
      <alignment vertical="center" wrapText="1"/>
    </xf>
    <xf numFmtId="0" fontId="10" fillId="0" borderId="9" xfId="0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vertical="center"/>
    </xf>
    <xf numFmtId="0" fontId="10" fillId="0" borderId="9" xfId="1" applyFont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1" fillId="5" borderId="0" xfId="1" applyFont="1" applyFill="1" applyAlignment="1">
      <alignment horizontal="center" vertical="center"/>
    </xf>
    <xf numFmtId="14" fontId="2" fillId="0" borderId="30" xfId="1" applyNumberFormat="1" applyBorder="1" applyAlignment="1">
      <alignment vertical="center"/>
    </xf>
    <xf numFmtId="14" fontId="2" fillId="0" borderId="0" xfId="1" applyNumberFormat="1" applyAlignment="1">
      <alignment vertical="center"/>
    </xf>
    <xf numFmtId="14" fontId="4" fillId="0" borderId="0" xfId="1" applyNumberFormat="1" applyFont="1" applyAlignment="1">
      <alignment vertical="center"/>
    </xf>
    <xf numFmtId="0" fontId="0" fillId="0" borderId="37" xfId="0" applyBorder="1" applyAlignment="1">
      <alignment horizontal="center"/>
    </xf>
    <xf numFmtId="14" fontId="2" fillId="0" borderId="0" xfId="1" applyNumberFormat="1" applyAlignment="1">
      <alignment horizontal="center" vertical="center"/>
    </xf>
    <xf numFmtId="40" fontId="2" fillId="0" borderId="0" xfId="1" applyNumberFormat="1" applyAlignment="1">
      <alignment horizontal="right" vertical="center" wrapText="1"/>
    </xf>
    <xf numFmtId="0" fontId="5" fillId="5" borderId="7" xfId="0" applyFont="1" applyFill="1" applyBorder="1" applyAlignment="1">
      <alignment horizontal="center"/>
    </xf>
    <xf numFmtId="0" fontId="2" fillId="0" borderId="11" xfId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4" borderId="7" xfId="1" applyFill="1" applyBorder="1" applyAlignment="1">
      <alignment horizontal="left" vertical="center"/>
    </xf>
    <xf numFmtId="0" fontId="2" fillId="4" borderId="7" xfId="1" applyFill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4" fontId="5" fillId="0" borderId="14" xfId="1" applyNumberFormat="1" applyFont="1" applyBorder="1" applyAlignment="1">
      <alignment vertical="center"/>
    </xf>
    <xf numFmtId="16" fontId="2" fillId="0" borderId="15" xfId="1" applyNumberFormat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5" fillId="4" borderId="7" xfId="0" applyFont="1" applyFill="1" applyBorder="1"/>
    <xf numFmtId="0" fontId="2" fillId="4" borderId="11" xfId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4" fillId="0" borderId="16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10" fillId="0" borderId="14" xfId="1" applyFont="1" applyBorder="1" applyAlignment="1">
      <alignment horizontal="left" vertical="center"/>
    </xf>
    <xf numFmtId="0" fontId="10" fillId="0" borderId="25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0" borderId="31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3" xfId="1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" fillId="0" borderId="7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4" fillId="0" borderId="1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2" fillId="0" borderId="14" xfId="1" applyBorder="1" applyAlignment="1">
      <alignment horizontal="left"/>
    </xf>
    <xf numFmtId="0" fontId="2" fillId="0" borderId="11" xfId="1" applyBorder="1" applyAlignment="1">
      <alignment horizontal="left"/>
    </xf>
    <xf numFmtId="0" fontId="4" fillId="0" borderId="14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5" fillId="0" borderId="14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4" fillId="0" borderId="34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49" fontId="2" fillId="0" borderId="14" xfId="1" applyNumberFormat="1" applyBorder="1" applyAlignment="1">
      <alignment horizontal="left"/>
    </xf>
    <xf numFmtId="49" fontId="2" fillId="0" borderId="11" xfId="1" applyNumberFormat="1" applyBorder="1" applyAlignment="1">
      <alignment horizontal="left"/>
    </xf>
    <xf numFmtId="0" fontId="2" fillId="0" borderId="14" xfId="1" applyBorder="1"/>
    <xf numFmtId="0" fontId="2" fillId="0" borderId="11" xfId="1" applyBorder="1"/>
    <xf numFmtId="14" fontId="2" fillId="0" borderId="11" xfId="1" applyNumberFormat="1" applyBorder="1" applyAlignment="1">
      <alignment horizontal="left"/>
    </xf>
    <xf numFmtId="0" fontId="2" fillId="0" borderId="14" xfId="1" applyBorder="1" applyAlignment="1">
      <alignment horizontal="center"/>
    </xf>
    <xf numFmtId="14" fontId="2" fillId="0" borderId="11" xfId="1" applyNumberFormat="1" applyBorder="1" applyAlignment="1">
      <alignment horizontal="center"/>
    </xf>
    <xf numFmtId="14" fontId="4" fillId="0" borderId="11" xfId="1" applyNumberFormat="1" applyFont="1" applyBorder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14" fontId="2" fillId="0" borderId="25" xfId="1" applyNumberFormat="1" applyBorder="1" applyAlignment="1">
      <alignment horizontal="center" vertical="center"/>
    </xf>
    <xf numFmtId="0" fontId="2" fillId="0" borderId="9" xfId="1" applyBorder="1" applyAlignment="1">
      <alignment horizontal="center" vertical="center" wrapText="1"/>
    </xf>
    <xf numFmtId="0" fontId="2" fillId="0" borderId="36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11" xfId="1" applyBorder="1" applyAlignment="1">
      <alignment horizontal="center"/>
    </xf>
    <xf numFmtId="0" fontId="4" fillId="5" borderId="14" xfId="1" applyFont="1" applyFill="1" applyBorder="1" applyAlignment="1">
      <alignment horizontal="center" vertical="center"/>
    </xf>
    <xf numFmtId="0" fontId="4" fillId="5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16" fillId="5" borderId="14" xfId="1" applyFont="1" applyFill="1" applyBorder="1" applyAlignment="1">
      <alignment horizontal="center" vertical="center"/>
    </xf>
    <xf numFmtId="0" fontId="16" fillId="5" borderId="25" xfId="1" applyFont="1" applyFill="1" applyBorder="1" applyAlignment="1">
      <alignment horizontal="center" vertical="center"/>
    </xf>
    <xf numFmtId="0" fontId="2" fillId="0" borderId="25" xfId="1" applyBorder="1" applyAlignment="1">
      <alignment horizontal="lef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4" fillId="0" borderId="21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44" fontId="11" fillId="0" borderId="0" xfId="3" applyFont="1"/>
  </cellXfs>
  <cellStyles count="4">
    <cellStyle name="Moeda" xfId="3" builtinId="4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colors>
    <mruColors>
      <color rgb="FF33CC33"/>
      <color rgb="FF00FF00"/>
      <color rgb="FFFF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iara%20Borges\Downloads\PLANILHA%20DOS%20ARCONDICION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di&#231;&#227;o%20SEMGE%20Outubro%20-%20SEMP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di&#231;&#227;o%20SEMGE%20Janeiro%20-%20S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>
        <row r="3">
          <cell r="A3" t="str">
            <v>CPL</v>
          </cell>
        </row>
        <row r="14">
          <cell r="A14" t="str">
            <v>ASCON</v>
          </cell>
        </row>
        <row r="21">
          <cell r="A21" t="str">
            <v>DILENE</v>
          </cell>
        </row>
        <row r="25">
          <cell r="A25" t="str">
            <v>GERAF SUAD</v>
          </cell>
        </row>
        <row r="27">
          <cell r="A27" t="str">
            <v>TRANSPORTE</v>
          </cell>
        </row>
        <row r="31">
          <cell r="A31" t="str">
            <v>CONVITE CPE</v>
          </cell>
        </row>
        <row r="51">
          <cell r="A51" t="str">
            <v>CAP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 1"/>
      <sheetName val="Fat 2"/>
      <sheetName val="Fat 3"/>
      <sheetName val="Fat 4"/>
      <sheetName val="Fat 5"/>
      <sheetName val="SEMPRE Dem "/>
      <sheetName val="Consolid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12">
          <cell r="J12">
            <v>33</v>
          </cell>
        </row>
        <row r="13">
          <cell r="J13">
            <v>0</v>
          </cell>
        </row>
        <row r="15">
          <cell r="J15">
            <v>0</v>
          </cell>
        </row>
        <row r="16">
          <cell r="J16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de Med Ok"/>
      <sheetName val="Sede Dem Ok"/>
      <sheetName val="Barra Med OK"/>
      <sheetName val="Barra Dem OK"/>
      <sheetName val="Boca do Rio Med OK"/>
      <sheetName val="Boca do Rio Dem OK"/>
      <sheetName val="Brotas Med OK"/>
      <sheetName val="Brotas Dem OK"/>
      <sheetName val="Cabula Med OK"/>
      <sheetName val="Cabula Dem OK"/>
      <sheetName val="Cajazeiras Med OK"/>
      <sheetName val="Cajazeiras Dem OK"/>
      <sheetName val="CH Med OK"/>
      <sheetName val="CH Dem"/>
      <sheetName val="Itapagipe Med OK"/>
      <sheetName val="Itapagipe Dem"/>
      <sheetName val="Itapuã Med OK"/>
      <sheetName val="Itapuã Dem OK"/>
      <sheetName val="Liberdade Med OK"/>
      <sheetName val="Liberdade Dem"/>
      <sheetName val="Pau da Lima Med OK"/>
      <sheetName val="Pau da Lima Dem OK"/>
      <sheetName val="SCV Med OK"/>
      <sheetName val="SCV Dem OK"/>
      <sheetName val="Subúrbio Med OK"/>
      <sheetName val="Subúrbio Dem OK"/>
      <sheetName val="DVIS Med OK"/>
      <sheetName val="DVIS Dem OK"/>
      <sheetName val="CR Med OK"/>
      <sheetName val="CR Dem"/>
      <sheetName val="CCZ Med OK"/>
      <sheetName val="CCZ Dem"/>
      <sheetName val="DRCA Med OK"/>
      <sheetName val="DRCA Dem"/>
      <sheetName val="SAMU Med OK"/>
      <sheetName val="SAMU Dem OK"/>
      <sheetName val="ESPS Med OK"/>
      <sheetName val="ESPS Dem"/>
      <sheetName val="LACEM Med OK"/>
      <sheetName val="LACEM Dem"/>
      <sheetName val="Consolid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5">
          <cell r="Y5">
            <v>0</v>
          </cell>
        </row>
        <row r="6">
          <cell r="Y6">
            <v>200</v>
          </cell>
        </row>
        <row r="7">
          <cell r="Y7">
            <v>0</v>
          </cell>
        </row>
        <row r="8">
          <cell r="Y8">
            <v>59</v>
          </cell>
        </row>
        <row r="9">
          <cell r="Y9">
            <v>0</v>
          </cell>
        </row>
        <row r="10">
          <cell r="Y10">
            <v>1248</v>
          </cell>
        </row>
        <row r="11">
          <cell r="Y11">
            <v>166</v>
          </cell>
        </row>
        <row r="12">
          <cell r="Y12">
            <v>0</v>
          </cell>
        </row>
        <row r="13">
          <cell r="Y13">
            <v>36</v>
          </cell>
        </row>
        <row r="14">
          <cell r="Y14">
            <v>53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18</v>
          </cell>
        </row>
        <row r="18">
          <cell r="Y18">
            <v>2</v>
          </cell>
        </row>
        <row r="19">
          <cell r="Y19">
            <v>30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K77"/>
  <sheetViews>
    <sheetView showGridLines="0" workbookViewId="0">
      <pane ySplit="13" topLeftCell="A14" activePane="bottomLeft" state="frozen"/>
      <selection activeCell="C12" sqref="C12"/>
      <selection pane="bottomLeft" sqref="A1:I1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67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123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70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132</v>
      </c>
      <c r="B9" s="270"/>
      <c r="C9" s="271" t="s">
        <v>67</v>
      </c>
      <c r="D9" s="272"/>
      <c r="E9" s="272"/>
      <c r="F9" s="273"/>
      <c r="G9" s="271" t="s">
        <v>578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/>
      <c r="B15" s="13"/>
      <c r="C15" s="13"/>
      <c r="D15" s="20">
        <v>45566</v>
      </c>
      <c r="E15" s="20">
        <v>45595</v>
      </c>
      <c r="F15" s="11">
        <f>(E15-D15)+1</f>
        <v>30</v>
      </c>
      <c r="G15" s="12"/>
      <c r="H15" s="13">
        <v>1</v>
      </c>
      <c r="I15" s="19">
        <f>G15/30*H15*F15</f>
        <v>0</v>
      </c>
      <c r="J15" s="32"/>
      <c r="K15" s="13"/>
    </row>
    <row r="16" spans="1:11" ht="13.5" customHeight="1" x14ac:dyDescent="0.2">
      <c r="A16" s="2"/>
      <c r="B16" s="76"/>
      <c r="C16" s="13"/>
      <c r="D16" s="20">
        <v>45566</v>
      </c>
      <c r="E16" s="20">
        <v>45595</v>
      </c>
      <c r="F16" s="11">
        <f>(E16-D16)+1</f>
        <v>30</v>
      </c>
      <c r="G16" s="12"/>
      <c r="H16" s="13">
        <v>1</v>
      </c>
      <c r="I16" s="19">
        <f t="shared" ref="I16:I21" si="0">G16/30*H16*F16</f>
        <v>0</v>
      </c>
      <c r="J16" s="32"/>
      <c r="K16" s="13"/>
    </row>
    <row r="17" spans="1:11" ht="13.5" customHeight="1" x14ac:dyDescent="0.2">
      <c r="A17" s="2"/>
      <c r="B17" s="13"/>
      <c r="C17" s="13"/>
      <c r="D17" s="20">
        <v>45566</v>
      </c>
      <c r="E17" s="20">
        <v>45595</v>
      </c>
      <c r="F17" s="11">
        <f t="shared" ref="F17:F20" si="1">(E17-D17)+1</f>
        <v>30</v>
      </c>
      <c r="G17" s="12"/>
      <c r="H17" s="13">
        <v>1</v>
      </c>
      <c r="I17" s="19">
        <f t="shared" si="0"/>
        <v>0</v>
      </c>
      <c r="J17" s="32"/>
      <c r="K17" s="13"/>
    </row>
    <row r="18" spans="1:11" ht="13.5" customHeight="1" x14ac:dyDescent="0.2">
      <c r="A18" s="2"/>
      <c r="B18" s="13"/>
      <c r="C18" s="13"/>
      <c r="D18" s="20">
        <v>45566</v>
      </c>
      <c r="E18" s="20">
        <v>45595</v>
      </c>
      <c r="F18" s="11">
        <f t="shared" si="1"/>
        <v>30</v>
      </c>
      <c r="G18" s="12"/>
      <c r="H18" s="13">
        <v>1</v>
      </c>
      <c r="I18" s="19">
        <f t="shared" si="0"/>
        <v>0</v>
      </c>
      <c r="J18" s="32"/>
      <c r="K18" s="13"/>
    </row>
    <row r="19" spans="1:11" ht="13.5" customHeight="1" x14ac:dyDescent="0.2">
      <c r="A19" s="2"/>
      <c r="B19" s="13"/>
      <c r="C19" s="13"/>
      <c r="D19" s="20">
        <v>45566</v>
      </c>
      <c r="E19" s="20">
        <v>45595</v>
      </c>
      <c r="F19" s="11">
        <f t="shared" si="1"/>
        <v>30</v>
      </c>
      <c r="G19" s="12"/>
      <c r="H19" s="13">
        <v>1</v>
      </c>
      <c r="I19" s="19">
        <f t="shared" si="0"/>
        <v>0</v>
      </c>
      <c r="J19" s="32"/>
      <c r="K19" s="13"/>
    </row>
    <row r="20" spans="1:11" ht="13.5" customHeight="1" x14ac:dyDescent="0.2">
      <c r="A20" s="2"/>
      <c r="B20" s="13"/>
      <c r="C20" s="13"/>
      <c r="D20" s="20">
        <v>45566</v>
      </c>
      <c r="E20" s="20">
        <v>45595</v>
      </c>
      <c r="F20" s="11">
        <f t="shared" si="1"/>
        <v>30</v>
      </c>
      <c r="G20" s="12"/>
      <c r="H20" s="13">
        <v>1</v>
      </c>
      <c r="I20" s="19">
        <f t="shared" si="0"/>
        <v>0</v>
      </c>
      <c r="J20" s="32"/>
      <c r="K20" s="13"/>
    </row>
    <row r="21" spans="1:11" ht="13.5" customHeight="1" x14ac:dyDescent="0.25">
      <c r="A21" s="14"/>
      <c r="B21" s="20"/>
      <c r="C21" s="13"/>
      <c r="D21" s="20"/>
      <c r="E21" s="20"/>
      <c r="F21" s="11"/>
      <c r="G21" s="12"/>
      <c r="H21" s="13"/>
      <c r="I21" s="19">
        <f t="shared" si="0"/>
        <v>0</v>
      </c>
      <c r="J21" s="32"/>
      <c r="K21" s="13"/>
    </row>
    <row r="22" spans="1:11" ht="13.5" customHeight="1" x14ac:dyDescent="0.25">
      <c r="A22" s="21" t="s">
        <v>43</v>
      </c>
      <c r="B22" s="26"/>
      <c r="C22" s="137"/>
      <c r="D22" s="23"/>
      <c r="E22" s="23"/>
      <c r="F22" s="24"/>
      <c r="G22" s="23"/>
      <c r="H22" s="22">
        <f>SUM(H15:H21)</f>
        <v>6</v>
      </c>
      <c r="I22" s="112">
        <f>SUM(I15:I21)</f>
        <v>0</v>
      </c>
      <c r="J22" s="33"/>
      <c r="K22" s="116"/>
    </row>
    <row r="23" spans="1:11" ht="13.5" customHeight="1" x14ac:dyDescent="0.25">
      <c r="D23" s="8"/>
      <c r="E23" s="8"/>
      <c r="F23" s="9"/>
      <c r="G23" s="10"/>
      <c r="I23" s="10"/>
      <c r="J23" s="4"/>
    </row>
    <row r="24" spans="1:11" ht="13.5" customHeight="1" x14ac:dyDescent="0.2">
      <c r="A24" s="2"/>
      <c r="B24" s="20"/>
      <c r="C24" s="13"/>
      <c r="D24" s="20">
        <v>45566</v>
      </c>
      <c r="E24" s="20">
        <v>45595</v>
      </c>
      <c r="F24" s="11">
        <f>(E24-D24)+1</f>
        <v>30</v>
      </c>
      <c r="G24" s="12"/>
      <c r="H24" s="13">
        <v>1</v>
      </c>
      <c r="I24" s="19">
        <f t="shared" ref="I24:I27" si="2">G24/30*H24*F24</f>
        <v>0</v>
      </c>
      <c r="J24" s="32"/>
      <c r="K24" s="13"/>
    </row>
    <row r="25" spans="1:11" ht="13.5" customHeight="1" x14ac:dyDescent="0.2">
      <c r="A25" s="2"/>
      <c r="B25" s="20"/>
      <c r="C25" s="13"/>
      <c r="D25" s="20">
        <v>45566</v>
      </c>
      <c r="E25" s="20">
        <v>45595</v>
      </c>
      <c r="F25" s="11">
        <f>(E25-D25)+1</f>
        <v>30</v>
      </c>
      <c r="G25" s="12"/>
      <c r="H25" s="13">
        <v>1</v>
      </c>
      <c r="I25" s="19">
        <f t="shared" si="2"/>
        <v>0</v>
      </c>
      <c r="J25" s="32"/>
      <c r="K25" s="13"/>
    </row>
    <row r="26" spans="1:11" ht="13.5" customHeight="1" x14ac:dyDescent="0.2">
      <c r="A26" s="2"/>
      <c r="B26" s="20"/>
      <c r="C26" s="13"/>
      <c r="D26" s="20">
        <v>45566</v>
      </c>
      <c r="E26" s="20">
        <v>45595</v>
      </c>
      <c r="F26" s="11">
        <f>(E26-D26)+1</f>
        <v>30</v>
      </c>
      <c r="G26" s="12"/>
      <c r="H26" s="13">
        <v>1</v>
      </c>
      <c r="I26" s="19">
        <f t="shared" si="2"/>
        <v>0</v>
      </c>
      <c r="J26" s="32"/>
      <c r="K26" s="13"/>
    </row>
    <row r="27" spans="1:11" ht="13.5" customHeight="1" x14ac:dyDescent="0.25">
      <c r="A27" s="14"/>
      <c r="B27" s="20"/>
      <c r="C27" s="13"/>
      <c r="D27" s="20"/>
      <c r="E27" s="20"/>
      <c r="F27" s="11"/>
      <c r="G27" s="12"/>
      <c r="H27" s="13"/>
      <c r="I27" s="19">
        <f t="shared" si="2"/>
        <v>0</v>
      </c>
      <c r="J27" s="32"/>
      <c r="K27" s="13"/>
    </row>
    <row r="28" spans="1:11" ht="13.5" customHeight="1" x14ac:dyDescent="0.25">
      <c r="A28" s="21" t="s">
        <v>43</v>
      </c>
      <c r="B28" s="26"/>
      <c r="C28" s="137"/>
      <c r="D28" s="23"/>
      <c r="E28" s="23"/>
      <c r="F28" s="24"/>
      <c r="G28" s="23"/>
      <c r="H28" s="22">
        <f>SUM(H24:H27)</f>
        <v>3</v>
      </c>
      <c r="I28" s="112">
        <f>SUM(I24:I27)</f>
        <v>0</v>
      </c>
      <c r="J28" s="33"/>
      <c r="K28" s="116"/>
    </row>
    <row r="29" spans="1:11" ht="13.5" customHeight="1" x14ac:dyDescent="0.25">
      <c r="D29" s="8"/>
      <c r="E29" s="8"/>
      <c r="F29" s="9"/>
      <c r="G29" s="10"/>
      <c r="I29" s="10"/>
      <c r="J29" s="4"/>
    </row>
    <row r="30" spans="1:11" ht="13.5" customHeight="1" x14ac:dyDescent="0.2">
      <c r="A30" s="2"/>
      <c r="B30" s="20"/>
      <c r="C30" s="13"/>
      <c r="D30" s="20">
        <v>45566</v>
      </c>
      <c r="E30" s="20">
        <v>45595</v>
      </c>
      <c r="F30" s="11">
        <f>(E30-D30)+1</f>
        <v>30</v>
      </c>
      <c r="G30" s="12"/>
      <c r="H30" s="13">
        <v>1</v>
      </c>
      <c r="I30" s="19">
        <f t="shared" ref="I30:I33" si="3">G30/30*H30*F30</f>
        <v>0</v>
      </c>
      <c r="J30" s="32"/>
      <c r="K30" s="13"/>
    </row>
    <row r="31" spans="1:11" ht="13.5" customHeight="1" x14ac:dyDescent="0.2">
      <c r="A31" s="2"/>
      <c r="B31" s="20"/>
      <c r="C31" s="13"/>
      <c r="D31" s="20">
        <v>45566</v>
      </c>
      <c r="E31" s="20">
        <v>45595</v>
      </c>
      <c r="F31" s="11">
        <f>(E31-D31)+1</f>
        <v>30</v>
      </c>
      <c r="G31" s="12"/>
      <c r="H31" s="13">
        <v>1</v>
      </c>
      <c r="I31" s="19">
        <f t="shared" si="3"/>
        <v>0</v>
      </c>
      <c r="J31" s="32"/>
      <c r="K31" s="13"/>
    </row>
    <row r="32" spans="1:11" ht="13.5" customHeight="1" x14ac:dyDescent="0.2">
      <c r="A32" s="2"/>
      <c r="B32" s="20"/>
      <c r="C32" s="13"/>
      <c r="D32" s="20">
        <v>45566</v>
      </c>
      <c r="E32" s="20">
        <v>45595</v>
      </c>
      <c r="F32" s="11">
        <f>(E32-D32)+1</f>
        <v>30</v>
      </c>
      <c r="G32" s="12"/>
      <c r="H32" s="13">
        <v>1</v>
      </c>
      <c r="I32" s="19">
        <f t="shared" si="3"/>
        <v>0</v>
      </c>
      <c r="J32" s="32"/>
      <c r="K32" s="13"/>
    </row>
    <row r="33" spans="1:11" ht="13.5" customHeight="1" x14ac:dyDescent="0.25">
      <c r="A33" s="14"/>
      <c r="B33" s="20"/>
      <c r="C33" s="13"/>
      <c r="D33" s="20"/>
      <c r="E33" s="20"/>
      <c r="F33" s="11"/>
      <c r="G33" s="12"/>
      <c r="H33" s="13"/>
      <c r="I33" s="19">
        <f t="shared" si="3"/>
        <v>0</v>
      </c>
      <c r="J33" s="32"/>
      <c r="K33" s="13"/>
    </row>
    <row r="34" spans="1:11" ht="13.5" customHeight="1" x14ac:dyDescent="0.25">
      <c r="A34" s="21" t="s">
        <v>10</v>
      </c>
      <c r="B34" s="26"/>
      <c r="C34" s="137"/>
      <c r="D34" s="23"/>
      <c r="E34" s="23"/>
      <c r="F34" s="24"/>
      <c r="G34" s="23"/>
      <c r="H34" s="22">
        <f>SUM(H30:H33)</f>
        <v>3</v>
      </c>
      <c r="I34" s="112">
        <f>SUM(I30:I33)</f>
        <v>0</v>
      </c>
      <c r="J34" s="33"/>
      <c r="K34" s="116"/>
    </row>
    <row r="35" spans="1:11" ht="13.5" customHeight="1" x14ac:dyDescent="0.25">
      <c r="D35" s="8"/>
      <c r="E35" s="8"/>
      <c r="F35" s="9"/>
      <c r="G35" s="10"/>
      <c r="I35" s="10"/>
      <c r="J35" s="4"/>
    </row>
    <row r="36" spans="1:11" ht="13.5" customHeight="1" x14ac:dyDescent="0.25">
      <c r="D36" s="8"/>
      <c r="E36" s="8"/>
      <c r="F36" s="9"/>
      <c r="G36" s="10"/>
      <c r="H36" s="50">
        <f>H22+H28+H34</f>
        <v>12</v>
      </c>
      <c r="I36" s="25">
        <f>I22+I28+I34</f>
        <v>0</v>
      </c>
      <c r="J36" s="16"/>
    </row>
    <row r="37" spans="1:11" ht="13.5" customHeight="1" x14ac:dyDescent="0.25">
      <c r="D37" s="8"/>
      <c r="E37" s="8"/>
      <c r="F37" s="9"/>
      <c r="G37" s="10"/>
      <c r="I37" s="10"/>
      <c r="J37" s="16"/>
    </row>
    <row r="38" spans="1:11" ht="13.5" customHeight="1" x14ac:dyDescent="0.25">
      <c r="D38" s="8"/>
      <c r="E38" s="8"/>
      <c r="F38" s="9"/>
      <c r="G38" s="10"/>
      <c r="I38" s="10"/>
      <c r="J38" s="7"/>
    </row>
    <row r="39" spans="1:11" ht="13.5" customHeight="1" x14ac:dyDescent="0.25">
      <c r="A39" s="289" t="s">
        <v>124</v>
      </c>
      <c r="B39" s="289"/>
      <c r="C39" s="289"/>
      <c r="D39" s="289"/>
      <c r="E39" s="289"/>
      <c r="F39" s="289"/>
      <c r="G39" s="289"/>
      <c r="H39" s="289"/>
      <c r="I39" s="289"/>
      <c r="J39" s="7"/>
    </row>
    <row r="40" spans="1:11" ht="13.5" customHeight="1" x14ac:dyDescent="0.25">
      <c r="J40" s="7"/>
    </row>
    <row r="41" spans="1:11" ht="13.5" customHeight="1" x14ac:dyDescent="0.2">
      <c r="A41" s="27" t="s">
        <v>125</v>
      </c>
      <c r="B41" s="7"/>
      <c r="F41" s="71"/>
      <c r="G41" s="10"/>
      <c r="I41" s="72"/>
      <c r="J41" s="7"/>
    </row>
    <row r="42" spans="1:11" ht="60" customHeight="1" x14ac:dyDescent="0.25">
      <c r="A42" s="291"/>
      <c r="B42" s="275"/>
      <c r="C42" s="292"/>
      <c r="D42" s="290"/>
      <c r="E42" s="290"/>
      <c r="F42" s="290"/>
      <c r="G42" s="290"/>
      <c r="H42" s="290"/>
      <c r="I42" s="290"/>
      <c r="J42" s="7"/>
    </row>
    <row r="43" spans="1:11" ht="13.5" customHeight="1" x14ac:dyDescent="0.25">
      <c r="A43" s="274" t="s">
        <v>126</v>
      </c>
      <c r="B43" s="274"/>
      <c r="C43" s="274"/>
      <c r="D43" s="274" t="s">
        <v>127</v>
      </c>
      <c r="E43" s="274"/>
      <c r="F43" s="274"/>
      <c r="G43" s="274"/>
      <c r="H43" s="274"/>
      <c r="I43" s="274"/>
      <c r="J43" s="7"/>
    </row>
    <row r="44" spans="1:11" ht="13.5" customHeight="1" x14ac:dyDescent="0.25">
      <c r="D44" s="8"/>
      <c r="E44" s="8"/>
      <c r="F44" s="9"/>
      <c r="G44" s="10"/>
      <c r="I44" s="10"/>
      <c r="J44" s="7"/>
    </row>
    <row r="45" spans="1:11" ht="13.5" customHeight="1" x14ac:dyDescent="0.25">
      <c r="D45" s="8"/>
      <c r="E45" s="8"/>
      <c r="F45" s="9"/>
      <c r="G45" s="10"/>
      <c r="I45" s="10"/>
      <c r="J45" s="7"/>
    </row>
    <row r="46" spans="1:11" ht="13.5" customHeight="1" x14ac:dyDescent="0.25">
      <c r="D46" s="8"/>
      <c r="E46" s="8"/>
      <c r="F46" s="9"/>
      <c r="G46" s="10"/>
      <c r="I46" s="10"/>
      <c r="J46" s="7"/>
    </row>
    <row r="47" spans="1:11" ht="13.5" customHeight="1" x14ac:dyDescent="0.2">
      <c r="A47" s="266" t="s">
        <v>29</v>
      </c>
      <c r="B47" s="266"/>
      <c r="C47" s="266"/>
      <c r="D47" s="266"/>
      <c r="E47" s="266"/>
      <c r="F47" s="266"/>
      <c r="G47" s="51"/>
      <c r="I47" s="10"/>
      <c r="J47" s="16"/>
    </row>
    <row r="48" spans="1:11" ht="13.5" customHeight="1" x14ac:dyDescent="0.2">
      <c r="A48" s="267" t="s">
        <v>45</v>
      </c>
      <c r="B48" s="267"/>
      <c r="C48" s="267"/>
      <c r="D48" s="267"/>
      <c r="E48" s="283" t="s">
        <v>5</v>
      </c>
      <c r="F48" s="282" t="s">
        <v>6</v>
      </c>
      <c r="G48" s="52"/>
      <c r="I48" s="10"/>
      <c r="J48" s="16"/>
    </row>
    <row r="49" spans="1:7" ht="13.5" customHeight="1" x14ac:dyDescent="0.2">
      <c r="A49" s="34" t="s">
        <v>0</v>
      </c>
      <c r="B49" s="34" t="s">
        <v>3</v>
      </c>
      <c r="C49" s="34" t="s">
        <v>2</v>
      </c>
      <c r="D49" s="34" t="s">
        <v>4</v>
      </c>
      <c r="E49" s="284"/>
      <c r="F49" s="282"/>
      <c r="G49" s="53"/>
    </row>
    <row r="50" spans="1:7" ht="13.5" customHeight="1" x14ac:dyDescent="0.2">
      <c r="A50" s="2" t="s">
        <v>18</v>
      </c>
      <c r="B50" s="39"/>
      <c r="C50" s="35">
        <v>37</v>
      </c>
      <c r="D50" s="35">
        <v>0</v>
      </c>
      <c r="E50" s="13">
        <f>COUNTIFS($A$12:$A$38,"Cond Ar Janela 7.500 BTU/h")</f>
        <v>0</v>
      </c>
      <c r="F50" s="40"/>
      <c r="G50" s="1"/>
    </row>
    <row r="51" spans="1:7" ht="13.5" customHeight="1" x14ac:dyDescent="0.2">
      <c r="A51" s="2" t="s">
        <v>19</v>
      </c>
      <c r="B51" s="39"/>
      <c r="C51" s="3">
        <v>210</v>
      </c>
      <c r="D51" s="3">
        <f t="shared" ref="D51:D60" si="4">B51*C51</f>
        <v>0</v>
      </c>
      <c r="E51" s="13">
        <f>COUNTIFS($A$12:$A$38,"Cond Ar Janela 10.000 BTU/h")</f>
        <v>0</v>
      </c>
      <c r="F51" s="40"/>
      <c r="G51" s="1"/>
    </row>
    <row r="52" spans="1:7" ht="13.5" customHeight="1" x14ac:dyDescent="0.2">
      <c r="A52" s="2" t="s">
        <v>20</v>
      </c>
      <c r="B52" s="39"/>
      <c r="C52" s="3">
        <v>208</v>
      </c>
      <c r="D52" s="3">
        <f t="shared" si="4"/>
        <v>0</v>
      </c>
      <c r="E52" s="13">
        <f>COUNTIFS($A$12:$A$38,"Cond Ar Janela 18.000 BTU/h")</f>
        <v>0</v>
      </c>
      <c r="F52" s="40"/>
      <c r="G52" s="1"/>
    </row>
    <row r="53" spans="1:7" ht="13.5" customHeight="1" x14ac:dyDescent="0.2">
      <c r="A53" s="2" t="s">
        <v>21</v>
      </c>
      <c r="B53" s="39"/>
      <c r="C53" s="3">
        <v>57</v>
      </c>
      <c r="D53" s="3">
        <f t="shared" si="4"/>
        <v>0</v>
      </c>
      <c r="E53" s="13">
        <f>COUNTIFS($A$12:$A$38,"Cond Ar Janela 21.000 BTU/h")</f>
        <v>0</v>
      </c>
      <c r="F53" s="40"/>
      <c r="G53" s="1"/>
    </row>
    <row r="54" spans="1:7" ht="13.5" customHeight="1" x14ac:dyDescent="0.2">
      <c r="A54" s="2" t="s">
        <v>22</v>
      </c>
      <c r="B54" s="39"/>
      <c r="C54" s="3">
        <v>147</v>
      </c>
      <c r="D54" s="3">
        <f t="shared" si="4"/>
        <v>0</v>
      </c>
      <c r="E54" s="13">
        <f>COUNTIFS($A$12:$A$38,"Cond Ar Split 9.000 BTU/h Hi Wall")</f>
        <v>0</v>
      </c>
      <c r="F54" s="40"/>
      <c r="G54" s="1"/>
    </row>
    <row r="55" spans="1:7" ht="13.5" customHeight="1" x14ac:dyDescent="0.2">
      <c r="A55" s="2" t="s">
        <v>23</v>
      </c>
      <c r="B55" s="39"/>
      <c r="C55" s="3">
        <v>235</v>
      </c>
      <c r="D55" s="3">
        <f t="shared" si="4"/>
        <v>0</v>
      </c>
      <c r="E55" s="13">
        <f>COUNTIFS($A$12:$A$38,"Cond Ar Split 12.000 BTU/h Hi Wall")</f>
        <v>0</v>
      </c>
      <c r="F55" s="40"/>
      <c r="G55" s="1"/>
    </row>
    <row r="56" spans="1:7" ht="13.5" customHeight="1" x14ac:dyDescent="0.2">
      <c r="A56" s="2" t="s">
        <v>24</v>
      </c>
      <c r="B56" s="39"/>
      <c r="C56" s="3">
        <v>238</v>
      </c>
      <c r="D56" s="3">
        <f t="shared" si="4"/>
        <v>0</v>
      </c>
      <c r="E56" s="13">
        <f>COUNTIFS($A$12:$A$38,"Cond Ar Split 18.000 BTU/h Hi Wall")</f>
        <v>0</v>
      </c>
      <c r="F56" s="40"/>
      <c r="G56" s="1"/>
    </row>
    <row r="57" spans="1:7" ht="13.5" customHeight="1" x14ac:dyDescent="0.2">
      <c r="A57" s="2" t="s">
        <v>25</v>
      </c>
      <c r="B57" s="39"/>
      <c r="C57" s="3">
        <v>242</v>
      </c>
      <c r="D57" s="3">
        <f t="shared" si="4"/>
        <v>0</v>
      </c>
      <c r="E57" s="13">
        <f>COUNTIFS($A$12:$A$38,"Cond Ar Split 22.000 BTU/h Hi Wall")</f>
        <v>0</v>
      </c>
      <c r="F57" s="40"/>
      <c r="G57" s="1"/>
    </row>
    <row r="58" spans="1:7" ht="13.5" customHeight="1" x14ac:dyDescent="0.2">
      <c r="A58" s="2" t="s">
        <v>26</v>
      </c>
      <c r="B58" s="39"/>
      <c r="C58" s="3">
        <v>260</v>
      </c>
      <c r="D58" s="3">
        <f t="shared" si="4"/>
        <v>0</v>
      </c>
      <c r="E58" s="13">
        <f>COUNTIFS($A$12:$A$38,"Cond Ar Split 24.000 BTU/h Hi Wall")</f>
        <v>0</v>
      </c>
      <c r="F58" s="40"/>
      <c r="G58" s="1"/>
    </row>
    <row r="59" spans="1:7" ht="13.5" customHeight="1" x14ac:dyDescent="0.2">
      <c r="A59" s="2" t="s">
        <v>27</v>
      </c>
      <c r="B59" s="39"/>
      <c r="C59" s="3">
        <v>347</v>
      </c>
      <c r="D59" s="3">
        <f t="shared" si="4"/>
        <v>0</v>
      </c>
      <c r="E59" s="13">
        <f>COUNTIFS($A$12:$A$38,"Cond Ar Split 30.000 BTU/h Hi Wall")</f>
        <v>0</v>
      </c>
      <c r="F59" s="40"/>
      <c r="G59" s="1"/>
    </row>
    <row r="60" spans="1:7" ht="13.5" customHeight="1" x14ac:dyDescent="0.2">
      <c r="A60" s="2" t="s">
        <v>30</v>
      </c>
      <c r="B60" s="39"/>
      <c r="C60" s="3">
        <v>367</v>
      </c>
      <c r="D60" s="3">
        <f t="shared" si="4"/>
        <v>0</v>
      </c>
      <c r="E60" s="13">
        <f>COUNTIFS($A$12:$A$38,"Cond Ar Split 24.000 BTU/h Piso/Teto")</f>
        <v>0</v>
      </c>
      <c r="F60" s="40"/>
      <c r="G60" s="1"/>
    </row>
    <row r="61" spans="1:7" ht="13.5" customHeight="1" x14ac:dyDescent="0.2">
      <c r="A61" s="2" t="s">
        <v>31</v>
      </c>
      <c r="B61" s="39"/>
      <c r="C61" s="3">
        <v>367</v>
      </c>
      <c r="D61" s="3">
        <f>B61*C61</f>
        <v>0</v>
      </c>
      <c r="E61" s="13">
        <f>COUNTIFS($A$12:$A$38,"Cond Ar Split 30.000 BTU/h Piso/Teto")</f>
        <v>0</v>
      </c>
      <c r="F61" s="40"/>
      <c r="G61" s="1"/>
    </row>
    <row r="62" spans="1:7" ht="13.5" customHeight="1" x14ac:dyDescent="0.2">
      <c r="A62" s="2" t="s">
        <v>32</v>
      </c>
      <c r="B62" s="39"/>
      <c r="C62" s="3">
        <v>447</v>
      </c>
      <c r="D62" s="3">
        <f>B62*C62</f>
        <v>0</v>
      </c>
      <c r="E62" s="13">
        <f>COUNTIFS($A$12:$A$38,"Cond Ar Split 36.000 BTU/h Piso/Teto")</f>
        <v>0</v>
      </c>
      <c r="F62" s="40"/>
      <c r="G62" s="1"/>
    </row>
    <row r="63" spans="1:7" ht="13.5" customHeight="1" x14ac:dyDescent="0.2">
      <c r="A63" s="2" t="s">
        <v>33</v>
      </c>
      <c r="B63" s="39"/>
      <c r="C63" s="3">
        <v>497</v>
      </c>
      <c r="D63" s="3">
        <f>B63*C63</f>
        <v>0</v>
      </c>
      <c r="E63" s="13">
        <f>COUNTIFS($A$12:$A$38,"Cond Ar Split 48.000 BTU/h Piso/Teto")</f>
        <v>0</v>
      </c>
      <c r="F63" s="40"/>
      <c r="G63" s="1"/>
    </row>
    <row r="64" spans="1:7" ht="13.5" customHeight="1" x14ac:dyDescent="0.2">
      <c r="A64" s="2" t="s">
        <v>34</v>
      </c>
      <c r="B64" s="39"/>
      <c r="C64" s="3">
        <v>597</v>
      </c>
      <c r="D64" s="3">
        <f t="shared" ref="D64:D72" si="5">B64*C64</f>
        <v>0</v>
      </c>
      <c r="E64" s="13">
        <f>COUNTIFS($A$12:$A$38,"Cond Ar Split 60.000 BTU/h Piso/Teto")</f>
        <v>0</v>
      </c>
      <c r="F64" s="40"/>
      <c r="G64" s="1"/>
    </row>
    <row r="65" spans="1:10" ht="13.5" customHeight="1" x14ac:dyDescent="0.2">
      <c r="A65" s="2" t="s">
        <v>35</v>
      </c>
      <c r="B65" s="39"/>
      <c r="C65" s="3">
        <v>395</v>
      </c>
      <c r="D65" s="3">
        <f t="shared" si="5"/>
        <v>0</v>
      </c>
      <c r="E65" s="13">
        <f>COUNTIFS($A$12:$A$38,"Cond Ar Split 18.000 BTU/h Cassete")</f>
        <v>0</v>
      </c>
      <c r="F65" s="40"/>
      <c r="G65" s="1"/>
    </row>
    <row r="66" spans="1:10" ht="13.5" customHeight="1" x14ac:dyDescent="0.2">
      <c r="A66" s="2" t="s">
        <v>36</v>
      </c>
      <c r="B66" s="39"/>
      <c r="C66" s="3">
        <v>442.75</v>
      </c>
      <c r="D66" s="3">
        <f t="shared" si="5"/>
        <v>0</v>
      </c>
      <c r="E66" s="13">
        <f>COUNTIFS($A$12:$A$38,"Cond Ar Split 24.000 BTU/h Cassete")</f>
        <v>0</v>
      </c>
      <c r="F66" s="40"/>
      <c r="G66" s="1"/>
    </row>
    <row r="67" spans="1:10" ht="13.5" customHeight="1" x14ac:dyDescent="0.2">
      <c r="A67" s="2" t="s">
        <v>37</v>
      </c>
      <c r="B67" s="39"/>
      <c r="C67" s="3">
        <v>430</v>
      </c>
      <c r="D67" s="3">
        <f t="shared" si="5"/>
        <v>0</v>
      </c>
      <c r="E67" s="13">
        <f>COUNTIFS($A$12:$A$38,"Cond Ar Split 30.000 BTU/h Cassete")</f>
        <v>0</v>
      </c>
      <c r="F67" s="40"/>
      <c r="G67" s="1"/>
    </row>
    <row r="68" spans="1:10" ht="13.5" customHeight="1" x14ac:dyDescent="0.2">
      <c r="A68" s="2" t="s">
        <v>38</v>
      </c>
      <c r="B68" s="39"/>
      <c r="C68" s="3">
        <v>478</v>
      </c>
      <c r="D68" s="3">
        <f t="shared" si="5"/>
        <v>0</v>
      </c>
      <c r="E68" s="13">
        <f>COUNTIFS($A$12:$A$38,"Cond Ar Split 36.000 BTU/h Cassete")</f>
        <v>0</v>
      </c>
      <c r="F68" s="40"/>
      <c r="G68" s="1"/>
    </row>
    <row r="69" spans="1:10" ht="13.5" customHeight="1" x14ac:dyDescent="0.2">
      <c r="A69" s="2" t="s">
        <v>39</v>
      </c>
      <c r="B69" s="39"/>
      <c r="C69" s="3">
        <v>577</v>
      </c>
      <c r="D69" s="3">
        <f t="shared" si="5"/>
        <v>0</v>
      </c>
      <c r="E69" s="13">
        <f>COUNTIFS($A$12:$A$38,"Cond Ar Split 48.000 BTU/h Cassete")</f>
        <v>0</v>
      </c>
      <c r="F69" s="40"/>
      <c r="G69" s="1"/>
    </row>
    <row r="70" spans="1:10" ht="13.5" customHeight="1" x14ac:dyDescent="0.2">
      <c r="A70" s="2" t="s">
        <v>40</v>
      </c>
      <c r="B70" s="39"/>
      <c r="C70" s="3">
        <v>645</v>
      </c>
      <c r="D70" s="3">
        <f t="shared" si="5"/>
        <v>0</v>
      </c>
      <c r="E70" s="13">
        <f>COUNTIFS($A$12:$A$38,"Cond Ar Split 60.000 BTU/h Cassete")</f>
        <v>0</v>
      </c>
      <c r="F70" s="40"/>
      <c r="G70" s="1"/>
    </row>
    <row r="71" spans="1:10" ht="13.5" customHeight="1" x14ac:dyDescent="0.2">
      <c r="A71" s="2" t="s">
        <v>41</v>
      </c>
      <c r="B71" s="39"/>
      <c r="C71" s="3">
        <v>147</v>
      </c>
      <c r="D71" s="3">
        <f t="shared" si="5"/>
        <v>0</v>
      </c>
      <c r="E71" s="13">
        <f>COUNTIFS($A$12:$A$38,"Cond Ar Tri Split 36.000 BTU/h (3x12.000)")</f>
        <v>0</v>
      </c>
      <c r="F71" s="40"/>
      <c r="G71" s="1"/>
    </row>
    <row r="72" spans="1:10" ht="13.5" customHeight="1" x14ac:dyDescent="0.2">
      <c r="A72" s="2" t="s">
        <v>42</v>
      </c>
      <c r="B72" s="39"/>
      <c r="C72" s="3">
        <v>100</v>
      </c>
      <c r="D72" s="3">
        <f t="shared" si="5"/>
        <v>0</v>
      </c>
      <c r="E72" s="13">
        <f>COUNTIFS($A$12:$A$38,"Cond Ar Portátil 12.000 BTU/h")</f>
        <v>0</v>
      </c>
      <c r="F72" s="40"/>
      <c r="G72" s="1"/>
    </row>
    <row r="73" spans="1:10" ht="13.5" customHeight="1" x14ac:dyDescent="0.2">
      <c r="A73" s="36" t="s">
        <v>7</v>
      </c>
      <c r="B73" s="22">
        <f>SUM(B50:B72)</f>
        <v>0</v>
      </c>
      <c r="C73" s="38"/>
      <c r="D73" s="37">
        <f>SUM(D50:D72)</f>
        <v>0</v>
      </c>
      <c r="E73" s="22">
        <f>SUM(E50:E72)</f>
        <v>0</v>
      </c>
      <c r="F73" s="41">
        <f>SUM(F50:F72)</f>
        <v>0</v>
      </c>
      <c r="G73" s="54"/>
    </row>
    <row r="77" spans="1:10" ht="13.5" customHeight="1" x14ac:dyDescent="0.25">
      <c r="F77" s="17"/>
      <c r="J77" s="16"/>
    </row>
  </sheetData>
  <mergeCells count="27">
    <mergeCell ref="A5:C5"/>
    <mergeCell ref="D5:F5"/>
    <mergeCell ref="G5:I5"/>
    <mergeCell ref="A39:I39"/>
    <mergeCell ref="D42:I42"/>
    <mergeCell ref="A42:C42"/>
    <mergeCell ref="A6:I6"/>
    <mergeCell ref="A1:I1"/>
    <mergeCell ref="A3:I3"/>
    <mergeCell ref="A4:C4"/>
    <mergeCell ref="D4:F4"/>
    <mergeCell ref="G4:I4"/>
    <mergeCell ref="A47:F47"/>
    <mergeCell ref="A48:D48"/>
    <mergeCell ref="A7:I7"/>
    <mergeCell ref="A8:I8"/>
    <mergeCell ref="A9:B9"/>
    <mergeCell ref="C9:F9"/>
    <mergeCell ref="G9:I9"/>
    <mergeCell ref="A43:C43"/>
    <mergeCell ref="D43:I43"/>
    <mergeCell ref="A10:I10"/>
    <mergeCell ref="G11:I11"/>
    <mergeCell ref="C11:E11"/>
    <mergeCell ref="D13:E13"/>
    <mergeCell ref="E48:E49"/>
    <mergeCell ref="F48:F49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>
    <pageSetUpPr fitToPage="1"/>
  </sheetPr>
  <dimension ref="A1:L98"/>
  <sheetViews>
    <sheetView showGridLines="0" workbookViewId="0">
      <pane ySplit="13" topLeftCell="A53" activePane="bottomLeft" state="frozen"/>
      <selection activeCell="C33" sqref="C33"/>
      <selection pane="bottomLeft" activeCell="E56" sqref="E56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425781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723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458</v>
      </c>
      <c r="B8" s="269"/>
      <c r="C8" s="269"/>
      <c r="D8" s="269"/>
      <c r="E8" s="269"/>
      <c r="F8" s="269"/>
      <c r="G8" s="269"/>
      <c r="H8" s="269"/>
      <c r="I8" s="269"/>
      <c r="J8" s="29"/>
      <c r="K8" s="15"/>
    </row>
    <row r="9" spans="1:11" s="18" customFormat="1" ht="13.5" customHeight="1" x14ac:dyDescent="0.25">
      <c r="A9" s="270" t="s">
        <v>460</v>
      </c>
      <c r="B9" s="270"/>
      <c r="C9" s="271" t="s">
        <v>459</v>
      </c>
      <c r="D9" s="272"/>
      <c r="E9" s="272"/>
      <c r="F9" s="273"/>
      <c r="G9" s="271" t="s">
        <v>990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45512</v>
      </c>
      <c r="C15" s="13">
        <v>1447</v>
      </c>
      <c r="D15" s="20">
        <v>45658</v>
      </c>
      <c r="E15" s="20">
        <v>45687</v>
      </c>
      <c r="F15" s="11">
        <f>(E15-D15)+1</f>
        <v>30</v>
      </c>
      <c r="G15" s="3">
        <v>235</v>
      </c>
      <c r="H15" s="13">
        <v>1</v>
      </c>
      <c r="I15" s="19">
        <f>G15/30*H15*F15</f>
        <v>235</v>
      </c>
      <c r="J15" s="32" t="s">
        <v>461</v>
      </c>
      <c r="K15" s="13"/>
    </row>
    <row r="16" spans="1:11" ht="13.5" customHeight="1" x14ac:dyDescent="0.2">
      <c r="A16" s="2" t="s">
        <v>23</v>
      </c>
      <c r="B16" s="76">
        <v>45512</v>
      </c>
      <c r="C16" s="13">
        <v>1452</v>
      </c>
      <c r="D16" s="20">
        <v>45658</v>
      </c>
      <c r="E16" s="20">
        <v>45687</v>
      </c>
      <c r="F16" s="11">
        <f t="shared" ref="F16:F53" si="0">(E16-D16)+1</f>
        <v>30</v>
      </c>
      <c r="G16" s="3">
        <v>235</v>
      </c>
      <c r="H16" s="13">
        <v>1</v>
      </c>
      <c r="I16" s="19">
        <f t="shared" ref="I16:I53" si="1">G16/30*H16*F16</f>
        <v>235</v>
      </c>
      <c r="J16" s="32" t="s">
        <v>462</v>
      </c>
      <c r="K16" s="13"/>
    </row>
    <row r="17" spans="1:12" ht="13.5" customHeight="1" x14ac:dyDescent="0.2">
      <c r="A17" s="2" t="s">
        <v>23</v>
      </c>
      <c r="B17" s="76">
        <v>45512</v>
      </c>
      <c r="C17" s="13">
        <v>1439</v>
      </c>
      <c r="D17" s="20">
        <v>45658</v>
      </c>
      <c r="E17" s="20">
        <v>45687</v>
      </c>
      <c r="F17" s="11">
        <f t="shared" si="0"/>
        <v>30</v>
      </c>
      <c r="G17" s="3">
        <v>235</v>
      </c>
      <c r="H17" s="13">
        <v>1</v>
      </c>
      <c r="I17" s="19">
        <f t="shared" si="1"/>
        <v>235</v>
      </c>
      <c r="J17" s="32" t="s">
        <v>255</v>
      </c>
      <c r="K17" s="13"/>
    </row>
    <row r="18" spans="1:12" ht="13.5" customHeight="1" x14ac:dyDescent="0.2">
      <c r="A18" s="2" t="s">
        <v>23</v>
      </c>
      <c r="B18" s="76">
        <v>45512</v>
      </c>
      <c r="C18" s="13">
        <v>1443</v>
      </c>
      <c r="D18" s="20">
        <v>45658</v>
      </c>
      <c r="E18" s="20">
        <v>45687</v>
      </c>
      <c r="F18" s="11">
        <f t="shared" si="0"/>
        <v>30</v>
      </c>
      <c r="G18" s="3">
        <v>235</v>
      </c>
      <c r="H18" s="13">
        <v>1</v>
      </c>
      <c r="I18" s="19">
        <f t="shared" si="1"/>
        <v>235</v>
      </c>
      <c r="J18" s="32" t="s">
        <v>386</v>
      </c>
      <c r="K18" s="13"/>
    </row>
    <row r="19" spans="1:12" ht="13.5" customHeight="1" x14ac:dyDescent="0.2">
      <c r="A19" s="2" t="s">
        <v>23</v>
      </c>
      <c r="B19" s="76">
        <v>45512</v>
      </c>
      <c r="C19" s="13">
        <v>1790</v>
      </c>
      <c r="D19" s="20">
        <v>45658</v>
      </c>
      <c r="E19" s="20">
        <v>45687</v>
      </c>
      <c r="F19" s="11">
        <f t="shared" si="0"/>
        <v>30</v>
      </c>
      <c r="G19" s="3">
        <v>235</v>
      </c>
      <c r="H19" s="13">
        <v>1</v>
      </c>
      <c r="I19" s="19">
        <f t="shared" si="1"/>
        <v>235</v>
      </c>
      <c r="J19" s="32" t="s">
        <v>463</v>
      </c>
      <c r="K19" s="13"/>
    </row>
    <row r="20" spans="1:12" ht="13.5" customHeight="1" x14ac:dyDescent="0.2">
      <c r="A20" s="2" t="s">
        <v>23</v>
      </c>
      <c r="B20" s="76">
        <v>45512</v>
      </c>
      <c r="C20" s="13">
        <v>1445</v>
      </c>
      <c r="D20" s="20">
        <v>45658</v>
      </c>
      <c r="E20" s="20">
        <v>45687</v>
      </c>
      <c r="F20" s="11">
        <f t="shared" si="0"/>
        <v>30</v>
      </c>
      <c r="G20" s="3">
        <v>235</v>
      </c>
      <c r="H20" s="13">
        <v>1</v>
      </c>
      <c r="I20" s="19">
        <f t="shared" si="1"/>
        <v>235</v>
      </c>
      <c r="J20" s="32" t="s">
        <v>462</v>
      </c>
      <c r="K20" s="13"/>
    </row>
    <row r="21" spans="1:12" ht="13.5" customHeight="1" x14ac:dyDescent="0.2">
      <c r="A21" s="2" t="s">
        <v>23</v>
      </c>
      <c r="B21" s="76">
        <v>45512</v>
      </c>
      <c r="C21" s="13">
        <v>1449</v>
      </c>
      <c r="D21" s="20">
        <v>45658</v>
      </c>
      <c r="E21" s="20">
        <v>45687</v>
      </c>
      <c r="F21" s="11">
        <f t="shared" si="0"/>
        <v>30</v>
      </c>
      <c r="G21" s="3">
        <v>235</v>
      </c>
      <c r="H21" s="13">
        <v>1</v>
      </c>
      <c r="I21" s="19">
        <f t="shared" si="1"/>
        <v>235</v>
      </c>
      <c r="J21" s="32" t="s">
        <v>464</v>
      </c>
      <c r="K21" s="13"/>
    </row>
    <row r="22" spans="1:12" ht="13.5" customHeight="1" x14ac:dyDescent="0.2">
      <c r="A22" s="2" t="s">
        <v>23</v>
      </c>
      <c r="B22" s="76">
        <v>45512</v>
      </c>
      <c r="C22" s="13">
        <v>1813</v>
      </c>
      <c r="D22" s="20">
        <v>45658</v>
      </c>
      <c r="E22" s="20">
        <v>45687</v>
      </c>
      <c r="F22" s="11">
        <f t="shared" si="0"/>
        <v>30</v>
      </c>
      <c r="G22" s="3">
        <v>235</v>
      </c>
      <c r="H22" s="13">
        <v>1</v>
      </c>
      <c r="I22" s="19">
        <f t="shared" si="1"/>
        <v>235</v>
      </c>
      <c r="J22" s="32" t="s">
        <v>465</v>
      </c>
      <c r="K22" s="13"/>
    </row>
    <row r="23" spans="1:12" ht="13.5" customHeight="1" x14ac:dyDescent="0.2">
      <c r="A23" s="2" t="s">
        <v>23</v>
      </c>
      <c r="B23" s="76">
        <v>45512</v>
      </c>
      <c r="C23" s="13">
        <v>1809</v>
      </c>
      <c r="D23" s="20">
        <v>45658</v>
      </c>
      <c r="E23" s="20">
        <v>45687</v>
      </c>
      <c r="F23" s="11">
        <f t="shared" si="0"/>
        <v>30</v>
      </c>
      <c r="G23" s="3">
        <v>235</v>
      </c>
      <c r="H23" s="13">
        <v>1</v>
      </c>
      <c r="I23" s="19">
        <f t="shared" si="1"/>
        <v>235</v>
      </c>
      <c r="J23" s="32" t="s">
        <v>466</v>
      </c>
      <c r="K23" s="13"/>
    </row>
    <row r="24" spans="1:12" ht="13.5" customHeight="1" x14ac:dyDescent="0.2">
      <c r="A24" s="2" t="s">
        <v>23</v>
      </c>
      <c r="B24" s="76">
        <v>45512</v>
      </c>
      <c r="C24" s="13">
        <v>1807</v>
      </c>
      <c r="D24" s="20">
        <v>45658</v>
      </c>
      <c r="E24" s="20">
        <v>45687</v>
      </c>
      <c r="F24" s="11">
        <f t="shared" si="0"/>
        <v>30</v>
      </c>
      <c r="G24" s="3">
        <v>235</v>
      </c>
      <c r="H24" s="13">
        <v>1</v>
      </c>
      <c r="I24" s="19">
        <f t="shared" si="1"/>
        <v>235</v>
      </c>
      <c r="J24" s="32" t="s">
        <v>198</v>
      </c>
      <c r="K24" s="13"/>
    </row>
    <row r="25" spans="1:12" ht="13.5" customHeight="1" x14ac:dyDescent="0.2">
      <c r="A25" s="2" t="s">
        <v>23</v>
      </c>
      <c r="B25" s="76">
        <v>45512</v>
      </c>
      <c r="C25" s="13">
        <v>1114</v>
      </c>
      <c r="D25" s="20">
        <v>45658</v>
      </c>
      <c r="E25" s="20">
        <v>45687</v>
      </c>
      <c r="F25" s="11">
        <f t="shared" si="0"/>
        <v>30</v>
      </c>
      <c r="G25" s="3">
        <v>235</v>
      </c>
      <c r="H25" s="13">
        <v>1</v>
      </c>
      <c r="I25" s="19">
        <f t="shared" si="1"/>
        <v>235</v>
      </c>
      <c r="J25" s="32" t="s">
        <v>467</v>
      </c>
      <c r="K25" s="13"/>
    </row>
    <row r="26" spans="1:12" ht="13.5" customHeight="1" x14ac:dyDescent="0.2">
      <c r="A26" s="2" t="s">
        <v>23</v>
      </c>
      <c r="B26" s="76">
        <v>45512</v>
      </c>
      <c r="C26" s="13">
        <v>1811</v>
      </c>
      <c r="D26" s="20">
        <v>45658</v>
      </c>
      <c r="E26" s="20">
        <v>45687</v>
      </c>
      <c r="F26" s="11">
        <f t="shared" si="0"/>
        <v>30</v>
      </c>
      <c r="G26" s="3">
        <v>235</v>
      </c>
      <c r="H26" s="13">
        <v>1</v>
      </c>
      <c r="I26" s="19">
        <f t="shared" si="1"/>
        <v>235</v>
      </c>
      <c r="J26" s="32" t="s">
        <v>468</v>
      </c>
      <c r="K26" s="13"/>
    </row>
    <row r="27" spans="1:12" ht="13.5" customHeight="1" x14ac:dyDescent="0.2">
      <c r="A27" s="2" t="s">
        <v>23</v>
      </c>
      <c r="B27" s="76">
        <v>45512</v>
      </c>
      <c r="C27" s="13">
        <v>1803</v>
      </c>
      <c r="D27" s="20">
        <v>45658</v>
      </c>
      <c r="E27" s="20">
        <v>45687</v>
      </c>
      <c r="F27" s="11">
        <f t="shared" si="0"/>
        <v>30</v>
      </c>
      <c r="G27" s="3">
        <v>235</v>
      </c>
      <c r="H27" s="13">
        <v>1</v>
      </c>
      <c r="I27" s="19">
        <f t="shared" si="1"/>
        <v>235</v>
      </c>
      <c r="J27" s="32" t="s">
        <v>469</v>
      </c>
      <c r="K27" s="13"/>
    </row>
    <row r="28" spans="1:12" ht="13.5" customHeight="1" x14ac:dyDescent="0.2">
      <c r="A28" s="2" t="s">
        <v>23</v>
      </c>
      <c r="B28" s="76">
        <v>45512</v>
      </c>
      <c r="C28" s="13">
        <v>1801</v>
      </c>
      <c r="D28" s="20">
        <v>45658</v>
      </c>
      <c r="E28" s="20">
        <v>45687</v>
      </c>
      <c r="F28" s="11">
        <f t="shared" si="0"/>
        <v>30</v>
      </c>
      <c r="G28" s="3">
        <v>235</v>
      </c>
      <c r="H28" s="13">
        <v>1</v>
      </c>
      <c r="I28" s="19">
        <f t="shared" si="1"/>
        <v>235</v>
      </c>
      <c r="J28" s="32" t="s">
        <v>297</v>
      </c>
      <c r="K28" s="13" t="s">
        <v>470</v>
      </c>
    </row>
    <row r="29" spans="1:12" ht="13.5" customHeight="1" x14ac:dyDescent="0.2">
      <c r="A29" s="2" t="s">
        <v>24</v>
      </c>
      <c r="B29" s="76">
        <v>45512</v>
      </c>
      <c r="C29" s="13">
        <v>1730</v>
      </c>
      <c r="D29" s="20">
        <v>45658</v>
      </c>
      <c r="E29" s="20">
        <v>45687</v>
      </c>
      <c r="F29" s="11">
        <f t="shared" si="0"/>
        <v>30</v>
      </c>
      <c r="G29" s="3">
        <v>238</v>
      </c>
      <c r="H29" s="13">
        <v>1</v>
      </c>
      <c r="I29" s="19">
        <f t="shared" si="1"/>
        <v>238</v>
      </c>
      <c r="J29" s="32" t="s">
        <v>471</v>
      </c>
      <c r="K29" s="13"/>
    </row>
    <row r="30" spans="1:12" ht="13.5" customHeight="1" x14ac:dyDescent="0.2">
      <c r="A30" s="2" t="s">
        <v>24</v>
      </c>
      <c r="B30" s="76">
        <v>45512</v>
      </c>
      <c r="C30" s="13">
        <v>1386</v>
      </c>
      <c r="D30" s="20">
        <v>45658</v>
      </c>
      <c r="E30" s="20">
        <v>45687</v>
      </c>
      <c r="F30" s="11">
        <f t="shared" si="0"/>
        <v>30</v>
      </c>
      <c r="G30" s="3">
        <v>238</v>
      </c>
      <c r="H30" s="13">
        <v>1</v>
      </c>
      <c r="I30" s="19">
        <f t="shared" si="1"/>
        <v>238</v>
      </c>
      <c r="J30" s="32" t="s">
        <v>472</v>
      </c>
      <c r="K30" s="13"/>
    </row>
    <row r="31" spans="1:12" ht="13.5" customHeight="1" x14ac:dyDescent="0.2">
      <c r="A31" s="2" t="s">
        <v>24</v>
      </c>
      <c r="B31" s="76">
        <v>45512</v>
      </c>
      <c r="C31" s="13">
        <v>1392</v>
      </c>
      <c r="D31" s="20">
        <v>45658</v>
      </c>
      <c r="E31" s="20">
        <v>45687</v>
      </c>
      <c r="F31" s="11">
        <f t="shared" si="0"/>
        <v>30</v>
      </c>
      <c r="G31" s="3">
        <v>238</v>
      </c>
      <c r="H31" s="13">
        <v>1</v>
      </c>
      <c r="I31" s="19">
        <f t="shared" si="1"/>
        <v>238</v>
      </c>
      <c r="J31" s="32" t="s">
        <v>473</v>
      </c>
      <c r="K31" s="13"/>
    </row>
    <row r="32" spans="1:12" ht="13.5" customHeight="1" x14ac:dyDescent="0.2">
      <c r="A32" s="2" t="s">
        <v>26</v>
      </c>
      <c r="B32" s="76">
        <v>45601</v>
      </c>
      <c r="C32" s="102">
        <v>16535</v>
      </c>
      <c r="D32" s="20">
        <v>45658</v>
      </c>
      <c r="E32" s="20">
        <v>45687</v>
      </c>
      <c r="F32" s="11">
        <f>(E32-D32)+1</f>
        <v>30</v>
      </c>
      <c r="G32" s="3">
        <v>260</v>
      </c>
      <c r="H32" s="13">
        <v>1</v>
      </c>
      <c r="I32" s="19">
        <f>G32/30*H32*F32</f>
        <v>260</v>
      </c>
      <c r="J32" s="32" t="s">
        <v>829</v>
      </c>
      <c r="K32" s="13"/>
      <c r="L32" s="7" t="s">
        <v>855</v>
      </c>
    </row>
    <row r="33" spans="1:11" ht="13.5" customHeight="1" x14ac:dyDescent="0.2">
      <c r="A33" s="2" t="s">
        <v>38</v>
      </c>
      <c r="B33" s="76">
        <v>45512</v>
      </c>
      <c r="C33" s="13">
        <v>1383</v>
      </c>
      <c r="D33" s="20">
        <v>45658</v>
      </c>
      <c r="E33" s="20">
        <v>45687</v>
      </c>
      <c r="F33" s="11">
        <f t="shared" si="0"/>
        <v>30</v>
      </c>
      <c r="G33" s="3">
        <v>478</v>
      </c>
      <c r="H33" s="13">
        <v>1</v>
      </c>
      <c r="I33" s="19">
        <f t="shared" si="1"/>
        <v>478</v>
      </c>
      <c r="J33" s="32" t="s">
        <v>386</v>
      </c>
      <c r="K33" s="13" t="s">
        <v>470</v>
      </c>
    </row>
    <row r="34" spans="1:11" ht="13.5" customHeight="1" x14ac:dyDescent="0.2">
      <c r="A34" s="2" t="s">
        <v>38</v>
      </c>
      <c r="B34" s="76">
        <v>45512</v>
      </c>
      <c r="C34" s="13">
        <v>1510</v>
      </c>
      <c r="D34" s="20">
        <v>45658</v>
      </c>
      <c r="E34" s="20">
        <v>45687</v>
      </c>
      <c r="F34" s="11">
        <f t="shared" si="0"/>
        <v>30</v>
      </c>
      <c r="G34" s="3">
        <v>478</v>
      </c>
      <c r="H34" s="13">
        <v>1</v>
      </c>
      <c r="I34" s="19">
        <f t="shared" si="1"/>
        <v>478</v>
      </c>
      <c r="J34" s="32" t="s">
        <v>475</v>
      </c>
      <c r="K34" s="13" t="s">
        <v>476</v>
      </c>
    </row>
    <row r="35" spans="1:11" ht="13.5" customHeight="1" x14ac:dyDescent="0.2">
      <c r="A35" s="2" t="s">
        <v>38</v>
      </c>
      <c r="B35" s="76">
        <v>45512</v>
      </c>
      <c r="C35" s="13">
        <v>1377</v>
      </c>
      <c r="D35" s="20">
        <v>45658</v>
      </c>
      <c r="E35" s="20">
        <v>45687</v>
      </c>
      <c r="F35" s="11">
        <f t="shared" si="0"/>
        <v>30</v>
      </c>
      <c r="G35" s="3">
        <v>478</v>
      </c>
      <c r="H35" s="13">
        <v>1</v>
      </c>
      <c r="I35" s="19">
        <f t="shared" si="1"/>
        <v>478</v>
      </c>
      <c r="J35" s="32" t="s">
        <v>477</v>
      </c>
      <c r="K35" s="13" t="s">
        <v>470</v>
      </c>
    </row>
    <row r="36" spans="1:11" ht="13.5" customHeight="1" x14ac:dyDescent="0.2">
      <c r="A36" s="2" t="s">
        <v>38</v>
      </c>
      <c r="B36" s="76">
        <v>45512</v>
      </c>
      <c r="C36" s="13">
        <v>1511</v>
      </c>
      <c r="D36" s="20">
        <v>45658</v>
      </c>
      <c r="E36" s="20">
        <v>45687</v>
      </c>
      <c r="F36" s="11">
        <f t="shared" si="0"/>
        <v>30</v>
      </c>
      <c r="G36" s="3">
        <v>478</v>
      </c>
      <c r="H36" s="13">
        <v>1</v>
      </c>
      <c r="I36" s="19">
        <f t="shared" si="1"/>
        <v>478</v>
      </c>
      <c r="J36" s="32" t="s">
        <v>383</v>
      </c>
      <c r="K36" s="13" t="s">
        <v>476</v>
      </c>
    </row>
    <row r="37" spans="1:11" ht="13.5" customHeight="1" x14ac:dyDescent="0.2">
      <c r="A37" s="2" t="s">
        <v>38</v>
      </c>
      <c r="B37" s="76">
        <v>45512</v>
      </c>
      <c r="C37" s="13">
        <v>1508</v>
      </c>
      <c r="D37" s="20">
        <v>45658</v>
      </c>
      <c r="E37" s="20">
        <v>45687</v>
      </c>
      <c r="F37" s="11">
        <f t="shared" si="0"/>
        <v>30</v>
      </c>
      <c r="G37" s="3">
        <v>478</v>
      </c>
      <c r="H37" s="13">
        <v>1</v>
      </c>
      <c r="I37" s="19">
        <f t="shared" si="1"/>
        <v>478</v>
      </c>
      <c r="J37" s="32" t="s">
        <v>383</v>
      </c>
      <c r="K37" s="13" t="s">
        <v>476</v>
      </c>
    </row>
    <row r="38" spans="1:11" ht="13.5" customHeight="1" x14ac:dyDescent="0.2">
      <c r="A38" s="2" t="s">
        <v>38</v>
      </c>
      <c r="B38" s="76">
        <v>45512</v>
      </c>
      <c r="C38" s="13">
        <v>1379</v>
      </c>
      <c r="D38" s="20">
        <v>45658</v>
      </c>
      <c r="E38" s="20">
        <v>45687</v>
      </c>
      <c r="F38" s="11">
        <f t="shared" si="0"/>
        <v>30</v>
      </c>
      <c r="G38" s="3">
        <v>478</v>
      </c>
      <c r="H38" s="13">
        <v>1</v>
      </c>
      <c r="I38" s="19">
        <f t="shared" si="1"/>
        <v>478</v>
      </c>
      <c r="J38" s="32" t="s">
        <v>265</v>
      </c>
      <c r="K38" s="13" t="s">
        <v>470</v>
      </c>
    </row>
    <row r="39" spans="1:11" ht="13.5" customHeight="1" x14ac:dyDescent="0.2">
      <c r="A39" s="2" t="s">
        <v>38</v>
      </c>
      <c r="B39" s="76">
        <v>45512</v>
      </c>
      <c r="C39" s="13">
        <v>1501</v>
      </c>
      <c r="D39" s="20">
        <v>45658</v>
      </c>
      <c r="E39" s="20">
        <v>45687</v>
      </c>
      <c r="F39" s="11">
        <f t="shared" si="0"/>
        <v>30</v>
      </c>
      <c r="G39" s="3">
        <v>478</v>
      </c>
      <c r="H39" s="13">
        <v>1</v>
      </c>
      <c r="I39" s="19">
        <f t="shared" si="1"/>
        <v>478</v>
      </c>
      <c r="J39" s="32" t="s">
        <v>478</v>
      </c>
      <c r="K39" s="13" t="s">
        <v>476</v>
      </c>
    </row>
    <row r="40" spans="1:11" ht="13.5" customHeight="1" x14ac:dyDescent="0.2">
      <c r="A40" s="2" t="s">
        <v>38</v>
      </c>
      <c r="B40" s="76">
        <v>45512</v>
      </c>
      <c r="C40" s="13">
        <v>1513</v>
      </c>
      <c r="D40" s="20">
        <v>45658</v>
      </c>
      <c r="E40" s="20">
        <v>45687</v>
      </c>
      <c r="F40" s="11">
        <f t="shared" si="0"/>
        <v>30</v>
      </c>
      <c r="G40" s="3">
        <v>478</v>
      </c>
      <c r="H40" s="13">
        <v>1</v>
      </c>
      <c r="I40" s="19">
        <f t="shared" si="1"/>
        <v>478</v>
      </c>
      <c r="J40" s="32" t="s">
        <v>479</v>
      </c>
      <c r="K40" s="13" t="s">
        <v>476</v>
      </c>
    </row>
    <row r="41" spans="1:11" ht="13.5" customHeight="1" x14ac:dyDescent="0.2">
      <c r="A41" s="2" t="s">
        <v>38</v>
      </c>
      <c r="B41" s="76">
        <v>45512</v>
      </c>
      <c r="C41" s="13">
        <v>1375</v>
      </c>
      <c r="D41" s="20">
        <v>45658</v>
      </c>
      <c r="E41" s="20">
        <v>45687</v>
      </c>
      <c r="F41" s="11">
        <f t="shared" si="0"/>
        <v>30</v>
      </c>
      <c r="G41" s="3">
        <v>478</v>
      </c>
      <c r="H41" s="13">
        <v>1</v>
      </c>
      <c r="I41" s="19">
        <f t="shared" si="1"/>
        <v>478</v>
      </c>
      <c r="J41" s="32" t="s">
        <v>479</v>
      </c>
      <c r="K41" s="13" t="s">
        <v>470</v>
      </c>
    </row>
    <row r="42" spans="1:11" ht="13.5" customHeight="1" x14ac:dyDescent="0.2">
      <c r="A42" s="2" t="s">
        <v>38</v>
      </c>
      <c r="B42" s="76">
        <v>45512</v>
      </c>
      <c r="C42" s="13">
        <v>21517</v>
      </c>
      <c r="D42" s="20">
        <v>45658</v>
      </c>
      <c r="E42" s="20">
        <v>45687</v>
      </c>
      <c r="F42" s="11">
        <f t="shared" si="0"/>
        <v>30</v>
      </c>
      <c r="G42" s="3">
        <v>478</v>
      </c>
      <c r="H42" s="13">
        <v>1</v>
      </c>
      <c r="I42" s="19">
        <f t="shared" si="1"/>
        <v>478</v>
      </c>
      <c r="J42" s="32" t="s">
        <v>479</v>
      </c>
      <c r="K42" s="13" t="s">
        <v>476</v>
      </c>
    </row>
    <row r="43" spans="1:11" ht="13.5" customHeight="1" x14ac:dyDescent="0.2">
      <c r="A43" s="2" t="s">
        <v>38</v>
      </c>
      <c r="B43" s="76">
        <v>45512</v>
      </c>
      <c r="C43" s="13">
        <v>1391</v>
      </c>
      <c r="D43" s="20">
        <v>45658</v>
      </c>
      <c r="E43" s="20">
        <v>45687</v>
      </c>
      <c r="F43" s="11">
        <f t="shared" si="0"/>
        <v>30</v>
      </c>
      <c r="G43" s="3">
        <v>478</v>
      </c>
      <c r="H43" s="13">
        <v>1</v>
      </c>
      <c r="I43" s="19">
        <f t="shared" si="1"/>
        <v>478</v>
      </c>
      <c r="J43" s="32" t="s">
        <v>479</v>
      </c>
      <c r="K43" s="13" t="s">
        <v>474</v>
      </c>
    </row>
    <row r="44" spans="1:11" ht="13.5" customHeight="1" x14ac:dyDescent="0.2">
      <c r="A44" s="2" t="s">
        <v>38</v>
      </c>
      <c r="B44" s="76">
        <v>45512</v>
      </c>
      <c r="C44" s="13">
        <v>1519</v>
      </c>
      <c r="D44" s="20">
        <v>45658</v>
      </c>
      <c r="E44" s="20">
        <v>45687</v>
      </c>
      <c r="F44" s="11">
        <f t="shared" si="0"/>
        <v>30</v>
      </c>
      <c r="G44" s="3">
        <v>478</v>
      </c>
      <c r="H44" s="13">
        <v>1</v>
      </c>
      <c r="I44" s="19">
        <f t="shared" si="1"/>
        <v>478</v>
      </c>
      <c r="J44" s="32" t="s">
        <v>479</v>
      </c>
      <c r="K44" s="13" t="s">
        <v>476</v>
      </c>
    </row>
    <row r="45" spans="1:11" ht="13.5" customHeight="1" x14ac:dyDescent="0.2">
      <c r="A45" s="2" t="s">
        <v>38</v>
      </c>
      <c r="B45" s="76">
        <v>45512</v>
      </c>
      <c r="C45" s="13">
        <v>1515</v>
      </c>
      <c r="D45" s="20">
        <v>45658</v>
      </c>
      <c r="E45" s="20">
        <v>45687</v>
      </c>
      <c r="F45" s="11">
        <f t="shared" si="0"/>
        <v>30</v>
      </c>
      <c r="G45" s="3">
        <v>478</v>
      </c>
      <c r="H45" s="13">
        <v>1</v>
      </c>
      <c r="I45" s="19">
        <f t="shared" si="1"/>
        <v>478</v>
      </c>
      <c r="J45" s="32" t="s">
        <v>479</v>
      </c>
      <c r="K45" s="13" t="s">
        <v>476</v>
      </c>
    </row>
    <row r="46" spans="1:11" ht="13.5" customHeight="1" x14ac:dyDescent="0.2">
      <c r="A46" s="2" t="s">
        <v>38</v>
      </c>
      <c r="B46" s="76">
        <v>45512</v>
      </c>
      <c r="C46" s="13">
        <v>1505</v>
      </c>
      <c r="D46" s="20">
        <v>45658</v>
      </c>
      <c r="E46" s="20">
        <v>45687</v>
      </c>
      <c r="F46" s="11">
        <f t="shared" si="0"/>
        <v>30</v>
      </c>
      <c r="G46" s="3">
        <v>478</v>
      </c>
      <c r="H46" s="13">
        <v>1</v>
      </c>
      <c r="I46" s="19">
        <f t="shared" si="1"/>
        <v>478</v>
      </c>
      <c r="J46" s="32" t="s">
        <v>479</v>
      </c>
      <c r="K46" s="13" t="s">
        <v>476</v>
      </c>
    </row>
    <row r="47" spans="1:11" ht="13.5" customHeight="1" x14ac:dyDescent="0.2">
      <c r="A47" s="2" t="s">
        <v>38</v>
      </c>
      <c r="B47" s="76">
        <v>45512</v>
      </c>
      <c r="C47" s="13">
        <v>1503</v>
      </c>
      <c r="D47" s="20">
        <v>45658</v>
      </c>
      <c r="E47" s="20">
        <v>45687</v>
      </c>
      <c r="F47" s="11">
        <f t="shared" si="0"/>
        <v>30</v>
      </c>
      <c r="G47" s="3">
        <v>478</v>
      </c>
      <c r="H47" s="13">
        <v>1</v>
      </c>
      <c r="I47" s="19">
        <f t="shared" si="1"/>
        <v>478</v>
      </c>
      <c r="J47" s="32" t="s">
        <v>479</v>
      </c>
      <c r="K47" s="13" t="s">
        <v>476</v>
      </c>
    </row>
    <row r="48" spans="1:11" ht="13.5" customHeight="1" x14ac:dyDescent="0.2">
      <c r="A48" s="2" t="s">
        <v>38</v>
      </c>
      <c r="B48" s="76">
        <v>45512</v>
      </c>
      <c r="C48" s="13">
        <v>1507</v>
      </c>
      <c r="D48" s="20">
        <v>45658</v>
      </c>
      <c r="E48" s="20">
        <v>45687</v>
      </c>
      <c r="F48" s="11">
        <f t="shared" si="0"/>
        <v>30</v>
      </c>
      <c r="G48" s="3">
        <v>478</v>
      </c>
      <c r="H48" s="13">
        <v>1</v>
      </c>
      <c r="I48" s="19">
        <f t="shared" si="1"/>
        <v>478</v>
      </c>
      <c r="J48" s="32" t="s">
        <v>480</v>
      </c>
      <c r="K48" s="13" t="s">
        <v>470</v>
      </c>
    </row>
    <row r="49" spans="1:12" ht="13.5" customHeight="1" x14ac:dyDescent="0.2">
      <c r="A49" s="2" t="s">
        <v>38</v>
      </c>
      <c r="B49" s="76">
        <v>45512</v>
      </c>
      <c r="C49" s="13">
        <v>1704</v>
      </c>
      <c r="D49" s="20">
        <v>45658</v>
      </c>
      <c r="E49" s="20">
        <v>45687</v>
      </c>
      <c r="F49" s="11">
        <f t="shared" si="0"/>
        <v>30</v>
      </c>
      <c r="G49" s="3">
        <v>478</v>
      </c>
      <c r="H49" s="13">
        <v>1</v>
      </c>
      <c r="I49" s="19">
        <f t="shared" si="1"/>
        <v>478</v>
      </c>
      <c r="J49" s="32" t="s">
        <v>481</v>
      </c>
      <c r="K49" s="13" t="s">
        <v>482</v>
      </c>
    </row>
    <row r="50" spans="1:12" ht="13.5" customHeight="1" x14ac:dyDescent="0.2">
      <c r="A50" s="2" t="s">
        <v>38</v>
      </c>
      <c r="B50" s="76">
        <v>45512</v>
      </c>
      <c r="C50" s="13">
        <v>1438</v>
      </c>
      <c r="D50" s="20">
        <v>45658</v>
      </c>
      <c r="E50" s="20">
        <v>45687</v>
      </c>
      <c r="F50" s="11">
        <f t="shared" si="0"/>
        <v>30</v>
      </c>
      <c r="G50" s="3">
        <v>478</v>
      </c>
      <c r="H50" s="13">
        <v>1</v>
      </c>
      <c r="I50" s="19">
        <f t="shared" si="1"/>
        <v>478</v>
      </c>
      <c r="J50" s="32" t="s">
        <v>483</v>
      </c>
      <c r="K50" s="13" t="s">
        <v>482</v>
      </c>
    </row>
    <row r="51" spans="1:12" ht="13.5" customHeight="1" x14ac:dyDescent="0.2">
      <c r="A51" s="2" t="s">
        <v>38</v>
      </c>
      <c r="B51" s="76">
        <v>45512</v>
      </c>
      <c r="C51" s="13">
        <v>1393</v>
      </c>
      <c r="D51" s="20">
        <v>45658</v>
      </c>
      <c r="E51" s="20">
        <v>45687</v>
      </c>
      <c r="F51" s="11">
        <f t="shared" si="0"/>
        <v>30</v>
      </c>
      <c r="G51" s="3">
        <v>478</v>
      </c>
      <c r="H51" s="13">
        <v>1</v>
      </c>
      <c r="I51" s="19">
        <f t="shared" si="1"/>
        <v>478</v>
      </c>
      <c r="J51" s="32" t="s">
        <v>484</v>
      </c>
      <c r="K51" s="13" t="s">
        <v>485</v>
      </c>
    </row>
    <row r="52" spans="1:12" ht="13.5" customHeight="1" x14ac:dyDescent="0.2">
      <c r="A52" s="2" t="s">
        <v>39</v>
      </c>
      <c r="B52" s="76">
        <v>45512</v>
      </c>
      <c r="C52" s="13">
        <v>1373</v>
      </c>
      <c r="D52" s="20">
        <v>45658</v>
      </c>
      <c r="E52" s="20">
        <v>45687</v>
      </c>
      <c r="F52" s="11">
        <f t="shared" si="0"/>
        <v>30</v>
      </c>
      <c r="G52" s="3">
        <v>577</v>
      </c>
      <c r="H52" s="13">
        <v>1</v>
      </c>
      <c r="I52" s="19">
        <f t="shared" si="1"/>
        <v>577</v>
      </c>
      <c r="J52" s="32" t="s">
        <v>481</v>
      </c>
      <c r="K52" s="13" t="s">
        <v>486</v>
      </c>
    </row>
    <row r="53" spans="1:12" ht="13.5" customHeight="1" x14ac:dyDescent="0.2">
      <c r="A53" s="2" t="s">
        <v>39</v>
      </c>
      <c r="B53" s="76">
        <v>45512</v>
      </c>
      <c r="C53" s="13">
        <v>1919</v>
      </c>
      <c r="D53" s="20">
        <v>45658</v>
      </c>
      <c r="E53" s="20">
        <v>45687</v>
      </c>
      <c r="F53" s="11">
        <f t="shared" si="0"/>
        <v>30</v>
      </c>
      <c r="G53" s="3">
        <v>577</v>
      </c>
      <c r="H53" s="13">
        <v>1</v>
      </c>
      <c r="I53" s="19">
        <f t="shared" si="1"/>
        <v>577</v>
      </c>
      <c r="J53" s="32" t="s">
        <v>483</v>
      </c>
      <c r="K53" s="13" t="s">
        <v>486</v>
      </c>
    </row>
    <row r="54" spans="1:12" ht="13.5" customHeight="1" x14ac:dyDescent="0.25">
      <c r="A54" s="14"/>
      <c r="B54" s="20"/>
      <c r="C54" s="13"/>
      <c r="D54" s="20"/>
      <c r="E54" s="20"/>
      <c r="F54" s="11"/>
      <c r="G54" s="12"/>
      <c r="H54" s="13"/>
      <c r="I54" s="19">
        <f t="shared" ref="I54" si="2">G54/30*H54*F54</f>
        <v>0</v>
      </c>
      <c r="J54" s="32"/>
      <c r="K54" s="13"/>
    </row>
    <row r="55" spans="1:12" ht="13.5" customHeight="1" x14ac:dyDescent="0.25">
      <c r="A55" s="21" t="s">
        <v>181</v>
      </c>
      <c r="B55" s="26"/>
      <c r="C55" s="26"/>
      <c r="D55" s="23"/>
      <c r="E55" s="23"/>
      <c r="F55" s="24"/>
      <c r="G55" s="23"/>
      <c r="H55" s="22">
        <f>SUM(H15:H54)</f>
        <v>39</v>
      </c>
      <c r="I55" s="112">
        <f>SUM(I15:I54)</f>
        <v>14500</v>
      </c>
      <c r="J55" s="33"/>
      <c r="K55" s="116"/>
    </row>
    <row r="56" spans="1:12" ht="13.5" customHeight="1" x14ac:dyDescent="0.25">
      <c r="D56" s="8"/>
      <c r="E56" s="8"/>
      <c r="F56" s="9"/>
      <c r="G56" s="10"/>
      <c r="I56" s="10"/>
      <c r="J56" s="4"/>
    </row>
    <row r="57" spans="1:12" ht="13.5" customHeight="1" x14ac:dyDescent="0.25">
      <c r="D57" s="8"/>
      <c r="E57" s="8"/>
      <c r="F57" s="9"/>
      <c r="G57" s="10"/>
      <c r="H57" s="50">
        <f>H55</f>
        <v>39</v>
      </c>
      <c r="I57" s="25">
        <f>I55</f>
        <v>14500</v>
      </c>
      <c r="J57" s="16"/>
    </row>
    <row r="58" spans="1:12" ht="13.5" customHeight="1" x14ac:dyDescent="0.25">
      <c r="D58" s="8"/>
      <c r="E58" s="8"/>
      <c r="F58" s="9"/>
      <c r="G58" s="10"/>
      <c r="I58" s="10"/>
      <c r="J58" s="16"/>
    </row>
    <row r="59" spans="1:12" s="15" customFormat="1" ht="13.5" customHeight="1" x14ac:dyDescent="0.25">
      <c r="A59" s="7"/>
      <c r="C59" s="7"/>
      <c r="D59" s="8"/>
      <c r="E59" s="8"/>
      <c r="F59" s="9"/>
      <c r="G59" s="10"/>
      <c r="H59" s="7"/>
      <c r="I59" s="10"/>
      <c r="J59" s="7"/>
      <c r="L59" s="7"/>
    </row>
    <row r="60" spans="1:12" s="15" customFormat="1" ht="13.5" customHeight="1" x14ac:dyDescent="0.25">
      <c r="A60" s="289" t="s">
        <v>124</v>
      </c>
      <c r="B60" s="289"/>
      <c r="C60" s="289"/>
      <c r="D60" s="289"/>
      <c r="E60" s="289"/>
      <c r="F60" s="289"/>
      <c r="G60" s="289"/>
      <c r="H60" s="289"/>
      <c r="I60" s="289"/>
      <c r="J60" s="7"/>
      <c r="L60" s="7"/>
    </row>
    <row r="61" spans="1:12" s="15" customFormat="1" ht="13.5" customHeight="1" x14ac:dyDescent="0.25">
      <c r="A61" s="7"/>
      <c r="C61" s="7"/>
      <c r="D61" s="7"/>
      <c r="E61" s="7"/>
      <c r="F61" s="7"/>
      <c r="G61" s="7"/>
      <c r="H61" s="7"/>
      <c r="I61" s="7"/>
      <c r="J61" s="7"/>
      <c r="L61" s="7"/>
    </row>
    <row r="62" spans="1:12" s="15" customFormat="1" ht="13.5" customHeight="1" x14ac:dyDescent="0.2">
      <c r="A62" s="27" t="s">
        <v>125</v>
      </c>
      <c r="B62" s="7"/>
      <c r="C62" s="7"/>
      <c r="D62" s="7"/>
      <c r="E62" s="7"/>
      <c r="F62" s="71"/>
      <c r="G62" s="10"/>
      <c r="H62" s="7"/>
      <c r="I62" s="72"/>
      <c r="J62" s="7"/>
      <c r="L62" s="7"/>
    </row>
    <row r="63" spans="1:12" s="15" customFormat="1" ht="60" customHeight="1" x14ac:dyDescent="0.25">
      <c r="A63" s="291"/>
      <c r="B63" s="275"/>
      <c r="C63" s="292"/>
      <c r="D63" s="290"/>
      <c r="E63" s="290"/>
      <c r="F63" s="290"/>
      <c r="G63" s="290"/>
      <c r="H63" s="290"/>
      <c r="I63" s="290"/>
      <c r="J63" s="7"/>
      <c r="L63" s="7"/>
    </row>
    <row r="64" spans="1:12" s="15" customFormat="1" ht="13.5" customHeight="1" x14ac:dyDescent="0.25">
      <c r="A64" s="274" t="s">
        <v>126</v>
      </c>
      <c r="B64" s="274"/>
      <c r="C64" s="274"/>
      <c r="D64" s="274" t="s">
        <v>127</v>
      </c>
      <c r="E64" s="274"/>
      <c r="F64" s="274"/>
      <c r="G64" s="274"/>
      <c r="H64" s="274"/>
      <c r="I64" s="274"/>
      <c r="J64" s="7"/>
      <c r="L64" s="7"/>
    </row>
    <row r="65" spans="1:12" s="15" customFormat="1" ht="13.5" customHeight="1" x14ac:dyDescent="0.25">
      <c r="A65" s="7"/>
      <c r="C65" s="7"/>
      <c r="D65" s="8"/>
      <c r="E65" s="8"/>
      <c r="F65" s="9"/>
      <c r="G65" s="10"/>
      <c r="H65" s="7"/>
      <c r="I65" s="10"/>
      <c r="J65" s="7"/>
      <c r="L65" s="7"/>
    </row>
    <row r="66" spans="1:12" s="15" customFormat="1" ht="13.5" customHeight="1" x14ac:dyDescent="0.25">
      <c r="A66" s="7"/>
      <c r="C66" s="7"/>
      <c r="D66" s="8"/>
      <c r="E66" s="8"/>
      <c r="F66" s="9"/>
      <c r="G66" s="10"/>
      <c r="H66" s="7"/>
      <c r="I66" s="10"/>
      <c r="J66" s="7"/>
      <c r="L66" s="7"/>
    </row>
    <row r="67" spans="1:12" s="15" customFormat="1" ht="13.5" customHeight="1" x14ac:dyDescent="0.25">
      <c r="A67" s="7"/>
      <c r="C67" s="7"/>
      <c r="D67" s="8"/>
      <c r="E67" s="8"/>
      <c r="F67" s="9"/>
      <c r="G67" s="10"/>
      <c r="H67" s="7"/>
      <c r="I67" s="10"/>
      <c r="J67" s="7"/>
      <c r="L67" s="7"/>
    </row>
    <row r="68" spans="1:12" s="15" customFormat="1" ht="13.5" customHeight="1" x14ac:dyDescent="0.2">
      <c r="A68" s="266" t="s">
        <v>29</v>
      </c>
      <c r="B68" s="266"/>
      <c r="C68" s="266"/>
      <c r="D68" s="266"/>
      <c r="E68" s="266"/>
      <c r="F68" s="266"/>
      <c r="G68" s="51"/>
      <c r="H68" s="7"/>
      <c r="I68" s="10"/>
      <c r="J68" s="16"/>
      <c r="L68" s="7"/>
    </row>
    <row r="69" spans="1:12" s="15" customFormat="1" ht="13.5" customHeight="1" x14ac:dyDescent="0.2">
      <c r="A69" s="267" t="s">
        <v>45</v>
      </c>
      <c r="B69" s="267"/>
      <c r="C69" s="267"/>
      <c r="D69" s="267"/>
      <c r="E69" s="283" t="s">
        <v>5</v>
      </c>
      <c r="F69" s="282" t="s">
        <v>6</v>
      </c>
      <c r="G69" s="52"/>
      <c r="H69" s="7"/>
      <c r="I69" s="10"/>
      <c r="J69" s="16"/>
      <c r="L69" s="7"/>
    </row>
    <row r="70" spans="1:12" s="15" customFormat="1" ht="13.5" customHeight="1" x14ac:dyDescent="0.2">
      <c r="A70" s="34" t="s">
        <v>0</v>
      </c>
      <c r="B70" s="34" t="s">
        <v>3</v>
      </c>
      <c r="C70" s="34" t="s">
        <v>2</v>
      </c>
      <c r="D70" s="34" t="s">
        <v>4</v>
      </c>
      <c r="E70" s="284"/>
      <c r="F70" s="282"/>
      <c r="G70" s="53"/>
      <c r="H70" s="7"/>
      <c r="I70" s="7"/>
      <c r="L70" s="7"/>
    </row>
    <row r="71" spans="1:12" s="15" customFormat="1" ht="13.5" customHeight="1" x14ac:dyDescent="0.2">
      <c r="A71" s="2" t="s">
        <v>18</v>
      </c>
      <c r="B71" s="39"/>
      <c r="C71" s="35">
        <v>37</v>
      </c>
      <c r="D71" s="35">
        <v>0</v>
      </c>
      <c r="E71" s="13">
        <f>COUNTIFS($A$12:$A$59,"Cond Ar Janela 7.500 BTU/h")</f>
        <v>0</v>
      </c>
      <c r="F71" s="40">
        <f>B71-E71</f>
        <v>0</v>
      </c>
      <c r="G71" s="1"/>
      <c r="H71" s="7"/>
      <c r="I71" s="7"/>
      <c r="L71" s="7"/>
    </row>
    <row r="72" spans="1:12" s="15" customFormat="1" ht="13.5" customHeight="1" x14ac:dyDescent="0.2">
      <c r="A72" s="2" t="s">
        <v>19</v>
      </c>
      <c r="B72" s="39"/>
      <c r="C72" s="3">
        <v>210</v>
      </c>
      <c r="D72" s="3">
        <f t="shared" ref="D72:D81" si="3">B72*C72</f>
        <v>0</v>
      </c>
      <c r="E72" s="13">
        <f>COUNTIFS($A$12:$A$59,"Cond Ar Janela 10.000 BTU/h")</f>
        <v>0</v>
      </c>
      <c r="F72" s="40">
        <f t="shared" ref="F72:F93" si="4">B72-E72</f>
        <v>0</v>
      </c>
      <c r="G72" s="1"/>
      <c r="H72" s="7"/>
      <c r="I72" s="7"/>
      <c r="L72" s="7"/>
    </row>
    <row r="73" spans="1:12" s="15" customFormat="1" ht="13.5" customHeight="1" x14ac:dyDescent="0.2">
      <c r="A73" s="2" t="s">
        <v>20</v>
      </c>
      <c r="B73" s="39"/>
      <c r="C73" s="3">
        <v>208</v>
      </c>
      <c r="D73" s="3">
        <f t="shared" si="3"/>
        <v>0</v>
      </c>
      <c r="E73" s="13">
        <f>COUNTIFS($A$12:$A$59,"Cond Ar Janela 18.000 BTU/h")</f>
        <v>0</v>
      </c>
      <c r="F73" s="40">
        <f t="shared" si="4"/>
        <v>0</v>
      </c>
      <c r="G73" s="1"/>
      <c r="H73" s="7"/>
      <c r="I73" s="7"/>
      <c r="L73" s="7"/>
    </row>
    <row r="74" spans="1:12" s="15" customFormat="1" ht="13.5" customHeight="1" x14ac:dyDescent="0.2">
      <c r="A74" s="2" t="s">
        <v>21</v>
      </c>
      <c r="B74" s="39"/>
      <c r="C74" s="3">
        <v>57</v>
      </c>
      <c r="D74" s="3">
        <f t="shared" si="3"/>
        <v>0</v>
      </c>
      <c r="E74" s="13">
        <f>COUNTIFS($A$12:$A$59,"Cond Ar Janela 21.000 BTU/h")</f>
        <v>0</v>
      </c>
      <c r="F74" s="40">
        <f t="shared" si="4"/>
        <v>0</v>
      </c>
      <c r="G74" s="1"/>
      <c r="H74" s="7"/>
      <c r="I74" s="7"/>
      <c r="L74" s="7"/>
    </row>
    <row r="75" spans="1:12" ht="13.5" customHeight="1" x14ac:dyDescent="0.2">
      <c r="A75" s="2" t="s">
        <v>22</v>
      </c>
      <c r="B75" s="39"/>
      <c r="C75" s="3">
        <v>147</v>
      </c>
      <c r="D75" s="3">
        <f t="shared" si="3"/>
        <v>0</v>
      </c>
      <c r="E75" s="13">
        <f>COUNTIFS($A$12:$A$59,"Cond Ar Split 9.000 BTU/h Hi Wall")</f>
        <v>0</v>
      </c>
      <c r="F75" s="40">
        <f t="shared" si="4"/>
        <v>0</v>
      </c>
      <c r="G75" s="1"/>
    </row>
    <row r="76" spans="1:12" ht="13.5" customHeight="1" x14ac:dyDescent="0.2">
      <c r="A76" s="2" t="s">
        <v>23</v>
      </c>
      <c r="B76" s="39">
        <v>14</v>
      </c>
      <c r="C76" s="3">
        <v>235</v>
      </c>
      <c r="D76" s="3">
        <f t="shared" si="3"/>
        <v>3290</v>
      </c>
      <c r="E76" s="13">
        <f>COUNTIFS($A$12:$A$59,"Cond Ar Split 12.000 BTU/h Hi Wall")</f>
        <v>14</v>
      </c>
      <c r="F76" s="40">
        <f t="shared" si="4"/>
        <v>0</v>
      </c>
      <c r="G76" s="1"/>
    </row>
    <row r="77" spans="1:12" ht="13.5" customHeight="1" x14ac:dyDescent="0.2">
      <c r="A77" s="2" t="s">
        <v>24</v>
      </c>
      <c r="B77" s="39">
        <v>3</v>
      </c>
      <c r="C77" s="3">
        <v>238</v>
      </c>
      <c r="D77" s="3">
        <f t="shared" si="3"/>
        <v>714</v>
      </c>
      <c r="E77" s="13">
        <f>COUNTIFS($A$12:$A$59,"Cond Ar Split 18.000 BTU/h Hi Wall")</f>
        <v>3</v>
      </c>
      <c r="F77" s="40">
        <f t="shared" si="4"/>
        <v>0</v>
      </c>
      <c r="G77" s="1"/>
    </row>
    <row r="78" spans="1:12" ht="13.5" customHeight="1" x14ac:dyDescent="0.2">
      <c r="A78" s="2" t="s">
        <v>25</v>
      </c>
      <c r="B78" s="39"/>
      <c r="C78" s="3">
        <v>242</v>
      </c>
      <c r="D78" s="3">
        <f t="shared" si="3"/>
        <v>0</v>
      </c>
      <c r="E78" s="13">
        <f>COUNTIFS($A$12:$A$59,"Cond Ar Split 22.000 BTU/h Hi Wall")</f>
        <v>0</v>
      </c>
      <c r="F78" s="40">
        <f t="shared" si="4"/>
        <v>0</v>
      </c>
      <c r="G78" s="1"/>
    </row>
    <row r="79" spans="1:12" ht="13.5" customHeight="1" x14ac:dyDescent="0.2">
      <c r="A79" s="2" t="s">
        <v>26</v>
      </c>
      <c r="B79" s="39">
        <v>1</v>
      </c>
      <c r="C79" s="3">
        <v>260</v>
      </c>
      <c r="D79" s="3">
        <f t="shared" si="3"/>
        <v>260</v>
      </c>
      <c r="E79" s="13">
        <f>COUNTIFS($A$12:$A$59,"Cond Ar Split 24.000 BTU/h Hi Wall")</f>
        <v>1</v>
      </c>
      <c r="F79" s="40">
        <f t="shared" si="4"/>
        <v>0</v>
      </c>
      <c r="G79" s="1"/>
    </row>
    <row r="80" spans="1:12" ht="13.5" customHeight="1" x14ac:dyDescent="0.2">
      <c r="A80" s="2" t="s">
        <v>27</v>
      </c>
      <c r="B80" s="39"/>
      <c r="C80" s="3">
        <v>347</v>
      </c>
      <c r="D80" s="3">
        <f t="shared" si="3"/>
        <v>0</v>
      </c>
      <c r="E80" s="13">
        <f>COUNTIFS($A$12:$A$59,"Cond Ar Split 30.000 BTU/h Hi Wall")</f>
        <v>0</v>
      </c>
      <c r="F80" s="40">
        <f t="shared" si="4"/>
        <v>0</v>
      </c>
      <c r="G80" s="1"/>
    </row>
    <row r="81" spans="1:12" ht="13.5" customHeight="1" x14ac:dyDescent="0.2">
      <c r="A81" s="2" t="s">
        <v>30</v>
      </c>
      <c r="B81" s="39"/>
      <c r="C81" s="3">
        <v>367</v>
      </c>
      <c r="D81" s="3">
        <f t="shared" si="3"/>
        <v>0</v>
      </c>
      <c r="E81" s="13">
        <f>COUNTIFS($A$12:$A$59,"Cond Ar Split 24.000 BTU/h Piso/Teto")</f>
        <v>0</v>
      </c>
      <c r="F81" s="40">
        <f t="shared" si="4"/>
        <v>0</v>
      </c>
      <c r="G81" s="1"/>
    </row>
    <row r="82" spans="1:12" ht="13.5" customHeight="1" x14ac:dyDescent="0.2">
      <c r="A82" s="2" t="s">
        <v>31</v>
      </c>
      <c r="B82" s="39"/>
      <c r="C82" s="3">
        <v>367</v>
      </c>
      <c r="D82" s="3">
        <f>B82*C82</f>
        <v>0</v>
      </c>
      <c r="E82" s="13">
        <f>COUNTIFS($A$12:$A$59,"Cond Ar Split 30.000 BTU/h Piso/Teto")</f>
        <v>0</v>
      </c>
      <c r="F82" s="40">
        <f t="shared" si="4"/>
        <v>0</v>
      </c>
      <c r="G82" s="1"/>
    </row>
    <row r="83" spans="1:12" ht="13.5" customHeight="1" x14ac:dyDescent="0.2">
      <c r="A83" s="2" t="s">
        <v>32</v>
      </c>
      <c r="B83" s="39"/>
      <c r="C83" s="3">
        <v>447</v>
      </c>
      <c r="D83" s="3">
        <f>B83*C83</f>
        <v>0</v>
      </c>
      <c r="E83" s="13">
        <f>COUNTIFS($A$12:$A$59,"Cond Ar Split 36.000 BTU/h Piso/Teto")</f>
        <v>0</v>
      </c>
      <c r="F83" s="40">
        <f t="shared" si="4"/>
        <v>0</v>
      </c>
      <c r="G83" s="1"/>
    </row>
    <row r="84" spans="1:12" ht="13.5" customHeight="1" x14ac:dyDescent="0.2">
      <c r="A84" s="2" t="s">
        <v>33</v>
      </c>
      <c r="B84" s="39"/>
      <c r="C84" s="3">
        <v>497</v>
      </c>
      <c r="D84" s="3">
        <f>B84*C84</f>
        <v>0</v>
      </c>
      <c r="E84" s="13">
        <f>COUNTIFS($A$12:$A$59,"Cond Ar Split 48.000 BTU/h Piso/Teto")</f>
        <v>0</v>
      </c>
      <c r="F84" s="40">
        <f t="shared" si="4"/>
        <v>0</v>
      </c>
      <c r="G84" s="1"/>
    </row>
    <row r="85" spans="1:12" ht="13.5" customHeight="1" x14ac:dyDescent="0.2">
      <c r="A85" s="2" t="s">
        <v>34</v>
      </c>
      <c r="B85" s="39"/>
      <c r="C85" s="3">
        <v>597</v>
      </c>
      <c r="D85" s="3">
        <f t="shared" ref="D85:D93" si="5">B85*C85</f>
        <v>0</v>
      </c>
      <c r="E85" s="13">
        <f>COUNTIFS($A$12:$A$59,"Cond Ar Split 60.000 BTU/h Piso/Teto")</f>
        <v>0</v>
      </c>
      <c r="F85" s="40">
        <f t="shared" si="4"/>
        <v>0</v>
      </c>
      <c r="G85" s="1"/>
    </row>
    <row r="86" spans="1:12" ht="13.5" customHeight="1" x14ac:dyDescent="0.2">
      <c r="A86" s="2" t="s">
        <v>35</v>
      </c>
      <c r="B86" s="39"/>
      <c r="C86" s="3">
        <v>395</v>
      </c>
      <c r="D86" s="3">
        <f t="shared" si="5"/>
        <v>0</v>
      </c>
      <c r="E86" s="13">
        <f>COUNTIFS($A$12:$A$59,"Cond Ar Split 18.000 BTU/h Cassete")</f>
        <v>0</v>
      </c>
      <c r="F86" s="40">
        <f t="shared" si="4"/>
        <v>0</v>
      </c>
      <c r="G86" s="1"/>
    </row>
    <row r="87" spans="1:12" ht="13.5" customHeight="1" x14ac:dyDescent="0.2">
      <c r="A87" s="2" t="s">
        <v>36</v>
      </c>
      <c r="B87" s="39"/>
      <c r="C87" s="3">
        <v>442.75</v>
      </c>
      <c r="D87" s="3">
        <f t="shared" si="5"/>
        <v>0</v>
      </c>
      <c r="E87" s="13">
        <f>COUNTIFS($A$12:$A$59,"Cond Ar Split 24.000 BTU/h Cassete")</f>
        <v>0</v>
      </c>
      <c r="F87" s="40">
        <f t="shared" si="4"/>
        <v>0</v>
      </c>
      <c r="G87" s="1"/>
    </row>
    <row r="88" spans="1:12" ht="13.5" customHeight="1" x14ac:dyDescent="0.2">
      <c r="A88" s="2" t="s">
        <v>37</v>
      </c>
      <c r="B88" s="39"/>
      <c r="C88" s="3">
        <v>430</v>
      </c>
      <c r="D88" s="3">
        <f t="shared" si="5"/>
        <v>0</v>
      </c>
      <c r="E88" s="13">
        <f>COUNTIFS($A$12:$A$59,"Cond Ar Split 30.000 BTU/h Cassete")</f>
        <v>0</v>
      </c>
      <c r="F88" s="40">
        <f t="shared" si="4"/>
        <v>0</v>
      </c>
      <c r="G88" s="1"/>
    </row>
    <row r="89" spans="1:12" ht="13.5" customHeight="1" x14ac:dyDescent="0.2">
      <c r="A89" s="2" t="s">
        <v>38</v>
      </c>
      <c r="B89" s="39">
        <v>19</v>
      </c>
      <c r="C89" s="3">
        <v>478</v>
      </c>
      <c r="D89" s="3">
        <f t="shared" si="5"/>
        <v>9082</v>
      </c>
      <c r="E89" s="13">
        <f>COUNTIFS($A$12:$A$59,"Cond Ar Split 36.000 BTU/h Cassete")</f>
        <v>19</v>
      </c>
      <c r="F89" s="40">
        <f t="shared" si="4"/>
        <v>0</v>
      </c>
      <c r="G89" s="1"/>
    </row>
    <row r="90" spans="1:12" ht="13.5" customHeight="1" x14ac:dyDescent="0.2">
      <c r="A90" s="2" t="s">
        <v>39</v>
      </c>
      <c r="B90" s="39">
        <v>2</v>
      </c>
      <c r="C90" s="3">
        <v>577</v>
      </c>
      <c r="D90" s="3">
        <f t="shared" si="5"/>
        <v>1154</v>
      </c>
      <c r="E90" s="13">
        <f>COUNTIFS($A$12:$A$59,"Cond Ar Split 48.000 BTU/h Cassete")</f>
        <v>2</v>
      </c>
      <c r="F90" s="40">
        <f t="shared" si="4"/>
        <v>0</v>
      </c>
      <c r="G90" s="1"/>
    </row>
    <row r="91" spans="1:12" s="15" customFormat="1" ht="13.5" customHeight="1" x14ac:dyDescent="0.2">
      <c r="A91" s="2" t="s">
        <v>40</v>
      </c>
      <c r="B91" s="39"/>
      <c r="C91" s="3">
        <v>645</v>
      </c>
      <c r="D91" s="3">
        <f t="shared" si="5"/>
        <v>0</v>
      </c>
      <c r="E91" s="13">
        <f>COUNTIFS($A$12:$A$59,"Cond Ar Split 60.000 BTU/h Cassete")</f>
        <v>0</v>
      </c>
      <c r="F91" s="40">
        <f t="shared" si="4"/>
        <v>0</v>
      </c>
      <c r="G91" s="1"/>
      <c r="H91" s="7"/>
      <c r="I91" s="7"/>
      <c r="L91" s="7"/>
    </row>
    <row r="92" spans="1:12" s="15" customFormat="1" ht="13.5" customHeight="1" x14ac:dyDescent="0.2">
      <c r="A92" s="2" t="s">
        <v>41</v>
      </c>
      <c r="B92" s="39"/>
      <c r="C92" s="3">
        <v>147</v>
      </c>
      <c r="D92" s="3">
        <f t="shared" si="5"/>
        <v>0</v>
      </c>
      <c r="E92" s="13">
        <f>COUNTIFS($A$12:$A$59,"Cond Ar Tri Split 36.000 BTU/h (3x12.000)")</f>
        <v>0</v>
      </c>
      <c r="F92" s="40">
        <f t="shared" si="4"/>
        <v>0</v>
      </c>
      <c r="G92" s="1"/>
      <c r="H92" s="7"/>
      <c r="I92" s="7"/>
      <c r="L92" s="7"/>
    </row>
    <row r="93" spans="1:12" s="15" customFormat="1" ht="13.5" customHeight="1" x14ac:dyDescent="0.2">
      <c r="A93" s="2" t="s">
        <v>42</v>
      </c>
      <c r="B93" s="39"/>
      <c r="C93" s="3">
        <v>100</v>
      </c>
      <c r="D93" s="3">
        <f t="shared" si="5"/>
        <v>0</v>
      </c>
      <c r="E93" s="13">
        <f>COUNTIFS($A$12:$A$59,"Cond Ar Portátil 12.000 BTU/h")</f>
        <v>0</v>
      </c>
      <c r="F93" s="40">
        <f t="shared" si="4"/>
        <v>0</v>
      </c>
      <c r="G93" s="1"/>
      <c r="H93" s="7"/>
      <c r="I93" s="7"/>
      <c r="L93" s="7"/>
    </row>
    <row r="94" spans="1:12" s="15" customFormat="1" ht="13.5" customHeight="1" x14ac:dyDescent="0.2">
      <c r="A94" s="36" t="s">
        <v>7</v>
      </c>
      <c r="B94" s="22">
        <f>SUM(B71:B93)</f>
        <v>39</v>
      </c>
      <c r="C94" s="38"/>
      <c r="D94" s="37">
        <f>SUM(D71:D93)</f>
        <v>14500</v>
      </c>
      <c r="E94" s="22">
        <f>SUM(E71:E93)</f>
        <v>39</v>
      </c>
      <c r="F94" s="41">
        <f>SUM(F71:F93)</f>
        <v>0</v>
      </c>
      <c r="G94" s="54"/>
      <c r="H94" s="7"/>
      <c r="I94" s="7"/>
      <c r="L94" s="7"/>
    </row>
    <row r="98" spans="1:12" s="15" customFormat="1" ht="13.5" customHeight="1" x14ac:dyDescent="0.25">
      <c r="A98" s="7"/>
      <c r="C98" s="7"/>
      <c r="D98" s="7"/>
      <c r="E98" s="7"/>
      <c r="F98" s="17"/>
      <c r="G98" s="7"/>
      <c r="H98" s="7"/>
      <c r="I98" s="7"/>
      <c r="J98" s="16"/>
      <c r="L98" s="7"/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63:C63"/>
    <mergeCell ref="D63:I63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60:I60"/>
    <mergeCell ref="A64:C64"/>
    <mergeCell ref="D64:I64"/>
    <mergeCell ref="A68:F68"/>
    <mergeCell ref="A69:D69"/>
    <mergeCell ref="E69:E70"/>
    <mergeCell ref="F69:F70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>
    <pageSetUpPr fitToPage="1"/>
  </sheetPr>
  <dimension ref="A1:I22"/>
  <sheetViews>
    <sheetView showGridLines="0" workbookViewId="0">
      <pane ySplit="11" topLeftCell="A12" activePane="bottomLeft" state="frozen"/>
      <selection activeCell="C33" sqref="C33"/>
      <selection pane="bottomLeft" activeCell="E10" sqref="E10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137</v>
      </c>
      <c r="B8" s="297"/>
      <c r="C8" s="297"/>
      <c r="D8" s="297"/>
      <c r="E8" s="297"/>
      <c r="F8" s="298"/>
    </row>
    <row r="9" spans="1:6" ht="13.5" customHeight="1" x14ac:dyDescent="0.25">
      <c r="A9" s="60" t="s">
        <v>144</v>
      </c>
      <c r="B9" s="270" t="s">
        <v>145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/>
    </row>
    <row r="13" spans="1:6" ht="13.5" customHeight="1" x14ac:dyDescent="0.2">
      <c r="A13" s="299"/>
      <c r="B13" s="300"/>
      <c r="C13" s="226"/>
      <c r="D13" s="104"/>
      <c r="E13" s="82"/>
      <c r="F13" s="109"/>
    </row>
    <row r="14" spans="1:6" ht="13.5" customHeight="1" x14ac:dyDescent="0.2">
      <c r="A14" s="299"/>
      <c r="B14" s="300"/>
      <c r="C14" s="102"/>
      <c r="D14" s="104"/>
      <c r="E14" s="82"/>
      <c r="F14" s="109"/>
    </row>
    <row r="15" spans="1:6" ht="13.5" customHeight="1" x14ac:dyDescent="0.25">
      <c r="A15" s="271" t="s">
        <v>43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  <mergeCell ref="A13:B13"/>
    <mergeCell ref="A18:F18"/>
    <mergeCell ref="A21:C21"/>
    <mergeCell ref="D21:F21"/>
    <mergeCell ref="A22:C22"/>
    <mergeCell ref="A14:B14"/>
    <mergeCell ref="A15:B15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>
    <pageSetUpPr fitToPage="1"/>
  </sheetPr>
  <dimension ref="A1:K86"/>
  <sheetViews>
    <sheetView showGridLines="0" workbookViewId="0">
      <pane ySplit="13" topLeftCell="A44" activePane="bottomLeft" state="frozen"/>
      <selection activeCell="G5" sqref="G5:I5"/>
      <selection pane="bottomLeft" activeCell="G9" sqref="G9:I9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7.5703125" style="15" bestFit="1" customWidth="1"/>
    <col min="11" max="11" width="13.710937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723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148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192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146</v>
      </c>
      <c r="B9" s="270"/>
      <c r="C9" s="271" t="s">
        <v>147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20</v>
      </c>
      <c r="B15" s="76">
        <v>45590</v>
      </c>
      <c r="C15" s="219">
        <v>12089</v>
      </c>
      <c r="D15" s="20">
        <v>45658</v>
      </c>
      <c r="E15" s="20">
        <v>45687</v>
      </c>
      <c r="F15" s="11">
        <f t="shared" ref="F15:F41" si="0">(E15-D15)+1</f>
        <v>30</v>
      </c>
      <c r="G15" s="12">
        <v>208</v>
      </c>
      <c r="H15" s="13">
        <v>1</v>
      </c>
      <c r="I15" s="19">
        <f t="shared" ref="I15:I42" si="1">G15/30*H15*F15</f>
        <v>208</v>
      </c>
      <c r="J15" s="32" t="s">
        <v>635</v>
      </c>
      <c r="K15" s="13" t="s">
        <v>636</v>
      </c>
    </row>
    <row r="16" spans="1:11" ht="13.5" customHeight="1" x14ac:dyDescent="0.2">
      <c r="A16" s="2" t="s">
        <v>20</v>
      </c>
      <c r="B16" s="76">
        <v>45538</v>
      </c>
      <c r="C16" s="55">
        <v>13058</v>
      </c>
      <c r="D16" s="20">
        <v>45658</v>
      </c>
      <c r="E16" s="20">
        <v>45687</v>
      </c>
      <c r="F16" s="11">
        <f t="shared" si="0"/>
        <v>30</v>
      </c>
      <c r="G16" s="12">
        <v>208</v>
      </c>
      <c r="H16" s="13">
        <v>1</v>
      </c>
      <c r="I16" s="19">
        <f t="shared" si="1"/>
        <v>208</v>
      </c>
      <c r="J16" s="32" t="s">
        <v>263</v>
      </c>
      <c r="K16" s="13">
        <v>67505</v>
      </c>
    </row>
    <row r="17" spans="1:11" ht="13.5" customHeight="1" x14ac:dyDescent="0.2">
      <c r="A17" s="2" t="s">
        <v>20</v>
      </c>
      <c r="B17" s="76">
        <v>45538</v>
      </c>
      <c r="C17" s="55">
        <v>15113</v>
      </c>
      <c r="D17" s="20">
        <v>45658</v>
      </c>
      <c r="E17" s="20">
        <v>45687</v>
      </c>
      <c r="F17" s="11">
        <f t="shared" si="0"/>
        <v>30</v>
      </c>
      <c r="G17" s="12">
        <v>208</v>
      </c>
      <c r="H17" s="13">
        <v>1</v>
      </c>
      <c r="I17" s="19">
        <f t="shared" si="1"/>
        <v>208</v>
      </c>
      <c r="J17" s="32" t="s">
        <v>264</v>
      </c>
      <c r="K17" s="13">
        <v>67505</v>
      </c>
    </row>
    <row r="18" spans="1:11" ht="13.5" customHeight="1" x14ac:dyDescent="0.2">
      <c r="A18" s="2" t="s">
        <v>22</v>
      </c>
      <c r="B18" s="76">
        <v>45603</v>
      </c>
      <c r="C18" s="55">
        <v>16445</v>
      </c>
      <c r="D18" s="20">
        <v>45658</v>
      </c>
      <c r="E18" s="20">
        <v>45687</v>
      </c>
      <c r="F18" s="11">
        <f t="shared" si="0"/>
        <v>30</v>
      </c>
      <c r="G18" s="12">
        <v>147</v>
      </c>
      <c r="H18" s="13">
        <v>1</v>
      </c>
      <c r="I18" s="19">
        <f t="shared" si="1"/>
        <v>147</v>
      </c>
      <c r="J18" s="32" t="s">
        <v>828</v>
      </c>
      <c r="K18" s="13">
        <v>66118</v>
      </c>
    </row>
    <row r="19" spans="1:11" ht="13.5" customHeight="1" x14ac:dyDescent="0.2">
      <c r="A19" s="2" t="s">
        <v>23</v>
      </c>
      <c r="B19" s="76">
        <v>45531</v>
      </c>
      <c r="C19" s="55">
        <v>14592</v>
      </c>
      <c r="D19" s="20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19">
        <f t="shared" si="1"/>
        <v>235</v>
      </c>
      <c r="J19" s="32" t="s">
        <v>149</v>
      </c>
      <c r="K19" s="13">
        <v>67111</v>
      </c>
    </row>
    <row r="20" spans="1:11" ht="13.5" customHeight="1" x14ac:dyDescent="0.2">
      <c r="A20" s="2" t="s">
        <v>23</v>
      </c>
      <c r="B20" s="76">
        <v>45531</v>
      </c>
      <c r="C20" s="55">
        <v>14699</v>
      </c>
      <c r="D20" s="20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32" t="s">
        <v>149</v>
      </c>
      <c r="K20" s="13">
        <v>67111</v>
      </c>
    </row>
    <row r="21" spans="1:11" ht="13.5" customHeight="1" x14ac:dyDescent="0.2">
      <c r="A21" s="2" t="s">
        <v>23</v>
      </c>
      <c r="B21" s="76">
        <v>45531</v>
      </c>
      <c r="C21" s="55">
        <v>14667</v>
      </c>
      <c r="D21" s="20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32" t="s">
        <v>141</v>
      </c>
      <c r="K21" s="13">
        <v>67111</v>
      </c>
    </row>
    <row r="22" spans="1:11" ht="13.5" customHeight="1" x14ac:dyDescent="0.2">
      <c r="A22" s="2" t="s">
        <v>23</v>
      </c>
      <c r="B22" s="76">
        <v>45540</v>
      </c>
      <c r="C22" s="55">
        <v>14683</v>
      </c>
      <c r="D22" s="20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19">
        <f t="shared" si="1"/>
        <v>235</v>
      </c>
      <c r="J22" s="32" t="s">
        <v>265</v>
      </c>
      <c r="K22" s="13">
        <v>67505</v>
      </c>
    </row>
    <row r="23" spans="1:11" ht="13.5" customHeight="1" x14ac:dyDescent="0.2">
      <c r="A23" s="2" t="s">
        <v>23</v>
      </c>
      <c r="B23" s="76">
        <v>45538</v>
      </c>
      <c r="C23" s="55">
        <v>14690</v>
      </c>
      <c r="D23" s="20">
        <v>45658</v>
      </c>
      <c r="E23" s="20">
        <v>45687</v>
      </c>
      <c r="F23" s="11">
        <f t="shared" si="0"/>
        <v>30</v>
      </c>
      <c r="G23" s="12">
        <v>235</v>
      </c>
      <c r="H23" s="13">
        <v>1</v>
      </c>
      <c r="I23" s="19">
        <f t="shared" si="1"/>
        <v>235</v>
      </c>
      <c r="J23" s="32" t="s">
        <v>266</v>
      </c>
      <c r="K23" s="13">
        <v>67505</v>
      </c>
    </row>
    <row r="24" spans="1:11" ht="13.5" customHeight="1" x14ac:dyDescent="0.2">
      <c r="A24" s="2" t="s">
        <v>23</v>
      </c>
      <c r="B24" s="76">
        <v>45539</v>
      </c>
      <c r="C24" s="55">
        <v>14687</v>
      </c>
      <c r="D24" s="20">
        <v>45658</v>
      </c>
      <c r="E24" s="20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32" t="s">
        <v>263</v>
      </c>
      <c r="K24" s="13">
        <v>67505</v>
      </c>
    </row>
    <row r="25" spans="1:11" ht="13.5" customHeight="1" x14ac:dyDescent="0.2">
      <c r="A25" s="2" t="s">
        <v>23</v>
      </c>
      <c r="B25" s="76">
        <v>45540</v>
      </c>
      <c r="C25" s="55">
        <v>14675</v>
      </c>
      <c r="D25" s="20">
        <v>45658</v>
      </c>
      <c r="E25" s="20">
        <v>45687</v>
      </c>
      <c r="F25" s="11">
        <f t="shared" si="0"/>
        <v>30</v>
      </c>
      <c r="G25" s="12">
        <v>235</v>
      </c>
      <c r="H25" s="13">
        <v>1</v>
      </c>
      <c r="I25" s="19">
        <f t="shared" si="1"/>
        <v>235</v>
      </c>
      <c r="J25" s="32" t="s">
        <v>139</v>
      </c>
      <c r="K25" s="13">
        <v>67505</v>
      </c>
    </row>
    <row r="26" spans="1:11" ht="13.5" customHeight="1" x14ac:dyDescent="0.2">
      <c r="A26" s="2" t="s">
        <v>23</v>
      </c>
      <c r="B26" s="76">
        <v>45540</v>
      </c>
      <c r="C26" s="55">
        <v>14677</v>
      </c>
      <c r="D26" s="20">
        <v>45658</v>
      </c>
      <c r="E26" s="20">
        <v>45687</v>
      </c>
      <c r="F26" s="11">
        <f t="shared" si="0"/>
        <v>30</v>
      </c>
      <c r="G26" s="12">
        <v>235</v>
      </c>
      <c r="H26" s="13">
        <v>1</v>
      </c>
      <c r="I26" s="19">
        <f t="shared" si="1"/>
        <v>235</v>
      </c>
      <c r="J26" s="32" t="s">
        <v>139</v>
      </c>
      <c r="K26" s="13">
        <v>67505</v>
      </c>
    </row>
    <row r="27" spans="1:11" ht="13.5" customHeight="1" x14ac:dyDescent="0.2">
      <c r="A27" s="2" t="s">
        <v>24</v>
      </c>
      <c r="B27" s="76">
        <v>45539</v>
      </c>
      <c r="C27" s="55">
        <v>14831</v>
      </c>
      <c r="D27" s="20">
        <v>45658</v>
      </c>
      <c r="E27" s="20">
        <v>45687</v>
      </c>
      <c r="F27" s="11">
        <f t="shared" si="0"/>
        <v>30</v>
      </c>
      <c r="G27" s="12">
        <v>238</v>
      </c>
      <c r="H27" s="13">
        <v>1</v>
      </c>
      <c r="I27" s="19">
        <f t="shared" si="1"/>
        <v>238</v>
      </c>
      <c r="J27" s="32" t="s">
        <v>267</v>
      </c>
      <c r="K27" s="13">
        <v>67506</v>
      </c>
    </row>
    <row r="28" spans="1:11" ht="13.5" customHeight="1" x14ac:dyDescent="0.2">
      <c r="A28" s="2" t="s">
        <v>24</v>
      </c>
      <c r="B28" s="76">
        <v>45530</v>
      </c>
      <c r="C28" s="55">
        <v>14839</v>
      </c>
      <c r="D28" s="20">
        <v>45658</v>
      </c>
      <c r="E28" s="20">
        <v>45687</v>
      </c>
      <c r="F28" s="11">
        <f t="shared" si="0"/>
        <v>30</v>
      </c>
      <c r="G28" s="12">
        <v>238</v>
      </c>
      <c r="H28" s="13">
        <v>1</v>
      </c>
      <c r="I28" s="19">
        <f t="shared" si="1"/>
        <v>238</v>
      </c>
      <c r="J28" s="32" t="s">
        <v>150</v>
      </c>
      <c r="K28" s="13">
        <v>67115</v>
      </c>
    </row>
    <row r="29" spans="1:11" ht="13.5" customHeight="1" x14ac:dyDescent="0.2">
      <c r="A29" s="2" t="s">
        <v>24</v>
      </c>
      <c r="B29" s="76">
        <v>45530</v>
      </c>
      <c r="C29" s="55">
        <v>14846</v>
      </c>
      <c r="D29" s="20">
        <v>45658</v>
      </c>
      <c r="E29" s="20">
        <v>45687</v>
      </c>
      <c r="F29" s="11">
        <f t="shared" si="0"/>
        <v>30</v>
      </c>
      <c r="G29" s="12">
        <v>238</v>
      </c>
      <c r="H29" s="13">
        <v>1</v>
      </c>
      <c r="I29" s="19">
        <f t="shared" si="1"/>
        <v>238</v>
      </c>
      <c r="J29" s="32" t="s">
        <v>151</v>
      </c>
      <c r="K29" s="13">
        <v>67115</v>
      </c>
    </row>
    <row r="30" spans="1:11" ht="13.5" customHeight="1" x14ac:dyDescent="0.2">
      <c r="A30" s="2" t="s">
        <v>24</v>
      </c>
      <c r="B30" s="76">
        <v>45530</v>
      </c>
      <c r="C30" s="55">
        <v>14843</v>
      </c>
      <c r="D30" s="20">
        <v>45658</v>
      </c>
      <c r="E30" s="20">
        <v>45687</v>
      </c>
      <c r="F30" s="11">
        <f t="shared" si="0"/>
        <v>30</v>
      </c>
      <c r="G30" s="12">
        <v>238</v>
      </c>
      <c r="H30" s="13">
        <v>1</v>
      </c>
      <c r="I30" s="19">
        <f t="shared" si="1"/>
        <v>238</v>
      </c>
      <c r="J30" s="32" t="s">
        <v>152</v>
      </c>
      <c r="K30" s="13">
        <v>67115</v>
      </c>
    </row>
    <row r="31" spans="1:11" ht="13.5" customHeight="1" x14ac:dyDescent="0.2">
      <c r="A31" s="2" t="s">
        <v>24</v>
      </c>
      <c r="B31" s="76">
        <v>45530</v>
      </c>
      <c r="C31" s="55">
        <v>14837</v>
      </c>
      <c r="D31" s="20">
        <v>45658</v>
      </c>
      <c r="E31" s="20">
        <v>45687</v>
      </c>
      <c r="F31" s="11">
        <f t="shared" si="0"/>
        <v>30</v>
      </c>
      <c r="G31" s="12">
        <v>238</v>
      </c>
      <c r="H31" s="13">
        <v>1</v>
      </c>
      <c r="I31" s="19">
        <f t="shared" si="1"/>
        <v>238</v>
      </c>
      <c r="J31" s="32" t="s">
        <v>153</v>
      </c>
      <c r="K31" s="13">
        <v>67115</v>
      </c>
    </row>
    <row r="32" spans="1:11" ht="13.5" customHeight="1" x14ac:dyDescent="0.2">
      <c r="A32" s="2" t="s">
        <v>24</v>
      </c>
      <c r="B32" s="76">
        <v>45531</v>
      </c>
      <c r="C32" s="55">
        <v>14845</v>
      </c>
      <c r="D32" s="20">
        <v>45658</v>
      </c>
      <c r="E32" s="20">
        <v>45687</v>
      </c>
      <c r="F32" s="11">
        <f t="shared" si="0"/>
        <v>30</v>
      </c>
      <c r="G32" s="12">
        <v>238</v>
      </c>
      <c r="H32" s="13">
        <v>1</v>
      </c>
      <c r="I32" s="19">
        <f t="shared" si="1"/>
        <v>238</v>
      </c>
      <c r="J32" s="32" t="s">
        <v>141</v>
      </c>
      <c r="K32" s="13">
        <v>67115</v>
      </c>
    </row>
    <row r="33" spans="1:11" ht="13.5" customHeight="1" x14ac:dyDescent="0.2">
      <c r="A33" s="2" t="s">
        <v>24</v>
      </c>
      <c r="B33" s="76">
        <v>45615</v>
      </c>
      <c r="C33" s="55">
        <v>16195</v>
      </c>
      <c r="D33" s="20">
        <v>45658</v>
      </c>
      <c r="E33" s="20">
        <v>45687</v>
      </c>
      <c r="F33" s="11">
        <f t="shared" si="0"/>
        <v>30</v>
      </c>
      <c r="G33" s="12">
        <v>238</v>
      </c>
      <c r="H33" s="13">
        <v>1</v>
      </c>
      <c r="I33" s="19">
        <f t="shared" si="1"/>
        <v>238</v>
      </c>
      <c r="J33" s="32" t="s">
        <v>875</v>
      </c>
      <c r="K33" s="13">
        <v>71759</v>
      </c>
    </row>
    <row r="34" spans="1:11" ht="13.5" customHeight="1" x14ac:dyDescent="0.2">
      <c r="A34" s="2" t="s">
        <v>27</v>
      </c>
      <c r="B34" s="76">
        <v>45538</v>
      </c>
      <c r="C34" s="55">
        <v>12149</v>
      </c>
      <c r="D34" s="20">
        <v>45658</v>
      </c>
      <c r="E34" s="20">
        <v>45687</v>
      </c>
      <c r="F34" s="11">
        <f t="shared" si="0"/>
        <v>30</v>
      </c>
      <c r="G34" s="12">
        <v>347</v>
      </c>
      <c r="H34" s="13">
        <v>1</v>
      </c>
      <c r="I34" s="19">
        <f t="shared" si="1"/>
        <v>347</v>
      </c>
      <c r="J34" s="32" t="s">
        <v>268</v>
      </c>
      <c r="K34" s="13">
        <v>67506</v>
      </c>
    </row>
    <row r="35" spans="1:11" ht="13.5" customHeight="1" x14ac:dyDescent="0.2">
      <c r="A35" s="2" t="s">
        <v>27</v>
      </c>
      <c r="B35" s="76">
        <v>45538</v>
      </c>
      <c r="C35" s="55">
        <v>12150</v>
      </c>
      <c r="D35" s="20">
        <v>45658</v>
      </c>
      <c r="E35" s="20">
        <v>45687</v>
      </c>
      <c r="F35" s="11">
        <f t="shared" si="0"/>
        <v>30</v>
      </c>
      <c r="G35" s="12">
        <v>347</v>
      </c>
      <c r="H35" s="13">
        <v>1</v>
      </c>
      <c r="I35" s="19">
        <f t="shared" si="1"/>
        <v>347</v>
      </c>
      <c r="J35" s="32" t="s">
        <v>268</v>
      </c>
      <c r="K35" s="13">
        <v>67506</v>
      </c>
    </row>
    <row r="36" spans="1:11" ht="13.5" customHeight="1" x14ac:dyDescent="0.2">
      <c r="A36" s="2" t="s">
        <v>27</v>
      </c>
      <c r="B36" s="76">
        <v>45560</v>
      </c>
      <c r="C36" s="55">
        <v>15972</v>
      </c>
      <c r="D36" s="20">
        <v>45658</v>
      </c>
      <c r="E36" s="20">
        <v>45687</v>
      </c>
      <c r="F36" s="11">
        <f t="shared" si="0"/>
        <v>30</v>
      </c>
      <c r="G36" s="12">
        <v>347</v>
      </c>
      <c r="H36" s="13">
        <v>1</v>
      </c>
      <c r="I36" s="19">
        <f t="shared" si="1"/>
        <v>347</v>
      </c>
      <c r="J36" s="32" t="s">
        <v>297</v>
      </c>
      <c r="K36" s="13">
        <v>68402</v>
      </c>
    </row>
    <row r="37" spans="1:11" ht="13.5" customHeight="1" x14ac:dyDescent="0.2">
      <c r="A37" s="2" t="s">
        <v>27</v>
      </c>
      <c r="B37" s="76">
        <v>45560</v>
      </c>
      <c r="C37" s="55">
        <v>15973</v>
      </c>
      <c r="D37" s="20">
        <v>45658</v>
      </c>
      <c r="E37" s="20">
        <v>45687</v>
      </c>
      <c r="F37" s="11">
        <f t="shared" si="0"/>
        <v>30</v>
      </c>
      <c r="G37" s="12">
        <v>347</v>
      </c>
      <c r="H37" s="13">
        <v>1</v>
      </c>
      <c r="I37" s="19">
        <f t="shared" si="1"/>
        <v>347</v>
      </c>
      <c r="J37" s="32" t="s">
        <v>298</v>
      </c>
      <c r="K37" s="13">
        <v>68402</v>
      </c>
    </row>
    <row r="38" spans="1:11" ht="13.5" customHeight="1" x14ac:dyDescent="0.2">
      <c r="A38" s="2" t="s">
        <v>27</v>
      </c>
      <c r="B38" s="76">
        <v>45602</v>
      </c>
      <c r="C38" s="55">
        <v>16324</v>
      </c>
      <c r="D38" s="20">
        <v>45658</v>
      </c>
      <c r="E38" s="20">
        <v>45687</v>
      </c>
      <c r="F38" s="11">
        <f t="shared" si="0"/>
        <v>30</v>
      </c>
      <c r="G38" s="12">
        <v>347</v>
      </c>
      <c r="H38" s="13">
        <v>1</v>
      </c>
      <c r="I38" s="19">
        <f t="shared" si="1"/>
        <v>347</v>
      </c>
      <c r="J38" s="32" t="s">
        <v>876</v>
      </c>
      <c r="K38" s="13">
        <v>71052</v>
      </c>
    </row>
    <row r="39" spans="1:11" ht="13.5" customHeight="1" x14ac:dyDescent="0.2">
      <c r="A39" s="2" t="s">
        <v>27</v>
      </c>
      <c r="B39" s="76">
        <v>45602</v>
      </c>
      <c r="C39" s="55">
        <v>16322</v>
      </c>
      <c r="D39" s="20">
        <v>45658</v>
      </c>
      <c r="E39" s="20">
        <v>45687</v>
      </c>
      <c r="F39" s="11">
        <f t="shared" si="0"/>
        <v>30</v>
      </c>
      <c r="G39" s="12">
        <v>347</v>
      </c>
      <c r="H39" s="13">
        <v>1</v>
      </c>
      <c r="I39" s="19">
        <f t="shared" si="1"/>
        <v>347</v>
      </c>
      <c r="J39" s="32" t="s">
        <v>876</v>
      </c>
      <c r="K39" s="13">
        <v>71052</v>
      </c>
    </row>
    <row r="40" spans="1:11" ht="13.5" customHeight="1" x14ac:dyDescent="0.2">
      <c r="A40" s="2" t="s">
        <v>34</v>
      </c>
      <c r="B40" s="76">
        <v>45544</v>
      </c>
      <c r="C40" s="55">
        <v>5444</v>
      </c>
      <c r="D40" s="20">
        <v>45658</v>
      </c>
      <c r="E40" s="20">
        <v>45687</v>
      </c>
      <c r="F40" s="11">
        <f t="shared" si="0"/>
        <v>30</v>
      </c>
      <c r="G40" s="12">
        <v>597</v>
      </c>
      <c r="H40" s="13">
        <v>1</v>
      </c>
      <c r="I40" s="19">
        <f t="shared" si="1"/>
        <v>597</v>
      </c>
      <c r="J40" s="32" t="s">
        <v>269</v>
      </c>
      <c r="K40" s="13">
        <v>67506</v>
      </c>
    </row>
    <row r="41" spans="1:11" ht="13.5" customHeight="1" x14ac:dyDescent="0.2">
      <c r="A41" s="2" t="s">
        <v>34</v>
      </c>
      <c r="B41" s="76">
        <v>45541</v>
      </c>
      <c r="C41" s="55">
        <v>7398</v>
      </c>
      <c r="D41" s="20">
        <v>45658</v>
      </c>
      <c r="E41" s="20">
        <v>45687</v>
      </c>
      <c r="F41" s="11">
        <f t="shared" si="0"/>
        <v>30</v>
      </c>
      <c r="G41" s="12">
        <v>597</v>
      </c>
      <c r="H41" s="13">
        <v>1</v>
      </c>
      <c r="I41" s="19">
        <f t="shared" si="1"/>
        <v>597</v>
      </c>
      <c r="J41" s="32" t="s">
        <v>270</v>
      </c>
      <c r="K41" s="13">
        <v>67506</v>
      </c>
    </row>
    <row r="42" spans="1:11" ht="13.5" customHeight="1" x14ac:dyDescent="0.2">
      <c r="A42" s="2"/>
      <c r="B42" s="20"/>
      <c r="C42" s="55"/>
      <c r="D42" s="20"/>
      <c r="E42" s="20"/>
      <c r="F42" s="11"/>
      <c r="G42" s="12"/>
      <c r="H42" s="13"/>
      <c r="I42" s="19">
        <f t="shared" si="1"/>
        <v>0</v>
      </c>
      <c r="J42" s="32"/>
      <c r="K42" s="13"/>
    </row>
    <row r="43" spans="1:11" ht="13.5" customHeight="1" x14ac:dyDescent="0.25">
      <c r="A43" s="21" t="s">
        <v>181</v>
      </c>
      <c r="B43" s="26"/>
      <c r="C43" s="26"/>
      <c r="D43" s="23"/>
      <c r="E43" s="23"/>
      <c r="F43" s="24"/>
      <c r="G43" s="23"/>
      <c r="H43" s="22">
        <f>SUM(H15:H42)</f>
        <v>27</v>
      </c>
      <c r="I43" s="112">
        <f>SUM(I15:I42)</f>
        <v>7593</v>
      </c>
      <c r="J43" s="33"/>
      <c r="K43" s="116"/>
    </row>
    <row r="44" spans="1:11" ht="13.5" customHeight="1" x14ac:dyDescent="0.25">
      <c r="D44" s="8"/>
      <c r="E44" s="8"/>
      <c r="F44" s="9"/>
      <c r="G44" s="10"/>
      <c r="I44" s="10"/>
      <c r="J44" s="4"/>
    </row>
    <row r="45" spans="1:11" ht="13.5" customHeight="1" x14ac:dyDescent="0.25">
      <c r="D45" s="8"/>
      <c r="E45" s="8"/>
      <c r="F45" s="9"/>
      <c r="G45" s="10"/>
      <c r="H45" s="50">
        <f>H43</f>
        <v>27</v>
      </c>
      <c r="I45" s="25">
        <f>I43</f>
        <v>7593</v>
      </c>
      <c r="J45" s="16"/>
    </row>
    <row r="46" spans="1:11" ht="13.5" customHeight="1" x14ac:dyDescent="0.25">
      <c r="D46" s="8"/>
      <c r="E46" s="8"/>
      <c r="F46" s="9"/>
      <c r="G46" s="10"/>
      <c r="I46" s="10"/>
      <c r="J46" s="16"/>
    </row>
    <row r="47" spans="1:11" ht="13.5" customHeight="1" x14ac:dyDescent="0.25">
      <c r="D47" s="8"/>
      <c r="E47" s="8"/>
      <c r="F47" s="9"/>
      <c r="G47" s="10"/>
      <c r="I47" s="10"/>
      <c r="J47" s="7"/>
    </row>
    <row r="48" spans="1:11" ht="13.5" customHeight="1" x14ac:dyDescent="0.25">
      <c r="A48" s="289" t="s">
        <v>124</v>
      </c>
      <c r="B48" s="289"/>
      <c r="C48" s="289"/>
      <c r="D48" s="289"/>
      <c r="E48" s="289"/>
      <c r="F48" s="289"/>
      <c r="G48" s="289"/>
      <c r="H48" s="289"/>
      <c r="I48" s="289"/>
      <c r="J48" s="7"/>
    </row>
    <row r="49" spans="1:10" s="7" customFormat="1" ht="13.5" customHeight="1" x14ac:dyDescent="0.25">
      <c r="B49" s="15"/>
    </row>
    <row r="50" spans="1:10" s="7" customFormat="1" ht="13.5" customHeight="1" x14ac:dyDescent="0.2">
      <c r="A50" s="27" t="s">
        <v>125</v>
      </c>
      <c r="F50" s="71"/>
      <c r="G50" s="10"/>
      <c r="I50" s="72"/>
    </row>
    <row r="51" spans="1:10" s="7" customFormat="1" ht="60" customHeight="1" x14ac:dyDescent="0.25">
      <c r="A51" s="291"/>
      <c r="B51" s="275"/>
      <c r="C51" s="292"/>
      <c r="D51" s="290"/>
      <c r="E51" s="290"/>
      <c r="F51" s="290"/>
      <c r="G51" s="290"/>
      <c r="H51" s="290"/>
      <c r="I51" s="290"/>
    </row>
    <row r="52" spans="1:10" s="7" customFormat="1" ht="13.5" customHeight="1" x14ac:dyDescent="0.25">
      <c r="A52" s="274" t="s">
        <v>126</v>
      </c>
      <c r="B52" s="274"/>
      <c r="C52" s="274"/>
      <c r="D52" s="274" t="s">
        <v>127</v>
      </c>
      <c r="E52" s="274"/>
      <c r="F52" s="274"/>
      <c r="G52" s="274"/>
      <c r="H52" s="274"/>
      <c r="I52" s="274"/>
    </row>
    <row r="53" spans="1:10" s="7" customFormat="1" ht="13.5" customHeight="1" x14ac:dyDescent="0.25">
      <c r="B53" s="15"/>
      <c r="D53" s="8"/>
      <c r="E53" s="8"/>
      <c r="F53" s="9"/>
      <c r="G53" s="10"/>
      <c r="I53" s="10"/>
    </row>
    <row r="54" spans="1:10" s="7" customFormat="1" ht="13.5" customHeight="1" x14ac:dyDescent="0.25">
      <c r="B54" s="15"/>
      <c r="D54" s="8"/>
      <c r="E54" s="8"/>
      <c r="F54" s="9"/>
      <c r="G54" s="10"/>
      <c r="I54" s="10"/>
    </row>
    <row r="55" spans="1:10" s="7" customFormat="1" ht="13.5" customHeight="1" x14ac:dyDescent="0.25">
      <c r="B55" s="15"/>
      <c r="D55" s="8"/>
      <c r="E55" s="8"/>
      <c r="F55" s="9"/>
      <c r="G55" s="10"/>
      <c r="I55" s="10"/>
    </row>
    <row r="56" spans="1:10" s="7" customFormat="1" ht="13.5" customHeight="1" x14ac:dyDescent="0.2">
      <c r="A56" s="266" t="s">
        <v>29</v>
      </c>
      <c r="B56" s="266"/>
      <c r="C56" s="266"/>
      <c r="D56" s="266"/>
      <c r="E56" s="266"/>
      <c r="F56" s="266"/>
      <c r="G56" s="51"/>
      <c r="I56" s="10"/>
      <c r="J56" s="16"/>
    </row>
    <row r="57" spans="1:10" s="7" customFormat="1" ht="13.5" customHeight="1" x14ac:dyDescent="0.2">
      <c r="A57" s="267" t="s">
        <v>45</v>
      </c>
      <c r="B57" s="267"/>
      <c r="C57" s="267"/>
      <c r="D57" s="267"/>
      <c r="E57" s="283" t="s">
        <v>5</v>
      </c>
      <c r="F57" s="282" t="s">
        <v>6</v>
      </c>
      <c r="G57" s="52"/>
      <c r="I57" s="10"/>
      <c r="J57" s="16"/>
    </row>
    <row r="58" spans="1:10" s="7" customFormat="1" ht="13.5" customHeight="1" x14ac:dyDescent="0.2">
      <c r="A58" s="34" t="s">
        <v>0</v>
      </c>
      <c r="B58" s="34" t="s">
        <v>3</v>
      </c>
      <c r="C58" s="34" t="s">
        <v>2</v>
      </c>
      <c r="D58" s="34" t="s">
        <v>4</v>
      </c>
      <c r="E58" s="284"/>
      <c r="F58" s="282"/>
      <c r="G58" s="53"/>
      <c r="J58" s="15"/>
    </row>
    <row r="59" spans="1:10" s="7" customFormat="1" ht="13.5" customHeight="1" x14ac:dyDescent="0.2">
      <c r="A59" s="2" t="s">
        <v>18</v>
      </c>
      <c r="B59" s="39"/>
      <c r="C59" s="35">
        <v>37</v>
      </c>
      <c r="D59" s="35">
        <v>0</v>
      </c>
      <c r="E59" s="13">
        <f>COUNTIFS($A$12:$A$47,"Cond Ar Janela 7.500 BTU/h")</f>
        <v>0</v>
      </c>
      <c r="F59" s="40">
        <f t="shared" ref="F59:F81" si="2">B59-E59</f>
        <v>0</v>
      </c>
      <c r="G59" s="1"/>
      <c r="J59" s="15"/>
    </row>
    <row r="60" spans="1:10" s="7" customFormat="1" ht="13.5" customHeight="1" x14ac:dyDescent="0.2">
      <c r="A60" s="2" t="s">
        <v>19</v>
      </c>
      <c r="B60" s="39"/>
      <c r="C60" s="3">
        <v>210</v>
      </c>
      <c r="D60" s="3">
        <f t="shared" ref="D60:D81" si="3">B60*C60</f>
        <v>0</v>
      </c>
      <c r="E60" s="13">
        <f>COUNTIFS($A$12:$A$47,"Cond Ar Janela 10.000 BTU/h")</f>
        <v>0</v>
      </c>
      <c r="F60" s="40">
        <f t="shared" si="2"/>
        <v>0</v>
      </c>
      <c r="G60" s="1"/>
      <c r="J60" s="15"/>
    </row>
    <row r="61" spans="1:10" s="7" customFormat="1" ht="13.5" customHeight="1" x14ac:dyDescent="0.2">
      <c r="A61" s="2" t="s">
        <v>20</v>
      </c>
      <c r="B61" s="39">
        <v>6</v>
      </c>
      <c r="C61" s="3">
        <v>208</v>
      </c>
      <c r="D61" s="3">
        <f t="shared" si="3"/>
        <v>1248</v>
      </c>
      <c r="E61" s="13">
        <f>COUNTIFS($A$12:$A$47,"Cond Ar Janela 18.000 BTU/h")</f>
        <v>3</v>
      </c>
      <c r="F61" s="40">
        <f t="shared" si="2"/>
        <v>3</v>
      </c>
      <c r="G61" s="1"/>
      <c r="J61" s="15"/>
    </row>
    <row r="62" spans="1:10" s="7" customFormat="1" ht="13.5" customHeight="1" x14ac:dyDescent="0.2">
      <c r="A62" s="2" t="s">
        <v>21</v>
      </c>
      <c r="B62" s="39"/>
      <c r="C62" s="3">
        <v>57</v>
      </c>
      <c r="D62" s="3">
        <f t="shared" si="3"/>
        <v>0</v>
      </c>
      <c r="E62" s="13">
        <f>COUNTIFS($A$12:$A$47,"Cond Ar Janela 21.000 BTU/h")</f>
        <v>0</v>
      </c>
      <c r="F62" s="40">
        <f t="shared" si="2"/>
        <v>0</v>
      </c>
      <c r="G62" s="1"/>
      <c r="J62" s="15"/>
    </row>
    <row r="63" spans="1:10" s="7" customFormat="1" ht="13.5" customHeight="1" x14ac:dyDescent="0.2">
      <c r="A63" s="2" t="s">
        <v>22</v>
      </c>
      <c r="B63" s="207">
        <v>1</v>
      </c>
      <c r="C63" s="3">
        <v>147</v>
      </c>
      <c r="D63" s="3">
        <f t="shared" si="3"/>
        <v>147</v>
      </c>
      <c r="E63" s="13">
        <f>COUNTIFS($A$12:$A$47,"Cond Ar Split 9.000 BTU/h Hi Wall")</f>
        <v>1</v>
      </c>
      <c r="F63" s="40">
        <f t="shared" si="2"/>
        <v>0</v>
      </c>
      <c r="G63" s="1"/>
      <c r="J63" s="15"/>
    </row>
    <row r="64" spans="1:10" s="7" customFormat="1" ht="13.5" customHeight="1" x14ac:dyDescent="0.2">
      <c r="A64" s="2" t="s">
        <v>23</v>
      </c>
      <c r="B64" s="39">
        <v>8</v>
      </c>
      <c r="C64" s="3">
        <v>235</v>
      </c>
      <c r="D64" s="3">
        <f t="shared" si="3"/>
        <v>1880</v>
      </c>
      <c r="E64" s="13">
        <f>COUNTIFS($A$12:$A$47,"Cond Ar Split 12.000 BTU/h Hi Wall")</f>
        <v>8</v>
      </c>
      <c r="F64" s="40">
        <f t="shared" si="2"/>
        <v>0</v>
      </c>
      <c r="G64" s="1"/>
      <c r="J64" s="15"/>
    </row>
    <row r="65" spans="1:7" s="7" customFormat="1" ht="13.5" customHeight="1" x14ac:dyDescent="0.2">
      <c r="A65" s="2" t="s">
        <v>24</v>
      </c>
      <c r="B65" s="39">
        <v>6</v>
      </c>
      <c r="C65" s="3">
        <v>238</v>
      </c>
      <c r="D65" s="3">
        <f t="shared" si="3"/>
        <v>1428</v>
      </c>
      <c r="E65" s="13">
        <f>COUNTIFS($A$12:$A$47,"Cond Ar Split 18.000 BTU/h Hi Wall")</f>
        <v>7</v>
      </c>
      <c r="F65" s="40">
        <f t="shared" si="2"/>
        <v>-1</v>
      </c>
      <c r="G65" s="1"/>
    </row>
    <row r="66" spans="1:7" s="7" customFormat="1" ht="13.5" customHeight="1" x14ac:dyDescent="0.2">
      <c r="A66" s="2" t="s">
        <v>25</v>
      </c>
      <c r="B66" s="39"/>
      <c r="C66" s="3">
        <v>242</v>
      </c>
      <c r="D66" s="3">
        <f t="shared" si="3"/>
        <v>0</v>
      </c>
      <c r="E66" s="13">
        <f>COUNTIFS($A$12:$A$47,"Cond Ar Split 22.000 BTU/h Hi Wall")</f>
        <v>0</v>
      </c>
      <c r="F66" s="40">
        <f t="shared" si="2"/>
        <v>0</v>
      </c>
      <c r="G66" s="1"/>
    </row>
    <row r="67" spans="1:7" s="7" customFormat="1" ht="13.5" customHeight="1" x14ac:dyDescent="0.2">
      <c r="A67" s="2" t="s">
        <v>26</v>
      </c>
      <c r="B67" s="39"/>
      <c r="C67" s="3">
        <v>260</v>
      </c>
      <c r="D67" s="3">
        <f t="shared" si="3"/>
        <v>0</v>
      </c>
      <c r="E67" s="13">
        <f>COUNTIFS($A$12:$A$47,"Cond Ar Split 24.000 BTU/h Hi Wall")</f>
        <v>0</v>
      </c>
      <c r="F67" s="40">
        <f t="shared" si="2"/>
        <v>0</v>
      </c>
      <c r="G67" s="1"/>
    </row>
    <row r="68" spans="1:7" s="7" customFormat="1" ht="13.5" customHeight="1" x14ac:dyDescent="0.2">
      <c r="A68" s="2" t="s">
        <v>27</v>
      </c>
      <c r="B68" s="206">
        <f>4+2</f>
        <v>6</v>
      </c>
      <c r="C68" s="3">
        <v>347</v>
      </c>
      <c r="D68" s="3">
        <f t="shared" si="3"/>
        <v>2082</v>
      </c>
      <c r="E68" s="13">
        <f>COUNTIFS($A$12:$A$47,"Cond Ar Split 30.000 BTU/h Hi Wall")</f>
        <v>6</v>
      </c>
      <c r="F68" s="40">
        <f t="shared" si="2"/>
        <v>0</v>
      </c>
      <c r="G68" s="1"/>
    </row>
    <row r="69" spans="1:7" s="7" customFormat="1" ht="13.5" customHeight="1" x14ac:dyDescent="0.2">
      <c r="A69" s="2" t="s">
        <v>30</v>
      </c>
      <c r="B69" s="39"/>
      <c r="C69" s="3">
        <v>367</v>
      </c>
      <c r="D69" s="3">
        <f t="shared" si="3"/>
        <v>0</v>
      </c>
      <c r="E69" s="13">
        <f>COUNTIFS($A$12:$A$47,"Cond Ar Split 24.000 BTU/h Piso/Teto")</f>
        <v>0</v>
      </c>
      <c r="F69" s="40">
        <f t="shared" si="2"/>
        <v>0</v>
      </c>
      <c r="G69" s="1"/>
    </row>
    <row r="70" spans="1:7" s="7" customFormat="1" ht="13.5" customHeight="1" x14ac:dyDescent="0.2">
      <c r="A70" s="2" t="s">
        <v>31</v>
      </c>
      <c r="B70" s="39"/>
      <c r="C70" s="3">
        <v>367</v>
      </c>
      <c r="D70" s="3">
        <f t="shared" si="3"/>
        <v>0</v>
      </c>
      <c r="E70" s="13">
        <f>COUNTIFS($A$12:$A$47,"Cond Ar Split 30.000 BTU/h Piso/Teto")</f>
        <v>0</v>
      </c>
      <c r="F70" s="40">
        <f t="shared" si="2"/>
        <v>0</v>
      </c>
      <c r="G70" s="1"/>
    </row>
    <row r="71" spans="1:7" s="7" customFormat="1" ht="13.5" customHeight="1" x14ac:dyDescent="0.2">
      <c r="A71" s="2" t="s">
        <v>32</v>
      </c>
      <c r="B71" s="39"/>
      <c r="C71" s="3">
        <v>447</v>
      </c>
      <c r="D71" s="3">
        <f t="shared" si="3"/>
        <v>0</v>
      </c>
      <c r="E71" s="13">
        <f>COUNTIFS($A$12:$A$47,"Cond Ar Split 36.000 BTU/h Piso/Teto")</f>
        <v>0</v>
      </c>
      <c r="F71" s="40">
        <f t="shared" si="2"/>
        <v>0</v>
      </c>
      <c r="G71" s="1"/>
    </row>
    <row r="72" spans="1:7" s="7" customFormat="1" ht="13.5" customHeight="1" x14ac:dyDescent="0.2">
      <c r="A72" s="2" t="s">
        <v>33</v>
      </c>
      <c r="B72" s="39"/>
      <c r="C72" s="3">
        <v>497</v>
      </c>
      <c r="D72" s="3">
        <f t="shared" si="3"/>
        <v>0</v>
      </c>
      <c r="E72" s="13">
        <f>COUNTIFS($A$12:$A$47,"Cond Ar Split 48.000 BTU/h Piso/Teto")</f>
        <v>0</v>
      </c>
      <c r="F72" s="40">
        <f t="shared" si="2"/>
        <v>0</v>
      </c>
      <c r="G72" s="1"/>
    </row>
    <row r="73" spans="1:7" s="7" customFormat="1" ht="13.5" customHeight="1" x14ac:dyDescent="0.2">
      <c r="A73" s="2" t="s">
        <v>34</v>
      </c>
      <c r="B73" s="39">
        <v>2</v>
      </c>
      <c r="C73" s="3">
        <v>597</v>
      </c>
      <c r="D73" s="3">
        <f t="shared" si="3"/>
        <v>1194</v>
      </c>
      <c r="E73" s="13">
        <f>COUNTIFS($A$12:$A$47,"Cond Ar Split 60.000 BTU/h Piso/Teto")</f>
        <v>2</v>
      </c>
      <c r="F73" s="40">
        <f t="shared" si="2"/>
        <v>0</v>
      </c>
      <c r="G73" s="1"/>
    </row>
    <row r="74" spans="1:7" s="7" customFormat="1" ht="13.5" customHeight="1" x14ac:dyDescent="0.2">
      <c r="A74" s="2" t="s">
        <v>35</v>
      </c>
      <c r="B74" s="39"/>
      <c r="C74" s="3">
        <v>395</v>
      </c>
      <c r="D74" s="3">
        <f t="shared" si="3"/>
        <v>0</v>
      </c>
      <c r="E74" s="13">
        <f>COUNTIFS($A$12:$A$47,"Cond Ar Split 18.000 BTU/h Cassete")</f>
        <v>0</v>
      </c>
      <c r="F74" s="40">
        <f t="shared" si="2"/>
        <v>0</v>
      </c>
      <c r="G74" s="1"/>
    </row>
    <row r="75" spans="1:7" s="7" customFormat="1" ht="13.5" customHeight="1" x14ac:dyDescent="0.2">
      <c r="A75" s="2" t="s">
        <v>36</v>
      </c>
      <c r="B75" s="39"/>
      <c r="C75" s="3">
        <v>442.75</v>
      </c>
      <c r="D75" s="3">
        <f t="shared" si="3"/>
        <v>0</v>
      </c>
      <c r="E75" s="13">
        <f>COUNTIFS($A$12:$A$47,"Cond Ar Split 24.000 BTU/h Cassete")</f>
        <v>0</v>
      </c>
      <c r="F75" s="40">
        <f t="shared" si="2"/>
        <v>0</v>
      </c>
      <c r="G75" s="1"/>
    </row>
    <row r="76" spans="1:7" s="7" customFormat="1" ht="13.5" customHeight="1" x14ac:dyDescent="0.2">
      <c r="A76" s="2" t="s">
        <v>37</v>
      </c>
      <c r="B76" s="39"/>
      <c r="C76" s="3">
        <v>430</v>
      </c>
      <c r="D76" s="3">
        <f t="shared" si="3"/>
        <v>0</v>
      </c>
      <c r="E76" s="13">
        <f>COUNTIFS($A$12:$A$47,"Cond Ar Split 30.000 BTU/h Cassete")</f>
        <v>0</v>
      </c>
      <c r="F76" s="40">
        <f t="shared" si="2"/>
        <v>0</v>
      </c>
      <c r="G76" s="1"/>
    </row>
    <row r="77" spans="1:7" s="7" customFormat="1" ht="13.5" customHeight="1" x14ac:dyDescent="0.2">
      <c r="A77" s="2" t="s">
        <v>38</v>
      </c>
      <c r="B77" s="39"/>
      <c r="C77" s="3">
        <v>478</v>
      </c>
      <c r="D77" s="3">
        <f t="shared" si="3"/>
        <v>0</v>
      </c>
      <c r="E77" s="13">
        <f>COUNTIFS($A$12:$A$47,"Cond Ar Split 36.000 BTU/h Cassete")</f>
        <v>0</v>
      </c>
      <c r="F77" s="40">
        <f t="shared" si="2"/>
        <v>0</v>
      </c>
      <c r="G77" s="1"/>
    </row>
    <row r="78" spans="1:7" s="7" customFormat="1" ht="13.5" customHeight="1" x14ac:dyDescent="0.2">
      <c r="A78" s="2" t="s">
        <v>39</v>
      </c>
      <c r="B78" s="39"/>
      <c r="C78" s="3">
        <v>577</v>
      </c>
      <c r="D78" s="3">
        <f t="shared" si="3"/>
        <v>0</v>
      </c>
      <c r="E78" s="13">
        <f>COUNTIFS($A$12:$A$47,"Cond Ar Split 48.000 BTU/h Cassete")</f>
        <v>0</v>
      </c>
      <c r="F78" s="40">
        <f t="shared" si="2"/>
        <v>0</v>
      </c>
      <c r="G78" s="1"/>
    </row>
    <row r="79" spans="1:7" s="7" customFormat="1" ht="13.5" customHeight="1" x14ac:dyDescent="0.2">
      <c r="A79" s="2" t="s">
        <v>40</v>
      </c>
      <c r="B79" s="39"/>
      <c r="C79" s="3">
        <v>645</v>
      </c>
      <c r="D79" s="3">
        <f t="shared" si="3"/>
        <v>0</v>
      </c>
      <c r="E79" s="13">
        <f>COUNTIFS($A$12:$A$47,"Cond Ar Split 60.000 BTU/h Cassete")</f>
        <v>0</v>
      </c>
      <c r="F79" s="40">
        <f t="shared" si="2"/>
        <v>0</v>
      </c>
      <c r="G79" s="1"/>
    </row>
    <row r="80" spans="1:7" s="7" customFormat="1" ht="13.5" customHeight="1" x14ac:dyDescent="0.2">
      <c r="A80" s="2" t="s">
        <v>41</v>
      </c>
      <c r="B80" s="39"/>
      <c r="C80" s="3">
        <v>147</v>
      </c>
      <c r="D80" s="3">
        <f t="shared" si="3"/>
        <v>0</v>
      </c>
      <c r="E80" s="13">
        <f>COUNTIFS($A$12:$A$47,"Cond Ar Tri Split 36.000 BTU/h (3x12.000)")</f>
        <v>0</v>
      </c>
      <c r="F80" s="40">
        <f t="shared" si="2"/>
        <v>0</v>
      </c>
      <c r="G80" s="1"/>
    </row>
    <row r="81" spans="1:10" s="7" customFormat="1" ht="13.5" customHeight="1" x14ac:dyDescent="0.2">
      <c r="A81" s="2" t="s">
        <v>42</v>
      </c>
      <c r="B81" s="39"/>
      <c r="C81" s="3">
        <v>100</v>
      </c>
      <c r="D81" s="3">
        <f t="shared" si="3"/>
        <v>0</v>
      </c>
      <c r="E81" s="13">
        <f>COUNTIFS($A$12:$A$47,"Cond Ar Portátil 12.000 BTU/h")</f>
        <v>0</v>
      </c>
      <c r="F81" s="40">
        <f t="shared" si="2"/>
        <v>0</v>
      </c>
      <c r="G81" s="1"/>
      <c r="J81" s="15"/>
    </row>
    <row r="82" spans="1:10" s="7" customFormat="1" ht="13.5" customHeight="1" x14ac:dyDescent="0.2">
      <c r="A82" s="36" t="s">
        <v>7</v>
      </c>
      <c r="B82" s="22">
        <f>SUM(B59:B81)</f>
        <v>29</v>
      </c>
      <c r="C82" s="38"/>
      <c r="D82" s="37">
        <f>SUM(D59:D81)</f>
        <v>7979</v>
      </c>
      <c r="E82" s="22">
        <f>SUM(E59:E81)</f>
        <v>27</v>
      </c>
      <c r="F82" s="41">
        <f>SUM(F59:F81)</f>
        <v>2</v>
      </c>
      <c r="G82" s="54"/>
      <c r="J82" s="15"/>
    </row>
    <row r="86" spans="1:10" s="7" customFormat="1" ht="13.5" customHeight="1" x14ac:dyDescent="0.25">
      <c r="B86" s="15"/>
      <c r="F86" s="17"/>
      <c r="J86" s="16"/>
    </row>
  </sheetData>
  <mergeCells count="27">
    <mergeCell ref="A52:C52"/>
    <mergeCell ref="D52:I52"/>
    <mergeCell ref="A56:F56"/>
    <mergeCell ref="A57:D57"/>
    <mergeCell ref="E57:E58"/>
    <mergeCell ref="F57:F58"/>
    <mergeCell ref="A51:C51"/>
    <mergeCell ref="D51:I51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48:I4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3">
    <pageSetUpPr fitToPage="1"/>
  </sheetPr>
  <dimension ref="A1:I24"/>
  <sheetViews>
    <sheetView showGridLines="0" workbookViewId="0">
      <pane ySplit="11" topLeftCell="A12" activePane="bottomLeft" state="frozen"/>
      <selection activeCell="G5" sqref="G5:I5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193</v>
      </c>
      <c r="B8" s="297"/>
      <c r="C8" s="297"/>
      <c r="D8" s="297"/>
      <c r="E8" s="297"/>
      <c r="F8" s="298"/>
    </row>
    <row r="9" spans="1:6" ht="13.5" customHeight="1" x14ac:dyDescent="0.25">
      <c r="A9" s="60" t="s">
        <v>146</v>
      </c>
      <c r="B9" s="270" t="s">
        <v>154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304"/>
      <c r="B12" s="305"/>
      <c r="C12" s="155"/>
      <c r="D12" s="230"/>
      <c r="E12" s="231"/>
      <c r="F12" s="109"/>
    </row>
    <row r="13" spans="1:6" ht="13.5" customHeight="1" x14ac:dyDescent="0.2">
      <c r="A13" s="304"/>
      <c r="B13" s="305"/>
      <c r="C13" s="155"/>
      <c r="D13" s="230"/>
      <c r="E13" s="231"/>
      <c r="F13" s="109"/>
    </row>
    <row r="14" spans="1:6" ht="13.5" customHeight="1" x14ac:dyDescent="0.2">
      <c r="A14" s="299"/>
      <c r="B14" s="300"/>
      <c r="C14" s="155"/>
      <c r="D14" s="230"/>
      <c r="E14" s="231"/>
      <c r="F14" s="109"/>
    </row>
    <row r="15" spans="1:6" ht="13.5" customHeight="1" x14ac:dyDescent="0.2">
      <c r="A15" s="299"/>
      <c r="B15" s="300"/>
      <c r="C15" s="155"/>
      <c r="D15" s="230"/>
      <c r="E15" s="231"/>
      <c r="F15" s="109"/>
    </row>
    <row r="16" spans="1:6" ht="13.5" customHeight="1" x14ac:dyDescent="0.2">
      <c r="A16" s="299"/>
      <c r="B16" s="300"/>
      <c r="C16" s="102"/>
      <c r="D16" s="104"/>
      <c r="E16" s="82"/>
      <c r="F16" s="109"/>
    </row>
    <row r="17" spans="1:9" ht="13.5" customHeight="1" x14ac:dyDescent="0.25">
      <c r="A17" s="271" t="s">
        <v>210</v>
      </c>
      <c r="B17" s="273"/>
      <c r="C17" s="58">
        <f>SUM(C12:C16)</f>
        <v>0</v>
      </c>
      <c r="D17" s="57"/>
      <c r="E17" s="57"/>
      <c r="F17" s="73">
        <f>SUM(F12:F16)</f>
        <v>0</v>
      </c>
    </row>
    <row r="18" spans="1:9" ht="13.5" customHeight="1" x14ac:dyDescent="0.25">
      <c r="A18" s="105"/>
      <c r="B18" s="105"/>
      <c r="C18" s="105"/>
      <c r="D18" s="106"/>
      <c r="E18" s="107"/>
      <c r="F18" s="108"/>
    </row>
    <row r="20" spans="1:9" ht="13.5" customHeight="1" x14ac:dyDescent="0.25">
      <c r="A20" s="289" t="s">
        <v>124</v>
      </c>
      <c r="B20" s="289"/>
      <c r="C20" s="289"/>
      <c r="D20" s="289"/>
      <c r="E20" s="289"/>
      <c r="F20" s="289"/>
      <c r="G20" s="74"/>
      <c r="H20" s="74"/>
      <c r="I20" s="74"/>
    </row>
    <row r="22" spans="1:9" ht="13.5" customHeight="1" x14ac:dyDescent="0.2">
      <c r="A22" s="27" t="s">
        <v>125</v>
      </c>
      <c r="B22" s="27"/>
      <c r="F22" s="110"/>
      <c r="G22" s="10"/>
      <c r="I22" s="111"/>
    </row>
    <row r="23" spans="1:9" ht="60" customHeight="1" x14ac:dyDescent="0.25">
      <c r="A23" s="291"/>
      <c r="B23" s="275"/>
      <c r="C23" s="292"/>
      <c r="D23" s="290"/>
      <c r="E23" s="290"/>
      <c r="F23" s="290"/>
    </row>
    <row r="24" spans="1:9" ht="13.5" customHeight="1" x14ac:dyDescent="0.25">
      <c r="A24" s="274" t="s">
        <v>126</v>
      </c>
      <c r="B24" s="274"/>
      <c r="C24" s="274"/>
      <c r="D24" s="75"/>
      <c r="E24" s="75" t="s">
        <v>127</v>
      </c>
      <c r="F24" s="75"/>
      <c r="G24" s="27"/>
      <c r="H24" s="27"/>
      <c r="I24" s="27"/>
    </row>
  </sheetData>
  <mergeCells count="21">
    <mergeCell ref="A23:C23"/>
    <mergeCell ref="D23:F23"/>
    <mergeCell ref="A24:C24"/>
    <mergeCell ref="A13:B13"/>
    <mergeCell ref="A14:B14"/>
    <mergeCell ref="A15:B15"/>
    <mergeCell ref="A16:B16"/>
    <mergeCell ref="A17:B17"/>
    <mergeCell ref="A20:F20"/>
    <mergeCell ref="E9:F9"/>
    <mergeCell ref="A11:B11"/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4">
    <pageSetUpPr fitToPage="1"/>
  </sheetPr>
  <dimension ref="A1:L142"/>
  <sheetViews>
    <sheetView showGridLines="0" workbookViewId="0">
      <pane ySplit="13" topLeftCell="A98" activePane="bottomLeft" state="frozen"/>
      <selection activeCell="G5" sqref="G5:I5"/>
      <selection pane="bottomLeft" activeCell="G9" sqref="G9:I9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42.85546875" style="15" bestFit="1" customWidth="1"/>
    <col min="11" max="11" width="16.5703125" style="7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129</v>
      </c>
      <c r="B8" s="269"/>
      <c r="C8" s="269"/>
      <c r="D8" s="269"/>
      <c r="E8" s="269"/>
      <c r="F8" s="269"/>
      <c r="G8" s="269"/>
      <c r="H8" s="269"/>
      <c r="I8" s="269"/>
      <c r="J8" s="29"/>
    </row>
    <row r="9" spans="1:11" s="18" customFormat="1" ht="13.5" customHeight="1" x14ac:dyDescent="0.25">
      <c r="A9" s="270" t="s">
        <v>130</v>
      </c>
      <c r="B9" s="270"/>
      <c r="C9" s="271" t="s">
        <v>131</v>
      </c>
      <c r="D9" s="272"/>
      <c r="E9" s="272"/>
      <c r="F9" s="273"/>
      <c r="G9" s="271" t="s">
        <v>989</v>
      </c>
      <c r="H9" s="272"/>
      <c r="I9" s="273"/>
      <c r="J9" s="29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  <c r="K14" s="4"/>
    </row>
    <row r="15" spans="1:11" ht="13.5" customHeight="1" x14ac:dyDescent="0.2">
      <c r="A15" s="2" t="s">
        <v>22</v>
      </c>
      <c r="B15" s="76">
        <v>45601</v>
      </c>
      <c r="C15" s="224">
        <v>16394</v>
      </c>
      <c r="D15" s="20">
        <v>45627</v>
      </c>
      <c r="E15" s="20">
        <v>45631</v>
      </c>
      <c r="F15" s="11">
        <f t="shared" ref="F15:F38" si="0">(E15-D15)+1</f>
        <v>5</v>
      </c>
      <c r="G15" s="12">
        <v>147</v>
      </c>
      <c r="H15" s="13">
        <v>1</v>
      </c>
      <c r="I15" s="233">
        <f t="shared" ref="I15:I38" si="1">G15/30*H15*F15</f>
        <v>24.5</v>
      </c>
      <c r="J15" s="2" t="s">
        <v>877</v>
      </c>
      <c r="K15" s="13">
        <v>70951</v>
      </c>
    </row>
    <row r="16" spans="1:11" ht="13.5" customHeight="1" x14ac:dyDescent="0.2">
      <c r="A16" s="2" t="s">
        <v>22</v>
      </c>
      <c r="B16" s="76">
        <v>45601</v>
      </c>
      <c r="C16" s="55">
        <v>16397</v>
      </c>
      <c r="D16" s="20">
        <v>45658</v>
      </c>
      <c r="E16" s="20">
        <v>45687</v>
      </c>
      <c r="F16" s="11">
        <f t="shared" si="0"/>
        <v>30</v>
      </c>
      <c r="G16" s="12">
        <v>147</v>
      </c>
      <c r="H16" s="13">
        <v>1</v>
      </c>
      <c r="I16" s="233">
        <f t="shared" si="1"/>
        <v>147</v>
      </c>
      <c r="J16" s="2" t="s">
        <v>878</v>
      </c>
      <c r="K16" s="13">
        <v>70951</v>
      </c>
    </row>
    <row r="17" spans="1:11" ht="13.5" customHeight="1" x14ac:dyDescent="0.2">
      <c r="A17" s="2" t="s">
        <v>22</v>
      </c>
      <c r="B17" s="76">
        <v>45604</v>
      </c>
      <c r="C17" s="55">
        <v>16437</v>
      </c>
      <c r="D17" s="20">
        <v>45658</v>
      </c>
      <c r="E17" s="20">
        <v>45687</v>
      </c>
      <c r="F17" s="11">
        <f t="shared" si="0"/>
        <v>30</v>
      </c>
      <c r="G17" s="12">
        <v>147</v>
      </c>
      <c r="H17" s="13">
        <v>1</v>
      </c>
      <c r="I17" s="233">
        <f t="shared" si="1"/>
        <v>147</v>
      </c>
      <c r="J17" s="2" t="s">
        <v>879</v>
      </c>
      <c r="K17" s="13"/>
    </row>
    <row r="18" spans="1:11" ht="13.5" customHeight="1" x14ac:dyDescent="0.2">
      <c r="A18" s="2" t="s">
        <v>22</v>
      </c>
      <c r="B18" s="76">
        <v>45604</v>
      </c>
      <c r="C18" s="55">
        <v>16239</v>
      </c>
      <c r="D18" s="20">
        <v>45658</v>
      </c>
      <c r="E18" s="20">
        <v>45687</v>
      </c>
      <c r="F18" s="11">
        <f t="shared" si="0"/>
        <v>30</v>
      </c>
      <c r="G18" s="12">
        <v>147</v>
      </c>
      <c r="H18" s="13">
        <v>1</v>
      </c>
      <c r="I18" s="233">
        <f t="shared" si="1"/>
        <v>147</v>
      </c>
      <c r="J18" s="2" t="s">
        <v>880</v>
      </c>
      <c r="K18" s="13"/>
    </row>
    <row r="19" spans="1:11" ht="13.5" customHeight="1" x14ac:dyDescent="0.2">
      <c r="A19" s="2" t="s">
        <v>23</v>
      </c>
      <c r="B19" s="76">
        <v>45545</v>
      </c>
      <c r="C19" s="55">
        <v>14584</v>
      </c>
      <c r="D19" s="20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233">
        <f t="shared" si="1"/>
        <v>235</v>
      </c>
      <c r="J19" s="2" t="s">
        <v>881</v>
      </c>
      <c r="K19" s="13">
        <v>67418</v>
      </c>
    </row>
    <row r="20" spans="1:11" ht="13.5" customHeight="1" x14ac:dyDescent="0.2">
      <c r="A20" s="2" t="s">
        <v>23</v>
      </c>
      <c r="B20" s="76">
        <v>45545</v>
      </c>
      <c r="C20" s="55">
        <v>14605</v>
      </c>
      <c r="D20" s="20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233">
        <f t="shared" si="1"/>
        <v>235</v>
      </c>
      <c r="J20" s="2" t="s">
        <v>882</v>
      </c>
      <c r="K20" s="13">
        <v>67418</v>
      </c>
    </row>
    <row r="21" spans="1:11" ht="13.5" customHeight="1" x14ac:dyDescent="0.2">
      <c r="A21" s="2" t="s">
        <v>23</v>
      </c>
      <c r="B21" s="76">
        <v>45538</v>
      </c>
      <c r="C21" s="55">
        <v>14659</v>
      </c>
      <c r="D21" s="20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233">
        <f t="shared" si="1"/>
        <v>235</v>
      </c>
      <c r="J21" s="2" t="s">
        <v>883</v>
      </c>
      <c r="K21" s="13">
        <v>67849</v>
      </c>
    </row>
    <row r="22" spans="1:11" ht="13.5" customHeight="1" x14ac:dyDescent="0.2">
      <c r="A22" s="2" t="s">
        <v>23</v>
      </c>
      <c r="B22" s="76">
        <v>45601</v>
      </c>
      <c r="C22" s="55">
        <v>16166</v>
      </c>
      <c r="D22" s="20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233">
        <f t="shared" si="1"/>
        <v>235</v>
      </c>
      <c r="J22" s="2" t="s">
        <v>884</v>
      </c>
      <c r="K22" s="13">
        <v>70952</v>
      </c>
    </row>
    <row r="23" spans="1:11" ht="13.5" customHeight="1" x14ac:dyDescent="0.2">
      <c r="A23" s="2" t="s">
        <v>24</v>
      </c>
      <c r="B23" s="76">
        <v>45531</v>
      </c>
      <c r="C23" s="55">
        <v>14842</v>
      </c>
      <c r="D23" s="20">
        <v>45658</v>
      </c>
      <c r="E23" s="20">
        <v>45687</v>
      </c>
      <c r="F23" s="11">
        <f t="shared" si="0"/>
        <v>30</v>
      </c>
      <c r="G23" s="12">
        <v>238</v>
      </c>
      <c r="H23" s="13">
        <v>1</v>
      </c>
      <c r="I23" s="233">
        <f t="shared" si="1"/>
        <v>238</v>
      </c>
      <c r="J23" s="2" t="s">
        <v>885</v>
      </c>
      <c r="K23" s="13">
        <v>66943</v>
      </c>
    </row>
    <row r="24" spans="1:11" ht="13.5" customHeight="1" x14ac:dyDescent="0.2">
      <c r="A24" s="2" t="s">
        <v>24</v>
      </c>
      <c r="B24" s="76">
        <v>45534</v>
      </c>
      <c r="C24" s="55">
        <v>14832</v>
      </c>
      <c r="D24" s="20">
        <v>45658</v>
      </c>
      <c r="E24" s="20">
        <v>45687</v>
      </c>
      <c r="F24" s="11">
        <f t="shared" si="0"/>
        <v>30</v>
      </c>
      <c r="G24" s="12">
        <v>238</v>
      </c>
      <c r="H24" s="13">
        <v>1</v>
      </c>
      <c r="I24" s="233">
        <f t="shared" si="1"/>
        <v>238</v>
      </c>
      <c r="J24" s="2" t="s">
        <v>886</v>
      </c>
      <c r="K24" s="13">
        <v>66978</v>
      </c>
    </row>
    <row r="25" spans="1:11" ht="13.5" customHeight="1" x14ac:dyDescent="0.2">
      <c r="A25" s="2" t="s">
        <v>24</v>
      </c>
      <c r="B25" s="76">
        <v>45604</v>
      </c>
      <c r="C25" s="55">
        <v>16499</v>
      </c>
      <c r="D25" s="20">
        <v>45658</v>
      </c>
      <c r="E25" s="20">
        <v>45687</v>
      </c>
      <c r="F25" s="11">
        <f t="shared" si="0"/>
        <v>30</v>
      </c>
      <c r="G25" s="12">
        <v>238</v>
      </c>
      <c r="H25" s="13">
        <v>1</v>
      </c>
      <c r="I25" s="233">
        <f t="shared" si="1"/>
        <v>238</v>
      </c>
      <c r="J25" s="2" t="s">
        <v>887</v>
      </c>
      <c r="K25" s="13"/>
    </row>
    <row r="26" spans="1:11" ht="13.5" customHeight="1" x14ac:dyDescent="0.2">
      <c r="A26" s="2" t="s">
        <v>24</v>
      </c>
      <c r="B26" s="76">
        <v>45618</v>
      </c>
      <c r="C26" s="55">
        <v>16562</v>
      </c>
      <c r="D26" s="20">
        <v>45658</v>
      </c>
      <c r="E26" s="20">
        <v>45687</v>
      </c>
      <c r="F26" s="11">
        <f>(E26-D26)+1</f>
        <v>30</v>
      </c>
      <c r="G26" s="12">
        <v>238</v>
      </c>
      <c r="H26" s="13">
        <v>1</v>
      </c>
      <c r="I26" s="233">
        <f>G26/30*H26*F26</f>
        <v>238</v>
      </c>
      <c r="J26" s="2" t="s">
        <v>888</v>
      </c>
      <c r="K26" s="13">
        <v>71872</v>
      </c>
    </row>
    <row r="27" spans="1:11" ht="13.5" customHeight="1" x14ac:dyDescent="0.2">
      <c r="A27" s="2" t="s">
        <v>24</v>
      </c>
      <c r="B27" s="76">
        <v>45618</v>
      </c>
      <c r="C27" s="55">
        <v>16653</v>
      </c>
      <c r="D27" s="20">
        <v>45658</v>
      </c>
      <c r="E27" s="20">
        <v>45687</v>
      </c>
      <c r="F27" s="11">
        <f t="shared" ref="F27:F29" si="2">(E27-D27)+1</f>
        <v>30</v>
      </c>
      <c r="G27" s="12">
        <v>238</v>
      </c>
      <c r="H27" s="13">
        <v>1</v>
      </c>
      <c r="I27" s="233">
        <f t="shared" ref="I27:I29" si="3">G27/30*H27*F27</f>
        <v>238</v>
      </c>
      <c r="J27" s="2" t="s">
        <v>889</v>
      </c>
      <c r="K27" s="13"/>
    </row>
    <row r="28" spans="1:11" ht="13.5" customHeight="1" x14ac:dyDescent="0.2">
      <c r="A28" s="2" t="s">
        <v>24</v>
      </c>
      <c r="B28" s="76">
        <v>45618</v>
      </c>
      <c r="C28" s="55">
        <v>16496</v>
      </c>
      <c r="D28" s="20">
        <v>45658</v>
      </c>
      <c r="E28" s="20">
        <v>45687</v>
      </c>
      <c r="F28" s="11">
        <f t="shared" si="2"/>
        <v>30</v>
      </c>
      <c r="G28" s="12">
        <v>238</v>
      </c>
      <c r="H28" s="13">
        <v>1</v>
      </c>
      <c r="I28" s="233">
        <f t="shared" si="3"/>
        <v>238</v>
      </c>
      <c r="J28" s="2" t="s">
        <v>890</v>
      </c>
      <c r="K28" s="13"/>
    </row>
    <row r="29" spans="1:11" ht="13.5" customHeight="1" x14ac:dyDescent="0.2">
      <c r="A29" s="2" t="s">
        <v>24</v>
      </c>
      <c r="B29" s="76">
        <v>45618</v>
      </c>
      <c r="C29" s="55">
        <v>16657</v>
      </c>
      <c r="D29" s="20">
        <v>45658</v>
      </c>
      <c r="E29" s="20">
        <v>45687</v>
      </c>
      <c r="F29" s="11">
        <f t="shared" si="2"/>
        <v>30</v>
      </c>
      <c r="G29" s="12">
        <v>238</v>
      </c>
      <c r="H29" s="13">
        <v>1</v>
      </c>
      <c r="I29" s="233">
        <f t="shared" si="3"/>
        <v>238</v>
      </c>
      <c r="J29" s="2" t="s">
        <v>891</v>
      </c>
      <c r="K29" s="13">
        <v>70953</v>
      </c>
    </row>
    <row r="30" spans="1:11" ht="13.5" customHeight="1" x14ac:dyDescent="0.2">
      <c r="A30" s="2" t="s">
        <v>24</v>
      </c>
      <c r="B30" s="76">
        <v>45621</v>
      </c>
      <c r="C30" s="55">
        <v>16652</v>
      </c>
      <c r="D30" s="20">
        <v>45658</v>
      </c>
      <c r="E30" s="20">
        <v>45687</v>
      </c>
      <c r="F30" s="11">
        <f>(E30-D30)+1</f>
        <v>30</v>
      </c>
      <c r="G30" s="12">
        <v>238</v>
      </c>
      <c r="H30" s="13">
        <v>1</v>
      </c>
      <c r="I30" s="233">
        <f>G30/30*H30*F30</f>
        <v>238</v>
      </c>
      <c r="J30" s="2" t="s">
        <v>892</v>
      </c>
      <c r="K30" s="13">
        <v>71871</v>
      </c>
    </row>
    <row r="31" spans="1:11" ht="13.5" customHeight="1" x14ac:dyDescent="0.2">
      <c r="A31" s="2" t="s">
        <v>24</v>
      </c>
      <c r="B31" s="76">
        <v>45621</v>
      </c>
      <c r="C31" s="55">
        <v>16560</v>
      </c>
      <c r="D31" s="20">
        <v>45658</v>
      </c>
      <c r="E31" s="20">
        <v>45687</v>
      </c>
      <c r="F31" s="11">
        <f>(E31-D31)+1</f>
        <v>30</v>
      </c>
      <c r="G31" s="12">
        <v>238</v>
      </c>
      <c r="H31" s="13">
        <v>1</v>
      </c>
      <c r="I31" s="233">
        <f>G31/30*H31*F31</f>
        <v>238</v>
      </c>
      <c r="J31" s="2" t="s">
        <v>892</v>
      </c>
      <c r="K31" s="13">
        <v>71871</v>
      </c>
    </row>
    <row r="32" spans="1:11" ht="13.5" customHeight="1" x14ac:dyDescent="0.2">
      <c r="A32" s="2" t="s">
        <v>25</v>
      </c>
      <c r="B32" s="76">
        <v>45539</v>
      </c>
      <c r="C32" s="55">
        <v>10855</v>
      </c>
      <c r="D32" s="20">
        <v>45658</v>
      </c>
      <c r="E32" s="20">
        <v>45687</v>
      </c>
      <c r="F32" s="11">
        <f t="shared" si="0"/>
        <v>30</v>
      </c>
      <c r="G32" s="12">
        <v>242</v>
      </c>
      <c r="H32" s="13">
        <v>1</v>
      </c>
      <c r="I32" s="233">
        <f t="shared" si="1"/>
        <v>242</v>
      </c>
      <c r="J32" s="2" t="s">
        <v>893</v>
      </c>
      <c r="K32" s="13">
        <v>66978</v>
      </c>
    </row>
    <row r="33" spans="1:12" ht="13.5" customHeight="1" x14ac:dyDescent="0.2">
      <c r="A33" s="2" t="s">
        <v>25</v>
      </c>
      <c r="B33" s="76">
        <v>45541</v>
      </c>
      <c r="C33" s="55">
        <v>10055</v>
      </c>
      <c r="D33" s="20">
        <v>45658</v>
      </c>
      <c r="E33" s="20">
        <v>45687</v>
      </c>
      <c r="F33" s="11">
        <f t="shared" si="0"/>
        <v>30</v>
      </c>
      <c r="G33" s="12">
        <v>242</v>
      </c>
      <c r="H33" s="13">
        <v>1</v>
      </c>
      <c r="I33" s="233">
        <f t="shared" si="1"/>
        <v>242</v>
      </c>
      <c r="J33" s="2" t="s">
        <v>894</v>
      </c>
      <c r="K33" s="13">
        <v>67451</v>
      </c>
    </row>
    <row r="34" spans="1:12" ht="13.5" customHeight="1" x14ac:dyDescent="0.2">
      <c r="A34" s="2" t="s">
        <v>25</v>
      </c>
      <c r="B34" s="76">
        <v>45548</v>
      </c>
      <c r="C34" s="55">
        <v>12914</v>
      </c>
      <c r="D34" s="20">
        <v>45658</v>
      </c>
      <c r="E34" s="20">
        <v>45687</v>
      </c>
      <c r="F34" s="11">
        <f t="shared" si="0"/>
        <v>30</v>
      </c>
      <c r="G34" s="12">
        <v>242</v>
      </c>
      <c r="H34" s="13">
        <v>1</v>
      </c>
      <c r="I34" s="233">
        <f t="shared" si="1"/>
        <v>242</v>
      </c>
      <c r="J34" s="2" t="s">
        <v>895</v>
      </c>
      <c r="K34" s="13">
        <v>67451</v>
      </c>
    </row>
    <row r="35" spans="1:12" ht="13.5" customHeight="1" x14ac:dyDescent="0.2">
      <c r="A35" s="2" t="s">
        <v>26</v>
      </c>
      <c r="B35" s="76">
        <v>45617</v>
      </c>
      <c r="C35" s="55">
        <v>16538</v>
      </c>
      <c r="D35" s="20">
        <v>45658</v>
      </c>
      <c r="E35" s="20">
        <v>45687</v>
      </c>
      <c r="F35" s="11">
        <f t="shared" si="0"/>
        <v>30</v>
      </c>
      <c r="G35" s="12">
        <v>260</v>
      </c>
      <c r="H35" s="13">
        <v>1</v>
      </c>
      <c r="I35" s="233">
        <f t="shared" si="1"/>
        <v>260</v>
      </c>
      <c r="J35" s="2" t="s">
        <v>894</v>
      </c>
      <c r="K35" s="13"/>
      <c r="L35" s="7" t="s">
        <v>896</v>
      </c>
    </row>
    <row r="36" spans="1:12" ht="13.5" customHeight="1" x14ac:dyDescent="0.2">
      <c r="A36" s="234" t="s">
        <v>30</v>
      </c>
      <c r="B36" s="76">
        <v>45618</v>
      </c>
      <c r="C36" s="239">
        <v>12880</v>
      </c>
      <c r="D36" s="20">
        <v>45658</v>
      </c>
      <c r="E36" s="20">
        <v>45687</v>
      </c>
      <c r="F36" s="11">
        <f t="shared" si="0"/>
        <v>30</v>
      </c>
      <c r="G36" s="12">
        <v>367</v>
      </c>
      <c r="H36" s="13">
        <v>1</v>
      </c>
      <c r="I36" s="233">
        <f t="shared" si="1"/>
        <v>367</v>
      </c>
      <c r="J36" s="2" t="s">
        <v>897</v>
      </c>
      <c r="K36" s="13">
        <v>71196</v>
      </c>
    </row>
    <row r="37" spans="1:12" ht="13.5" customHeight="1" x14ac:dyDescent="0.2">
      <c r="A37" s="2" t="s">
        <v>31</v>
      </c>
      <c r="B37" s="76">
        <v>45566</v>
      </c>
      <c r="C37" s="219">
        <v>7491</v>
      </c>
      <c r="D37" s="20">
        <v>45658</v>
      </c>
      <c r="E37" s="20">
        <v>45687</v>
      </c>
      <c r="F37" s="11">
        <f t="shared" si="0"/>
        <v>30</v>
      </c>
      <c r="G37" s="235">
        <v>367</v>
      </c>
      <c r="H37" s="205">
        <v>1</v>
      </c>
      <c r="I37" s="233">
        <f t="shared" si="1"/>
        <v>367</v>
      </c>
      <c r="J37" s="2" t="s">
        <v>637</v>
      </c>
      <c r="K37" s="205" t="s">
        <v>638</v>
      </c>
    </row>
    <row r="38" spans="1:12" ht="13.5" customHeight="1" x14ac:dyDescent="0.2">
      <c r="A38" s="2" t="s">
        <v>34</v>
      </c>
      <c r="B38" s="76">
        <v>45573</v>
      </c>
      <c r="C38" s="219">
        <v>15993</v>
      </c>
      <c r="D38" s="20">
        <v>45658</v>
      </c>
      <c r="E38" s="20">
        <v>45687</v>
      </c>
      <c r="F38" s="11">
        <f t="shared" si="0"/>
        <v>30</v>
      </c>
      <c r="G38" s="235">
        <v>597</v>
      </c>
      <c r="H38" s="205">
        <v>1</v>
      </c>
      <c r="I38" s="233">
        <f t="shared" si="1"/>
        <v>597</v>
      </c>
      <c r="J38" s="2" t="s">
        <v>898</v>
      </c>
      <c r="K38" s="205">
        <v>68369</v>
      </c>
    </row>
    <row r="39" spans="1:12" ht="13.5" customHeight="1" x14ac:dyDescent="0.2">
      <c r="A39" s="2" t="s">
        <v>34</v>
      </c>
      <c r="B39" s="76">
        <v>45537</v>
      </c>
      <c r="C39" s="224">
        <v>15992</v>
      </c>
      <c r="D39" s="20">
        <v>45627</v>
      </c>
      <c r="E39" s="20">
        <v>45631</v>
      </c>
      <c r="F39" s="11">
        <f>(E39-D39)+1</f>
        <v>5</v>
      </c>
      <c r="G39" s="235">
        <v>597</v>
      </c>
      <c r="H39" s="205">
        <v>1</v>
      </c>
      <c r="I39" s="233">
        <f>G39/30*H39*F39</f>
        <v>99.5</v>
      </c>
      <c r="J39" s="2" t="s">
        <v>898</v>
      </c>
      <c r="K39" s="205">
        <v>68369</v>
      </c>
    </row>
    <row r="40" spans="1:12" ht="13.5" customHeight="1" x14ac:dyDescent="0.2">
      <c r="A40" s="2"/>
      <c r="B40" s="76"/>
      <c r="C40" s="55"/>
      <c r="D40" s="20"/>
      <c r="E40" s="20"/>
      <c r="F40" s="11"/>
      <c r="G40" s="235"/>
      <c r="H40" s="205"/>
      <c r="I40" s="233"/>
      <c r="J40" s="2"/>
      <c r="K40" s="205"/>
    </row>
    <row r="41" spans="1:12" ht="13.5" customHeight="1" x14ac:dyDescent="0.25">
      <c r="A41" s="21" t="s">
        <v>899</v>
      </c>
      <c r="B41" s="26"/>
      <c r="C41" s="196"/>
      <c r="D41" s="23"/>
      <c r="E41" s="23"/>
      <c r="F41" s="24"/>
      <c r="G41" s="23"/>
      <c r="H41" s="22">
        <f>SUM(H15:H40)</f>
        <v>25</v>
      </c>
      <c r="I41" s="65">
        <f>SUM(I15:I40)</f>
        <v>5964</v>
      </c>
      <c r="J41" s="33"/>
      <c r="K41" s="33"/>
    </row>
    <row r="42" spans="1:12" ht="13.5" customHeight="1" x14ac:dyDescent="0.25">
      <c r="C42" s="195"/>
      <c r="D42" s="8"/>
      <c r="E42" s="8"/>
      <c r="F42" s="9"/>
      <c r="G42" s="10"/>
      <c r="I42" s="10"/>
      <c r="J42" s="4"/>
    </row>
    <row r="43" spans="1:12" ht="13.5" customHeight="1" x14ac:dyDescent="0.2">
      <c r="A43" s="2" t="s">
        <v>22</v>
      </c>
      <c r="B43" s="76">
        <v>45537</v>
      </c>
      <c r="C43" s="55">
        <v>14408</v>
      </c>
      <c r="D43" s="20">
        <v>45658</v>
      </c>
      <c r="E43" s="20">
        <v>45687</v>
      </c>
      <c r="F43" s="11">
        <f>(E43-D43)+1</f>
        <v>30</v>
      </c>
      <c r="G43" s="12">
        <v>147</v>
      </c>
      <c r="H43" s="13">
        <v>1</v>
      </c>
      <c r="I43" s="233">
        <f>G43/30*H43*F43</f>
        <v>147</v>
      </c>
      <c r="J43" s="2" t="s">
        <v>900</v>
      </c>
      <c r="K43" s="13">
        <v>67418</v>
      </c>
    </row>
    <row r="44" spans="1:12" ht="13.5" customHeight="1" x14ac:dyDescent="0.2">
      <c r="A44" s="2" t="s">
        <v>22</v>
      </c>
      <c r="B44" s="76">
        <v>45544</v>
      </c>
      <c r="C44" s="55">
        <v>14440</v>
      </c>
      <c r="D44" s="20">
        <v>45658</v>
      </c>
      <c r="E44" s="20">
        <v>45687</v>
      </c>
      <c r="F44" s="11">
        <f>(E44-D44)+1</f>
        <v>30</v>
      </c>
      <c r="G44" s="12">
        <v>147</v>
      </c>
      <c r="H44" s="13">
        <v>1</v>
      </c>
      <c r="I44" s="233">
        <f>G44/30*H44*F44</f>
        <v>147</v>
      </c>
      <c r="J44" s="2" t="s">
        <v>901</v>
      </c>
      <c r="K44" s="13">
        <v>68310</v>
      </c>
    </row>
    <row r="45" spans="1:12" ht="13.5" customHeight="1" x14ac:dyDescent="0.2">
      <c r="A45" s="2" t="s">
        <v>22</v>
      </c>
      <c r="B45" s="76">
        <v>45545</v>
      </c>
      <c r="C45" s="55">
        <v>14443</v>
      </c>
      <c r="D45" s="20">
        <v>45658</v>
      </c>
      <c r="E45" s="20">
        <v>45687</v>
      </c>
      <c r="F45" s="11">
        <f>(E45-D45)+1</f>
        <v>30</v>
      </c>
      <c r="G45" s="12">
        <v>147</v>
      </c>
      <c r="H45" s="13">
        <v>1</v>
      </c>
      <c r="I45" s="233">
        <f>G45/30*H45*F45</f>
        <v>147</v>
      </c>
      <c r="J45" s="2" t="s">
        <v>902</v>
      </c>
      <c r="K45" s="13">
        <v>68310</v>
      </c>
    </row>
    <row r="46" spans="1:12" ht="13.5" customHeight="1" x14ac:dyDescent="0.2">
      <c r="A46" s="2" t="s">
        <v>22</v>
      </c>
      <c r="B46" s="76">
        <v>45553</v>
      </c>
      <c r="C46" s="55">
        <v>14399</v>
      </c>
      <c r="D46" s="20">
        <v>45658</v>
      </c>
      <c r="E46" s="20">
        <v>45687</v>
      </c>
      <c r="F46" s="11">
        <f>(E46-D46)+1</f>
        <v>30</v>
      </c>
      <c r="G46" s="12">
        <v>147</v>
      </c>
      <c r="H46" s="13">
        <v>1</v>
      </c>
      <c r="I46" s="233">
        <f>G46/30*H46*F46</f>
        <v>147</v>
      </c>
      <c r="J46" s="2" t="s">
        <v>903</v>
      </c>
      <c r="K46" s="13">
        <v>67845</v>
      </c>
    </row>
    <row r="47" spans="1:12" ht="13.5" customHeight="1" x14ac:dyDescent="0.2">
      <c r="A47" s="2" t="s">
        <v>22</v>
      </c>
      <c r="B47" s="76">
        <v>45553</v>
      </c>
      <c r="C47" s="55">
        <v>14418</v>
      </c>
      <c r="D47" s="20">
        <v>45658</v>
      </c>
      <c r="E47" s="20">
        <v>45687</v>
      </c>
      <c r="F47" s="11">
        <f>(E47-D47)+1</f>
        <v>30</v>
      </c>
      <c r="G47" s="12">
        <v>147</v>
      </c>
      <c r="H47" s="13">
        <v>1</v>
      </c>
      <c r="I47" s="233">
        <f>G47/30*H47*F47</f>
        <v>147</v>
      </c>
      <c r="J47" s="2" t="s">
        <v>904</v>
      </c>
      <c r="K47" s="13">
        <v>67845</v>
      </c>
    </row>
    <row r="48" spans="1:12" ht="13.5" customHeight="1" x14ac:dyDescent="0.2">
      <c r="A48" s="2" t="s">
        <v>22</v>
      </c>
      <c r="B48" s="76">
        <v>45544</v>
      </c>
      <c r="C48" s="55">
        <v>14439</v>
      </c>
      <c r="D48" s="20">
        <v>45658</v>
      </c>
      <c r="E48" s="20">
        <v>45687</v>
      </c>
      <c r="F48" s="11">
        <v>30</v>
      </c>
      <c r="G48" s="12">
        <v>147</v>
      </c>
      <c r="H48" s="13">
        <v>1</v>
      </c>
      <c r="I48" s="233">
        <v>147</v>
      </c>
      <c r="J48" s="2" t="s">
        <v>905</v>
      </c>
      <c r="K48" s="13">
        <v>68310</v>
      </c>
    </row>
    <row r="49" spans="1:11" ht="13.5" customHeight="1" x14ac:dyDescent="0.2">
      <c r="A49" s="2" t="s">
        <v>22</v>
      </c>
      <c r="B49" s="76">
        <v>45553</v>
      </c>
      <c r="C49" s="55">
        <v>14419</v>
      </c>
      <c r="D49" s="20">
        <v>45658</v>
      </c>
      <c r="E49" s="20">
        <v>45687</v>
      </c>
      <c r="F49" s="11">
        <v>30</v>
      </c>
      <c r="G49" s="12">
        <v>147</v>
      </c>
      <c r="H49" s="13">
        <v>1</v>
      </c>
      <c r="I49" s="233">
        <v>147</v>
      </c>
      <c r="J49" s="2" t="s">
        <v>906</v>
      </c>
      <c r="K49" s="13">
        <v>67845</v>
      </c>
    </row>
    <row r="50" spans="1:11" ht="13.5" customHeight="1" x14ac:dyDescent="0.2">
      <c r="A50" s="2" t="s">
        <v>22</v>
      </c>
      <c r="B50" s="76">
        <v>45554</v>
      </c>
      <c r="C50" s="55">
        <v>14420</v>
      </c>
      <c r="D50" s="20">
        <v>45658</v>
      </c>
      <c r="E50" s="20">
        <v>45687</v>
      </c>
      <c r="F50" s="11">
        <v>30</v>
      </c>
      <c r="G50" s="12">
        <v>147</v>
      </c>
      <c r="H50" s="13">
        <v>1</v>
      </c>
      <c r="I50" s="233">
        <v>147</v>
      </c>
      <c r="J50" s="2" t="s">
        <v>907</v>
      </c>
      <c r="K50" s="13">
        <v>67845</v>
      </c>
    </row>
    <row r="51" spans="1:11" ht="13.5" customHeight="1" x14ac:dyDescent="0.2">
      <c r="A51" s="2" t="s">
        <v>22</v>
      </c>
      <c r="B51" s="76">
        <v>45544</v>
      </c>
      <c r="C51" s="55">
        <v>14445</v>
      </c>
      <c r="D51" s="20">
        <v>45658</v>
      </c>
      <c r="E51" s="20">
        <v>45687</v>
      </c>
      <c r="F51" s="11">
        <f t="shared" ref="F51:F62" si="4">(E51-D51)+1</f>
        <v>30</v>
      </c>
      <c r="G51" s="12">
        <v>147</v>
      </c>
      <c r="H51" s="13">
        <v>1</v>
      </c>
      <c r="I51" s="233">
        <f t="shared" ref="I51:I62" si="5">G51/30*H51*F51</f>
        <v>147</v>
      </c>
      <c r="J51" s="2" t="s">
        <v>908</v>
      </c>
      <c r="K51" s="13">
        <v>67845</v>
      </c>
    </row>
    <row r="52" spans="1:11" ht="13.5" customHeight="1" x14ac:dyDescent="0.2">
      <c r="A52" s="2" t="s">
        <v>22</v>
      </c>
      <c r="B52" s="76">
        <v>45544</v>
      </c>
      <c r="C52" s="55">
        <v>14444</v>
      </c>
      <c r="D52" s="20">
        <v>45658</v>
      </c>
      <c r="E52" s="20">
        <v>45687</v>
      </c>
      <c r="F52" s="11">
        <f t="shared" si="4"/>
        <v>30</v>
      </c>
      <c r="G52" s="12">
        <v>147</v>
      </c>
      <c r="H52" s="13">
        <v>1</v>
      </c>
      <c r="I52" s="233">
        <f t="shared" si="5"/>
        <v>147</v>
      </c>
      <c r="J52" s="2" t="s">
        <v>909</v>
      </c>
      <c r="K52" s="13">
        <v>68310</v>
      </c>
    </row>
    <row r="53" spans="1:11" ht="13.5" customHeight="1" x14ac:dyDescent="0.2">
      <c r="A53" s="2" t="s">
        <v>22</v>
      </c>
      <c r="B53" s="76">
        <v>45601</v>
      </c>
      <c r="C53" s="55">
        <v>16396</v>
      </c>
      <c r="D53" s="20">
        <v>45658</v>
      </c>
      <c r="E53" s="20">
        <v>45687</v>
      </c>
      <c r="F53" s="11">
        <f t="shared" si="4"/>
        <v>30</v>
      </c>
      <c r="G53" s="12">
        <v>147</v>
      </c>
      <c r="H53" s="13">
        <v>1</v>
      </c>
      <c r="I53" s="233">
        <f t="shared" si="5"/>
        <v>147</v>
      </c>
      <c r="J53" s="2" t="s">
        <v>910</v>
      </c>
      <c r="K53" s="13"/>
    </row>
    <row r="54" spans="1:11" ht="13.5" customHeight="1" x14ac:dyDescent="0.2">
      <c r="A54" s="2" t="s">
        <v>22</v>
      </c>
      <c r="B54" s="76">
        <v>45600</v>
      </c>
      <c r="C54" s="55">
        <v>16393</v>
      </c>
      <c r="D54" s="20">
        <v>45658</v>
      </c>
      <c r="E54" s="20">
        <v>45687</v>
      </c>
      <c r="F54" s="11">
        <f t="shared" si="4"/>
        <v>30</v>
      </c>
      <c r="G54" s="12">
        <v>147</v>
      </c>
      <c r="H54" s="13">
        <v>1</v>
      </c>
      <c r="I54" s="233">
        <f t="shared" si="5"/>
        <v>147</v>
      </c>
      <c r="J54" s="2" t="s">
        <v>911</v>
      </c>
      <c r="K54" s="13">
        <v>70951</v>
      </c>
    </row>
    <row r="55" spans="1:11" ht="13.5" customHeight="1" x14ac:dyDescent="0.2">
      <c r="A55" s="2" t="s">
        <v>22</v>
      </c>
      <c r="B55" s="76">
        <v>45600</v>
      </c>
      <c r="C55" s="55">
        <v>16395</v>
      </c>
      <c r="D55" s="20">
        <v>45658</v>
      </c>
      <c r="E55" s="20">
        <v>45687</v>
      </c>
      <c r="F55" s="11">
        <f t="shared" si="4"/>
        <v>30</v>
      </c>
      <c r="G55" s="12">
        <v>147</v>
      </c>
      <c r="H55" s="13">
        <v>1</v>
      </c>
      <c r="I55" s="233">
        <f t="shared" si="5"/>
        <v>147</v>
      </c>
      <c r="J55" s="2" t="s">
        <v>912</v>
      </c>
      <c r="K55" s="13">
        <v>71196</v>
      </c>
    </row>
    <row r="56" spans="1:11" ht="13.5" customHeight="1" x14ac:dyDescent="0.2">
      <c r="A56" s="2" t="s">
        <v>23</v>
      </c>
      <c r="B56" s="76">
        <v>45530</v>
      </c>
      <c r="C56" s="55">
        <v>14595</v>
      </c>
      <c r="D56" s="20">
        <v>45658</v>
      </c>
      <c r="E56" s="20">
        <v>45687</v>
      </c>
      <c r="F56" s="11">
        <f t="shared" si="4"/>
        <v>30</v>
      </c>
      <c r="G56" s="12">
        <v>235</v>
      </c>
      <c r="H56" s="13">
        <v>1</v>
      </c>
      <c r="I56" s="233">
        <f t="shared" si="5"/>
        <v>235</v>
      </c>
      <c r="J56" s="2" t="s">
        <v>913</v>
      </c>
      <c r="K56" s="13">
        <v>66943</v>
      </c>
    </row>
    <row r="57" spans="1:11" ht="13.5" customHeight="1" x14ac:dyDescent="0.2">
      <c r="A57" s="2" t="s">
        <v>23</v>
      </c>
      <c r="B57" s="76">
        <v>45530</v>
      </c>
      <c r="C57" s="55">
        <v>14580</v>
      </c>
      <c r="D57" s="20">
        <v>45658</v>
      </c>
      <c r="E57" s="20">
        <v>45687</v>
      </c>
      <c r="F57" s="11">
        <f t="shared" si="4"/>
        <v>30</v>
      </c>
      <c r="G57" s="12">
        <v>235</v>
      </c>
      <c r="H57" s="13">
        <v>1</v>
      </c>
      <c r="I57" s="233">
        <f t="shared" si="5"/>
        <v>235</v>
      </c>
      <c r="J57" s="2" t="s">
        <v>914</v>
      </c>
      <c r="K57" s="13">
        <v>66943</v>
      </c>
    </row>
    <row r="58" spans="1:11" ht="13.5" customHeight="1" x14ac:dyDescent="0.2">
      <c r="A58" s="2" t="s">
        <v>23</v>
      </c>
      <c r="B58" s="76">
        <v>45537</v>
      </c>
      <c r="C58" s="55">
        <v>14657</v>
      </c>
      <c r="D58" s="20">
        <v>45658</v>
      </c>
      <c r="E58" s="20">
        <v>45687</v>
      </c>
      <c r="F58" s="11">
        <f t="shared" si="4"/>
        <v>30</v>
      </c>
      <c r="G58" s="12">
        <v>235</v>
      </c>
      <c r="H58" s="13">
        <v>1</v>
      </c>
      <c r="I58" s="233">
        <f t="shared" si="5"/>
        <v>235</v>
      </c>
      <c r="J58" s="2" t="s">
        <v>915</v>
      </c>
      <c r="K58" s="13">
        <v>67418</v>
      </c>
    </row>
    <row r="59" spans="1:11" ht="13.5" customHeight="1" x14ac:dyDescent="0.2">
      <c r="A59" s="2" t="s">
        <v>23</v>
      </c>
      <c r="B59" s="76">
        <v>45552</v>
      </c>
      <c r="C59" s="55">
        <v>14607</v>
      </c>
      <c r="D59" s="20">
        <v>45658</v>
      </c>
      <c r="E59" s="20">
        <v>45687</v>
      </c>
      <c r="F59" s="11">
        <f t="shared" si="4"/>
        <v>30</v>
      </c>
      <c r="G59" s="12">
        <v>235</v>
      </c>
      <c r="H59" s="13">
        <v>1</v>
      </c>
      <c r="I59" s="233">
        <f t="shared" si="5"/>
        <v>235</v>
      </c>
      <c r="J59" s="2" t="s">
        <v>916</v>
      </c>
      <c r="K59" s="13">
        <v>67847</v>
      </c>
    </row>
    <row r="60" spans="1:11" ht="13.5" customHeight="1" x14ac:dyDescent="0.2">
      <c r="A60" s="2" t="s">
        <v>23</v>
      </c>
      <c r="B60" s="76">
        <v>45527</v>
      </c>
      <c r="C60" s="55">
        <v>14606</v>
      </c>
      <c r="D60" s="20">
        <v>45658</v>
      </c>
      <c r="E60" s="20">
        <v>45687</v>
      </c>
      <c r="F60" s="11">
        <f t="shared" si="4"/>
        <v>30</v>
      </c>
      <c r="G60" s="12">
        <v>235</v>
      </c>
      <c r="H60" s="13">
        <v>1</v>
      </c>
      <c r="I60" s="233">
        <f t="shared" si="5"/>
        <v>235</v>
      </c>
      <c r="J60" s="2" t="s">
        <v>917</v>
      </c>
      <c r="K60" s="13">
        <v>66943</v>
      </c>
    </row>
    <row r="61" spans="1:11" ht="13.5" customHeight="1" x14ac:dyDescent="0.2">
      <c r="A61" s="2" t="s">
        <v>23</v>
      </c>
      <c r="B61" s="76">
        <v>45527</v>
      </c>
      <c r="C61" s="55">
        <v>14639</v>
      </c>
      <c r="D61" s="20">
        <v>45658</v>
      </c>
      <c r="E61" s="20">
        <v>45687</v>
      </c>
      <c r="F61" s="11">
        <f t="shared" si="4"/>
        <v>30</v>
      </c>
      <c r="G61" s="12">
        <v>235</v>
      </c>
      <c r="H61" s="13">
        <v>1</v>
      </c>
      <c r="I61" s="233">
        <f t="shared" si="5"/>
        <v>235</v>
      </c>
      <c r="J61" s="2" t="s">
        <v>918</v>
      </c>
      <c r="K61" s="13">
        <v>66943</v>
      </c>
    </row>
    <row r="62" spans="1:11" ht="13.5" customHeight="1" x14ac:dyDescent="0.2">
      <c r="A62" s="2" t="s">
        <v>23</v>
      </c>
      <c r="B62" s="76">
        <v>45531</v>
      </c>
      <c r="C62" s="55">
        <v>14579</v>
      </c>
      <c r="D62" s="20">
        <v>45658</v>
      </c>
      <c r="E62" s="20">
        <v>45687</v>
      </c>
      <c r="F62" s="11">
        <f t="shared" si="4"/>
        <v>30</v>
      </c>
      <c r="G62" s="12">
        <v>235</v>
      </c>
      <c r="H62" s="13">
        <v>1</v>
      </c>
      <c r="I62" s="233">
        <f t="shared" si="5"/>
        <v>235</v>
      </c>
      <c r="J62" s="2" t="s">
        <v>919</v>
      </c>
      <c r="K62" s="13">
        <v>66943</v>
      </c>
    </row>
    <row r="63" spans="1:11" ht="13.5" customHeight="1" x14ac:dyDescent="0.2">
      <c r="A63" s="2" t="s">
        <v>23</v>
      </c>
      <c r="B63" s="76">
        <v>45546</v>
      </c>
      <c r="C63" s="55">
        <v>14603</v>
      </c>
      <c r="D63" s="20">
        <v>45658</v>
      </c>
      <c r="E63" s="20">
        <v>45687</v>
      </c>
      <c r="F63" s="11">
        <f>(E63-D63)+1</f>
        <v>30</v>
      </c>
      <c r="G63" s="12">
        <v>235</v>
      </c>
      <c r="H63" s="13">
        <v>1</v>
      </c>
      <c r="I63" s="233">
        <f>G63/30*H63*F63</f>
        <v>235</v>
      </c>
      <c r="J63" s="2" t="s">
        <v>920</v>
      </c>
      <c r="K63" s="13">
        <v>67847</v>
      </c>
    </row>
    <row r="64" spans="1:11" ht="13.5" customHeight="1" x14ac:dyDescent="0.2">
      <c r="A64" s="2" t="s">
        <v>23</v>
      </c>
      <c r="B64" s="76">
        <v>45546</v>
      </c>
      <c r="C64" s="55">
        <v>14582</v>
      </c>
      <c r="D64" s="20">
        <v>45658</v>
      </c>
      <c r="E64" s="20">
        <v>45687</v>
      </c>
      <c r="F64" s="11">
        <f>(E64-D64)+1</f>
        <v>30</v>
      </c>
      <c r="G64" s="12">
        <v>235</v>
      </c>
      <c r="H64" s="13">
        <v>1</v>
      </c>
      <c r="I64" s="233">
        <f>G64/30*H64*F64</f>
        <v>235</v>
      </c>
      <c r="J64" s="2" t="s">
        <v>921</v>
      </c>
      <c r="K64" s="13">
        <v>67847</v>
      </c>
    </row>
    <row r="65" spans="1:11" ht="13.5" customHeight="1" x14ac:dyDescent="0.2">
      <c r="A65" s="2" t="s">
        <v>23</v>
      </c>
      <c r="B65" s="76">
        <v>45526</v>
      </c>
      <c r="C65" s="55">
        <v>14596</v>
      </c>
      <c r="D65" s="20">
        <v>45658</v>
      </c>
      <c r="E65" s="20">
        <v>45687</v>
      </c>
      <c r="F65" s="11">
        <f>(E65-D65)+1</f>
        <v>30</v>
      </c>
      <c r="G65" s="12">
        <v>235</v>
      </c>
      <c r="H65" s="13">
        <v>1</v>
      </c>
      <c r="I65" s="233">
        <f>G65/30*H65*F65</f>
        <v>235</v>
      </c>
      <c r="J65" s="2" t="s">
        <v>922</v>
      </c>
      <c r="K65" s="13">
        <v>66943</v>
      </c>
    </row>
    <row r="66" spans="1:11" ht="13.5" customHeight="1" x14ac:dyDescent="0.2">
      <c r="A66" s="2" t="s">
        <v>23</v>
      </c>
      <c r="B66" s="76">
        <v>45551</v>
      </c>
      <c r="C66" s="55">
        <v>14581</v>
      </c>
      <c r="D66" s="20">
        <v>45658</v>
      </c>
      <c r="E66" s="20">
        <v>45687</v>
      </c>
      <c r="F66" s="11">
        <v>30</v>
      </c>
      <c r="G66" s="12">
        <v>235</v>
      </c>
      <c r="H66" s="13">
        <v>1</v>
      </c>
      <c r="I66" s="233">
        <v>235</v>
      </c>
      <c r="J66" s="2" t="s">
        <v>923</v>
      </c>
      <c r="K66" s="13">
        <v>67847</v>
      </c>
    </row>
    <row r="67" spans="1:11" ht="13.5" customHeight="1" x14ac:dyDescent="0.2">
      <c r="A67" s="2" t="s">
        <v>23</v>
      </c>
      <c r="B67" s="76">
        <v>45538</v>
      </c>
      <c r="C67" s="55">
        <v>14625</v>
      </c>
      <c r="D67" s="20">
        <v>45658</v>
      </c>
      <c r="E67" s="20">
        <v>45687</v>
      </c>
      <c r="F67" s="11">
        <v>30</v>
      </c>
      <c r="G67" s="12">
        <v>235</v>
      </c>
      <c r="H67" s="13">
        <v>1</v>
      </c>
      <c r="I67" s="233">
        <v>235</v>
      </c>
      <c r="J67" s="2" t="s">
        <v>924</v>
      </c>
      <c r="K67" s="13">
        <v>67849</v>
      </c>
    </row>
    <row r="68" spans="1:11" ht="13.5" customHeight="1" x14ac:dyDescent="0.2">
      <c r="A68" s="2" t="s">
        <v>23</v>
      </c>
      <c r="B68" s="76">
        <v>45533</v>
      </c>
      <c r="C68" s="55">
        <v>14594</v>
      </c>
      <c r="D68" s="20">
        <v>45658</v>
      </c>
      <c r="E68" s="20">
        <v>45687</v>
      </c>
      <c r="F68" s="11">
        <f>(E68-D68)+1</f>
        <v>30</v>
      </c>
      <c r="G68" s="12">
        <v>235</v>
      </c>
      <c r="H68" s="13">
        <v>1</v>
      </c>
      <c r="I68" s="233">
        <f>G68/30*H68*F68</f>
        <v>235</v>
      </c>
      <c r="J68" s="2" t="s">
        <v>925</v>
      </c>
      <c r="K68" s="13">
        <v>66943</v>
      </c>
    </row>
    <row r="69" spans="1:11" ht="13.5" customHeight="1" x14ac:dyDescent="0.2">
      <c r="A69" s="2" t="s">
        <v>23</v>
      </c>
      <c r="B69" s="76">
        <v>45537</v>
      </c>
      <c r="C69" s="55">
        <v>14626</v>
      </c>
      <c r="D69" s="20">
        <v>45658</v>
      </c>
      <c r="E69" s="20">
        <v>45687</v>
      </c>
      <c r="F69" s="11">
        <f>(E69-D69)+1</f>
        <v>30</v>
      </c>
      <c r="G69" s="12">
        <v>235</v>
      </c>
      <c r="H69" s="13">
        <v>1</v>
      </c>
      <c r="I69" s="233">
        <f>G69/30*H69*F69</f>
        <v>235</v>
      </c>
      <c r="J69" s="2" t="s">
        <v>926</v>
      </c>
      <c r="K69" s="13">
        <v>67418</v>
      </c>
    </row>
    <row r="70" spans="1:11" ht="13.5" customHeight="1" x14ac:dyDescent="0.2">
      <c r="A70" s="2" t="s">
        <v>23</v>
      </c>
      <c r="B70" s="76">
        <v>45601</v>
      </c>
      <c r="C70" s="55">
        <v>16168</v>
      </c>
      <c r="D70" s="20">
        <v>45658</v>
      </c>
      <c r="E70" s="20">
        <v>45687</v>
      </c>
      <c r="F70" s="11">
        <f>(E70-D70)+1</f>
        <v>30</v>
      </c>
      <c r="G70" s="12">
        <v>235</v>
      </c>
      <c r="H70" s="13">
        <v>1</v>
      </c>
      <c r="I70" s="233">
        <f>G70/30*H70*F70</f>
        <v>235</v>
      </c>
      <c r="J70" s="2" t="s">
        <v>927</v>
      </c>
      <c r="K70" s="13">
        <v>70952</v>
      </c>
    </row>
    <row r="71" spans="1:11" ht="13.5" customHeight="1" x14ac:dyDescent="0.2">
      <c r="A71" s="2" t="s">
        <v>23</v>
      </c>
      <c r="B71" s="76">
        <v>45600</v>
      </c>
      <c r="C71" s="55">
        <v>16129</v>
      </c>
      <c r="D71" s="20">
        <v>45658</v>
      </c>
      <c r="E71" s="20">
        <v>45687</v>
      </c>
      <c r="F71" s="11">
        <f t="shared" ref="F71:F97" si="6">(E71-D71)+1</f>
        <v>30</v>
      </c>
      <c r="G71" s="12">
        <v>235</v>
      </c>
      <c r="H71" s="13">
        <v>1</v>
      </c>
      <c r="I71" s="233">
        <f t="shared" ref="I71:I97" si="7">G71/30*H71*F71</f>
        <v>235</v>
      </c>
      <c r="J71" s="2" t="s">
        <v>872</v>
      </c>
      <c r="K71" s="13"/>
    </row>
    <row r="72" spans="1:11" ht="13.5" customHeight="1" x14ac:dyDescent="0.2">
      <c r="A72" s="2" t="s">
        <v>23</v>
      </c>
      <c r="B72" s="76">
        <v>45600</v>
      </c>
      <c r="C72" s="55">
        <v>16117</v>
      </c>
      <c r="D72" s="20">
        <v>45658</v>
      </c>
      <c r="E72" s="20">
        <v>45687</v>
      </c>
      <c r="F72" s="11">
        <f t="shared" si="6"/>
        <v>30</v>
      </c>
      <c r="G72" s="12">
        <v>235</v>
      </c>
      <c r="H72" s="13">
        <v>1</v>
      </c>
      <c r="I72" s="233">
        <f t="shared" si="7"/>
        <v>235</v>
      </c>
      <c r="J72" s="2" t="s">
        <v>928</v>
      </c>
      <c r="K72" s="13">
        <v>70952</v>
      </c>
    </row>
    <row r="73" spans="1:11" ht="13.5" customHeight="1" x14ac:dyDescent="0.2">
      <c r="A73" s="2" t="s">
        <v>24</v>
      </c>
      <c r="B73" s="76">
        <v>45532</v>
      </c>
      <c r="C73" s="55">
        <v>14841</v>
      </c>
      <c r="D73" s="20">
        <v>45658</v>
      </c>
      <c r="E73" s="20">
        <v>45687</v>
      </c>
      <c r="F73" s="11">
        <f t="shared" si="6"/>
        <v>30</v>
      </c>
      <c r="G73" s="12">
        <v>238</v>
      </c>
      <c r="H73" s="13">
        <v>1</v>
      </c>
      <c r="I73" s="233">
        <f t="shared" si="7"/>
        <v>238</v>
      </c>
      <c r="J73" s="2" t="s">
        <v>929</v>
      </c>
      <c r="K73" s="13">
        <v>67045</v>
      </c>
    </row>
    <row r="74" spans="1:11" ht="13.5" customHeight="1" x14ac:dyDescent="0.2">
      <c r="A74" s="2" t="s">
        <v>24</v>
      </c>
      <c r="B74" s="76">
        <v>45532</v>
      </c>
      <c r="C74" s="55">
        <v>14844</v>
      </c>
      <c r="D74" s="20">
        <v>45658</v>
      </c>
      <c r="E74" s="20">
        <v>45687</v>
      </c>
      <c r="F74" s="11">
        <f t="shared" si="6"/>
        <v>30</v>
      </c>
      <c r="G74" s="12">
        <v>238</v>
      </c>
      <c r="H74" s="13">
        <v>1</v>
      </c>
      <c r="I74" s="233">
        <f t="shared" si="7"/>
        <v>238</v>
      </c>
      <c r="J74" s="2" t="s">
        <v>930</v>
      </c>
      <c r="K74" s="13">
        <v>67274</v>
      </c>
    </row>
    <row r="75" spans="1:11" ht="13.5" customHeight="1" x14ac:dyDescent="0.2">
      <c r="A75" s="2" t="s">
        <v>24</v>
      </c>
      <c r="B75" s="76">
        <v>45551</v>
      </c>
      <c r="C75" s="55">
        <v>15162</v>
      </c>
      <c r="D75" s="20">
        <v>45658</v>
      </c>
      <c r="E75" s="20">
        <v>45687</v>
      </c>
      <c r="F75" s="11">
        <f t="shared" si="6"/>
        <v>30</v>
      </c>
      <c r="G75" s="12">
        <v>238</v>
      </c>
      <c r="H75" s="13">
        <v>1</v>
      </c>
      <c r="I75" s="233">
        <f t="shared" si="7"/>
        <v>238</v>
      </c>
      <c r="J75" s="2" t="s">
        <v>931</v>
      </c>
      <c r="K75" s="13">
        <v>67851</v>
      </c>
    </row>
    <row r="76" spans="1:11" ht="13.5" customHeight="1" x14ac:dyDescent="0.2">
      <c r="A76" s="2" t="s">
        <v>24</v>
      </c>
      <c r="B76" s="76">
        <v>45533</v>
      </c>
      <c r="C76" s="55">
        <v>14834</v>
      </c>
      <c r="D76" s="20">
        <v>45658</v>
      </c>
      <c r="E76" s="20">
        <v>45687</v>
      </c>
      <c r="F76" s="11">
        <f t="shared" si="6"/>
        <v>30</v>
      </c>
      <c r="G76" s="12">
        <v>238</v>
      </c>
      <c r="H76" s="13">
        <v>1</v>
      </c>
      <c r="I76" s="233">
        <f t="shared" si="7"/>
        <v>238</v>
      </c>
      <c r="J76" s="2" t="s">
        <v>932</v>
      </c>
      <c r="K76" s="13">
        <v>67274</v>
      </c>
    </row>
    <row r="77" spans="1:11" ht="13.5" customHeight="1" x14ac:dyDescent="0.2">
      <c r="A77" s="2" t="s">
        <v>24</v>
      </c>
      <c r="B77" s="76">
        <v>45547</v>
      </c>
      <c r="C77" s="55">
        <v>15158</v>
      </c>
      <c r="D77" s="20">
        <v>45658</v>
      </c>
      <c r="E77" s="20">
        <v>45687</v>
      </c>
      <c r="F77" s="11">
        <f t="shared" si="6"/>
        <v>30</v>
      </c>
      <c r="G77" s="12">
        <v>238</v>
      </c>
      <c r="H77" s="13">
        <v>1</v>
      </c>
      <c r="I77" s="233">
        <f t="shared" si="7"/>
        <v>238</v>
      </c>
      <c r="J77" s="2" t="s">
        <v>933</v>
      </c>
      <c r="K77" s="13">
        <v>67851</v>
      </c>
    </row>
    <row r="78" spans="1:11" ht="13.5" customHeight="1" x14ac:dyDescent="0.2">
      <c r="A78" s="2" t="s">
        <v>24</v>
      </c>
      <c r="B78" s="76">
        <v>45547</v>
      </c>
      <c r="C78" s="55">
        <v>15157</v>
      </c>
      <c r="D78" s="20">
        <v>45658</v>
      </c>
      <c r="E78" s="20">
        <v>45687</v>
      </c>
      <c r="F78" s="11">
        <f t="shared" si="6"/>
        <v>30</v>
      </c>
      <c r="G78" s="12">
        <v>238</v>
      </c>
      <c r="H78" s="13">
        <v>1</v>
      </c>
      <c r="I78" s="233">
        <f t="shared" si="7"/>
        <v>238</v>
      </c>
      <c r="J78" s="2" t="s">
        <v>934</v>
      </c>
      <c r="K78" s="13">
        <v>67851</v>
      </c>
    </row>
    <row r="79" spans="1:11" ht="13.5" customHeight="1" x14ac:dyDescent="0.2">
      <c r="A79" s="2" t="s">
        <v>24</v>
      </c>
      <c r="B79" s="76">
        <v>45548</v>
      </c>
      <c r="C79" s="55">
        <v>15163</v>
      </c>
      <c r="D79" s="20">
        <v>45658</v>
      </c>
      <c r="E79" s="20">
        <v>45687</v>
      </c>
      <c r="F79" s="11">
        <f t="shared" si="6"/>
        <v>30</v>
      </c>
      <c r="G79" s="12">
        <v>238</v>
      </c>
      <c r="H79" s="13">
        <v>1</v>
      </c>
      <c r="I79" s="233">
        <f t="shared" si="7"/>
        <v>238</v>
      </c>
      <c r="J79" s="2" t="s">
        <v>935</v>
      </c>
      <c r="K79" s="13">
        <v>67851</v>
      </c>
    </row>
    <row r="80" spans="1:11" ht="13.5" customHeight="1" x14ac:dyDescent="0.2">
      <c r="A80" s="2" t="s">
        <v>24</v>
      </c>
      <c r="B80" s="76">
        <v>45546</v>
      </c>
      <c r="C80" s="55">
        <v>15164</v>
      </c>
      <c r="D80" s="20">
        <v>45658</v>
      </c>
      <c r="E80" s="20">
        <v>45687</v>
      </c>
      <c r="F80" s="11">
        <f t="shared" si="6"/>
        <v>30</v>
      </c>
      <c r="G80" s="12">
        <v>238</v>
      </c>
      <c r="H80" s="13">
        <v>1</v>
      </c>
      <c r="I80" s="233">
        <f t="shared" si="7"/>
        <v>238</v>
      </c>
      <c r="J80" s="2" t="s">
        <v>936</v>
      </c>
      <c r="K80" s="13">
        <v>67851</v>
      </c>
    </row>
    <row r="81" spans="1:11" ht="13.5" customHeight="1" x14ac:dyDescent="0.2">
      <c r="A81" s="2" t="s">
        <v>24</v>
      </c>
      <c r="B81" s="76">
        <v>45547</v>
      </c>
      <c r="C81" s="55">
        <v>15143</v>
      </c>
      <c r="D81" s="20">
        <v>45658</v>
      </c>
      <c r="E81" s="20">
        <v>45687</v>
      </c>
      <c r="F81" s="11">
        <f t="shared" si="6"/>
        <v>30</v>
      </c>
      <c r="G81" s="12">
        <v>238</v>
      </c>
      <c r="H81" s="13">
        <v>1</v>
      </c>
      <c r="I81" s="233">
        <f t="shared" si="7"/>
        <v>238</v>
      </c>
      <c r="J81" s="2" t="s">
        <v>937</v>
      </c>
      <c r="K81" s="13">
        <v>67851</v>
      </c>
    </row>
    <row r="82" spans="1:11" ht="13.5" customHeight="1" x14ac:dyDescent="0.2">
      <c r="A82" s="2" t="s">
        <v>24</v>
      </c>
      <c r="B82" s="76">
        <v>45546</v>
      </c>
      <c r="C82" s="55">
        <v>15161</v>
      </c>
      <c r="D82" s="20">
        <v>45658</v>
      </c>
      <c r="E82" s="20">
        <v>45687</v>
      </c>
      <c r="F82" s="11">
        <f t="shared" si="6"/>
        <v>30</v>
      </c>
      <c r="G82" s="12">
        <v>238</v>
      </c>
      <c r="H82" s="13">
        <v>1</v>
      </c>
      <c r="I82" s="233">
        <f t="shared" si="7"/>
        <v>238</v>
      </c>
      <c r="J82" s="2" t="s">
        <v>938</v>
      </c>
      <c r="K82" s="13">
        <v>67464</v>
      </c>
    </row>
    <row r="83" spans="1:11" ht="13.5" customHeight="1" x14ac:dyDescent="0.2">
      <c r="A83" s="2" t="s">
        <v>24</v>
      </c>
      <c r="B83" s="76">
        <v>45526</v>
      </c>
      <c r="C83" s="55">
        <v>16565</v>
      </c>
      <c r="D83" s="20">
        <v>45658</v>
      </c>
      <c r="E83" s="20">
        <v>45687</v>
      </c>
      <c r="F83" s="11">
        <f t="shared" si="6"/>
        <v>30</v>
      </c>
      <c r="G83" s="12">
        <v>238</v>
      </c>
      <c r="H83" s="13">
        <v>1</v>
      </c>
      <c r="I83" s="233">
        <f t="shared" si="7"/>
        <v>238</v>
      </c>
      <c r="J83" s="2" t="s">
        <v>939</v>
      </c>
      <c r="K83" s="13" t="s">
        <v>940</v>
      </c>
    </row>
    <row r="84" spans="1:11" ht="13.5" customHeight="1" x14ac:dyDescent="0.2">
      <c r="A84" s="2" t="s">
        <v>24</v>
      </c>
      <c r="B84" s="76">
        <v>45551</v>
      </c>
      <c r="C84" s="55">
        <v>12083</v>
      </c>
      <c r="D84" s="20">
        <v>45658</v>
      </c>
      <c r="E84" s="20">
        <v>45687</v>
      </c>
      <c r="F84" s="11">
        <f t="shared" si="6"/>
        <v>30</v>
      </c>
      <c r="G84" s="12">
        <v>238</v>
      </c>
      <c r="H84" s="13">
        <v>1</v>
      </c>
      <c r="I84" s="233">
        <f t="shared" si="7"/>
        <v>238</v>
      </c>
      <c r="J84" s="2" t="s">
        <v>941</v>
      </c>
      <c r="K84" s="13" t="s">
        <v>942</v>
      </c>
    </row>
    <row r="85" spans="1:11" ht="13.5" customHeight="1" x14ac:dyDescent="0.2">
      <c r="A85" s="2" t="s">
        <v>24</v>
      </c>
      <c r="B85" s="76">
        <v>45621</v>
      </c>
      <c r="C85" s="55">
        <v>16564</v>
      </c>
      <c r="D85" s="20">
        <v>45658</v>
      </c>
      <c r="E85" s="20">
        <v>45687</v>
      </c>
      <c r="F85" s="11">
        <f t="shared" si="6"/>
        <v>30</v>
      </c>
      <c r="G85" s="12">
        <v>238</v>
      </c>
      <c r="H85" s="13">
        <v>1</v>
      </c>
      <c r="I85" s="233">
        <f t="shared" si="7"/>
        <v>238</v>
      </c>
      <c r="J85" s="2" t="s">
        <v>943</v>
      </c>
      <c r="K85" s="13"/>
    </row>
    <row r="86" spans="1:11" ht="13.5" customHeight="1" x14ac:dyDescent="0.2">
      <c r="A86" s="2" t="s">
        <v>25</v>
      </c>
      <c r="B86" s="76">
        <v>45539</v>
      </c>
      <c r="C86" s="55">
        <v>10853</v>
      </c>
      <c r="D86" s="20">
        <v>45658</v>
      </c>
      <c r="E86" s="20">
        <v>45687</v>
      </c>
      <c r="F86" s="11">
        <f t="shared" si="6"/>
        <v>30</v>
      </c>
      <c r="G86" s="12">
        <v>242</v>
      </c>
      <c r="H86" s="13">
        <v>1</v>
      </c>
      <c r="I86" s="233">
        <f t="shared" si="7"/>
        <v>242</v>
      </c>
      <c r="J86" s="2" t="s">
        <v>944</v>
      </c>
      <c r="K86" s="13">
        <v>67451</v>
      </c>
    </row>
    <row r="87" spans="1:11" ht="13.5" customHeight="1" x14ac:dyDescent="0.2">
      <c r="A87" s="2" t="s">
        <v>25</v>
      </c>
      <c r="B87" s="76">
        <v>45530</v>
      </c>
      <c r="C87" s="55">
        <v>14548</v>
      </c>
      <c r="D87" s="20">
        <v>45658</v>
      </c>
      <c r="E87" s="20">
        <v>45687</v>
      </c>
      <c r="F87" s="11">
        <f t="shared" si="6"/>
        <v>30</v>
      </c>
      <c r="G87" s="12">
        <v>242</v>
      </c>
      <c r="H87" s="13">
        <v>1</v>
      </c>
      <c r="I87" s="233">
        <f t="shared" si="7"/>
        <v>242</v>
      </c>
      <c r="J87" s="2" t="s">
        <v>945</v>
      </c>
      <c r="K87" s="13">
        <v>67851</v>
      </c>
    </row>
    <row r="88" spans="1:11" ht="13.5" customHeight="1" x14ac:dyDescent="0.2">
      <c r="A88" s="2" t="s">
        <v>25</v>
      </c>
      <c r="B88" s="76">
        <v>45562</v>
      </c>
      <c r="C88" s="55">
        <v>15953</v>
      </c>
      <c r="D88" s="20">
        <v>45658</v>
      </c>
      <c r="E88" s="20">
        <v>45687</v>
      </c>
      <c r="F88" s="11">
        <f t="shared" si="6"/>
        <v>30</v>
      </c>
      <c r="G88" s="236">
        <v>242</v>
      </c>
      <c r="H88" s="13">
        <v>1</v>
      </c>
      <c r="I88" s="233">
        <f t="shared" si="7"/>
        <v>242</v>
      </c>
      <c r="J88" s="2" t="s">
        <v>946</v>
      </c>
      <c r="K88" s="13">
        <v>67853</v>
      </c>
    </row>
    <row r="89" spans="1:11" ht="13.5" customHeight="1" x14ac:dyDescent="0.2">
      <c r="A89" s="2" t="s">
        <v>25</v>
      </c>
      <c r="B89" s="76">
        <v>45563</v>
      </c>
      <c r="C89" s="55">
        <v>15935</v>
      </c>
      <c r="D89" s="20">
        <v>45658</v>
      </c>
      <c r="E89" s="20">
        <v>45687</v>
      </c>
      <c r="F89" s="11">
        <f t="shared" si="6"/>
        <v>30</v>
      </c>
      <c r="G89" s="236">
        <v>242</v>
      </c>
      <c r="H89" s="13">
        <v>1</v>
      </c>
      <c r="I89" s="233">
        <f t="shared" si="7"/>
        <v>242</v>
      </c>
      <c r="J89" s="2" t="s">
        <v>947</v>
      </c>
      <c r="K89" s="13">
        <v>66877</v>
      </c>
    </row>
    <row r="90" spans="1:11" ht="13.5" customHeight="1" x14ac:dyDescent="0.2">
      <c r="A90" s="2" t="s">
        <v>25</v>
      </c>
      <c r="B90" s="76">
        <v>45540</v>
      </c>
      <c r="C90" s="55">
        <v>9632</v>
      </c>
      <c r="D90" s="20">
        <v>45658</v>
      </c>
      <c r="E90" s="20">
        <v>45687</v>
      </c>
      <c r="F90" s="11">
        <f t="shared" si="6"/>
        <v>30</v>
      </c>
      <c r="G90" s="12">
        <v>242</v>
      </c>
      <c r="H90" s="13">
        <v>1</v>
      </c>
      <c r="I90" s="233">
        <f t="shared" si="7"/>
        <v>242</v>
      </c>
      <c r="J90" s="2" t="s">
        <v>948</v>
      </c>
      <c r="K90" s="13">
        <v>67451</v>
      </c>
    </row>
    <row r="91" spans="1:11" ht="13.5" customHeight="1" x14ac:dyDescent="0.2">
      <c r="A91" s="2" t="s">
        <v>25</v>
      </c>
      <c r="B91" s="76">
        <v>45540</v>
      </c>
      <c r="C91" s="55">
        <v>9833</v>
      </c>
      <c r="D91" s="20">
        <v>45658</v>
      </c>
      <c r="E91" s="20">
        <v>45687</v>
      </c>
      <c r="F91" s="11">
        <f t="shared" si="6"/>
        <v>30</v>
      </c>
      <c r="G91" s="12">
        <v>242</v>
      </c>
      <c r="H91" s="13">
        <v>1</v>
      </c>
      <c r="I91" s="233">
        <f t="shared" si="7"/>
        <v>242</v>
      </c>
      <c r="J91" s="2" t="s">
        <v>949</v>
      </c>
      <c r="K91" s="13">
        <v>67451</v>
      </c>
    </row>
    <row r="92" spans="1:11" ht="13.5" customHeight="1" x14ac:dyDescent="0.2">
      <c r="A92" s="2" t="s">
        <v>25</v>
      </c>
      <c r="B92" s="76">
        <v>45598</v>
      </c>
      <c r="C92" s="55">
        <v>16079</v>
      </c>
      <c r="D92" s="20">
        <v>45658</v>
      </c>
      <c r="E92" s="20">
        <v>45687</v>
      </c>
      <c r="F92" s="11">
        <f t="shared" si="6"/>
        <v>30</v>
      </c>
      <c r="G92" s="236">
        <v>242</v>
      </c>
      <c r="H92" s="13">
        <v>1</v>
      </c>
      <c r="I92" s="233">
        <f t="shared" si="7"/>
        <v>242</v>
      </c>
      <c r="J92" s="2" t="s">
        <v>950</v>
      </c>
      <c r="K92" s="13" t="s">
        <v>951</v>
      </c>
    </row>
    <row r="93" spans="1:11" ht="13.5" customHeight="1" x14ac:dyDescent="0.2">
      <c r="A93" s="2" t="s">
        <v>26</v>
      </c>
      <c r="B93" s="76">
        <v>45617</v>
      </c>
      <c r="C93" s="55">
        <v>16536</v>
      </c>
      <c r="D93" s="20">
        <v>45658</v>
      </c>
      <c r="E93" s="20">
        <v>45687</v>
      </c>
      <c r="F93" s="11">
        <f t="shared" si="6"/>
        <v>30</v>
      </c>
      <c r="G93" s="236">
        <v>260</v>
      </c>
      <c r="H93" s="13">
        <v>1</v>
      </c>
      <c r="I93" s="233">
        <f t="shared" si="7"/>
        <v>260</v>
      </c>
      <c r="J93" s="2" t="s">
        <v>952</v>
      </c>
      <c r="K93" s="13">
        <v>71872</v>
      </c>
    </row>
    <row r="94" spans="1:11" ht="13.5" customHeight="1" x14ac:dyDescent="0.2">
      <c r="A94" s="2" t="s">
        <v>26</v>
      </c>
      <c r="B94" s="76">
        <v>45581</v>
      </c>
      <c r="C94" s="219">
        <v>16065</v>
      </c>
      <c r="D94" s="20">
        <v>45658</v>
      </c>
      <c r="E94" s="20">
        <v>45687</v>
      </c>
      <c r="F94" s="11">
        <f t="shared" si="6"/>
        <v>30</v>
      </c>
      <c r="G94" s="235">
        <v>260</v>
      </c>
      <c r="H94" s="205">
        <v>1</v>
      </c>
      <c r="I94" s="233">
        <f t="shared" si="7"/>
        <v>260</v>
      </c>
      <c r="J94" s="2" t="s">
        <v>953</v>
      </c>
      <c r="K94" s="205" t="s">
        <v>639</v>
      </c>
    </row>
    <row r="95" spans="1:11" ht="13.5" customHeight="1" x14ac:dyDescent="0.2">
      <c r="A95" s="2" t="s">
        <v>26</v>
      </c>
      <c r="B95" s="76">
        <v>45582</v>
      </c>
      <c r="C95" s="219">
        <v>15934</v>
      </c>
      <c r="D95" s="20">
        <v>45658</v>
      </c>
      <c r="E95" s="20">
        <v>45687</v>
      </c>
      <c r="F95" s="11">
        <f t="shared" si="6"/>
        <v>30</v>
      </c>
      <c r="G95" s="235">
        <v>260</v>
      </c>
      <c r="H95" s="205">
        <v>1</v>
      </c>
      <c r="I95" s="233">
        <f t="shared" si="7"/>
        <v>260</v>
      </c>
      <c r="J95" s="2" t="s">
        <v>954</v>
      </c>
      <c r="K95" s="205" t="s">
        <v>757</v>
      </c>
    </row>
    <row r="96" spans="1:11" ht="13.5" customHeight="1" x14ac:dyDescent="0.2">
      <c r="A96" s="2" t="s">
        <v>27</v>
      </c>
      <c r="B96" s="76">
        <v>45525</v>
      </c>
      <c r="C96" s="55">
        <v>13921</v>
      </c>
      <c r="D96" s="20">
        <v>45658</v>
      </c>
      <c r="E96" s="20">
        <v>45687</v>
      </c>
      <c r="F96" s="11">
        <f t="shared" si="6"/>
        <v>30</v>
      </c>
      <c r="G96" s="237">
        <v>347</v>
      </c>
      <c r="H96" s="13">
        <v>1</v>
      </c>
      <c r="I96" s="233">
        <f t="shared" si="7"/>
        <v>347</v>
      </c>
      <c r="J96" s="2" t="s">
        <v>955</v>
      </c>
      <c r="K96" s="13">
        <v>66877</v>
      </c>
    </row>
    <row r="97" spans="1:11" ht="13.5" customHeight="1" x14ac:dyDescent="0.2">
      <c r="A97" s="2" t="s">
        <v>20</v>
      </c>
      <c r="B97" s="76">
        <v>45600</v>
      </c>
      <c r="C97" s="55">
        <v>6237</v>
      </c>
      <c r="D97" s="20">
        <v>45658</v>
      </c>
      <c r="E97" s="20">
        <v>45687</v>
      </c>
      <c r="F97" s="11">
        <f t="shared" si="6"/>
        <v>30</v>
      </c>
      <c r="G97" s="12">
        <v>208</v>
      </c>
      <c r="H97" s="13">
        <v>1</v>
      </c>
      <c r="I97" s="233">
        <f t="shared" si="7"/>
        <v>208</v>
      </c>
      <c r="J97" s="2" t="s">
        <v>956</v>
      </c>
      <c r="K97" s="13">
        <v>70953</v>
      </c>
    </row>
    <row r="98" spans="1:11" ht="13.5" customHeight="1" x14ac:dyDescent="0.25">
      <c r="A98" s="14"/>
      <c r="B98" s="13"/>
      <c r="C98" s="240"/>
      <c r="D98" s="76"/>
      <c r="E98" s="76"/>
      <c r="F98" s="11"/>
      <c r="G98" s="154"/>
      <c r="H98" s="14"/>
      <c r="I98" s="154"/>
      <c r="J98" s="32"/>
      <c r="K98" s="14"/>
    </row>
    <row r="99" spans="1:11" ht="13.5" customHeight="1" x14ac:dyDescent="0.25">
      <c r="A99" s="21" t="s">
        <v>957</v>
      </c>
      <c r="B99" s="26"/>
      <c r="C99" s="196"/>
      <c r="D99" s="23"/>
      <c r="E99" s="23"/>
      <c r="F99" s="24"/>
      <c r="G99" s="23"/>
      <c r="H99" s="22">
        <f>SUM(H43:H98)</f>
        <v>55</v>
      </c>
      <c r="I99" s="65">
        <f>SUM(I43:I98)</f>
        <v>12029</v>
      </c>
      <c r="J99" s="33"/>
      <c r="K99" s="33"/>
    </row>
    <row r="100" spans="1:11" ht="13.5" customHeight="1" x14ac:dyDescent="0.25">
      <c r="D100" s="8"/>
      <c r="E100" s="8"/>
      <c r="F100" s="9"/>
      <c r="G100" s="10"/>
      <c r="I100" s="10"/>
      <c r="J100" s="4"/>
    </row>
    <row r="101" spans="1:11" ht="13.5" customHeight="1" x14ac:dyDescent="0.25">
      <c r="D101" s="8"/>
      <c r="E101" s="8"/>
      <c r="F101" s="9"/>
      <c r="G101" s="10"/>
      <c r="H101" s="50">
        <f>H41+H99</f>
        <v>80</v>
      </c>
      <c r="I101" s="113">
        <f>I41+I99</f>
        <v>17993</v>
      </c>
      <c r="J101" s="16"/>
    </row>
    <row r="102" spans="1:11" ht="13.5" customHeight="1" x14ac:dyDescent="0.25">
      <c r="D102" s="8"/>
      <c r="E102" s="8"/>
      <c r="F102" s="9"/>
      <c r="G102" s="10"/>
      <c r="I102" s="10"/>
      <c r="J102" s="16"/>
    </row>
    <row r="103" spans="1:11" ht="13.5" customHeight="1" x14ac:dyDescent="0.25">
      <c r="D103" s="8"/>
      <c r="E103" s="8"/>
      <c r="F103" s="9"/>
      <c r="G103" s="10"/>
      <c r="I103" s="10"/>
      <c r="J103" s="7"/>
    </row>
    <row r="104" spans="1:11" ht="13.5" customHeight="1" x14ac:dyDescent="0.25">
      <c r="A104" s="289" t="s">
        <v>124</v>
      </c>
      <c r="B104" s="289"/>
      <c r="C104" s="289"/>
      <c r="D104" s="289"/>
      <c r="E104" s="289"/>
      <c r="F104" s="289"/>
      <c r="G104" s="289"/>
      <c r="H104" s="289"/>
      <c r="I104" s="289"/>
      <c r="J104" s="7"/>
    </row>
    <row r="105" spans="1:11" ht="13.5" customHeight="1" x14ac:dyDescent="0.25">
      <c r="J105" s="7"/>
    </row>
    <row r="106" spans="1:11" ht="13.5" customHeight="1" x14ac:dyDescent="0.2">
      <c r="A106" s="27" t="s">
        <v>125</v>
      </c>
      <c r="B106" s="7"/>
      <c r="F106" s="110"/>
      <c r="G106" s="10"/>
      <c r="I106" s="111"/>
      <c r="J106" s="7"/>
    </row>
    <row r="107" spans="1:11" ht="60" customHeight="1" x14ac:dyDescent="0.25">
      <c r="A107" s="291"/>
      <c r="B107" s="275"/>
      <c r="C107" s="292"/>
      <c r="D107" s="290"/>
      <c r="E107" s="290"/>
      <c r="F107" s="290"/>
      <c r="G107" s="290"/>
      <c r="H107" s="290"/>
      <c r="I107" s="290"/>
      <c r="J107" s="7"/>
    </row>
    <row r="108" spans="1:11" ht="13.5" customHeight="1" x14ac:dyDescent="0.25">
      <c r="A108" s="274" t="s">
        <v>126</v>
      </c>
      <c r="B108" s="274"/>
      <c r="C108" s="274"/>
      <c r="D108" s="274" t="s">
        <v>127</v>
      </c>
      <c r="E108" s="274"/>
      <c r="F108" s="274"/>
      <c r="G108" s="274"/>
      <c r="H108" s="274"/>
      <c r="I108" s="274"/>
      <c r="J108" s="7"/>
    </row>
    <row r="109" spans="1:11" ht="13.5" customHeight="1" x14ac:dyDescent="0.25">
      <c r="D109" s="8"/>
      <c r="E109" s="8"/>
      <c r="F109" s="9"/>
      <c r="G109" s="10"/>
      <c r="I109" s="10"/>
      <c r="J109" s="7"/>
    </row>
    <row r="110" spans="1:11" ht="13.5" customHeight="1" x14ac:dyDescent="0.25">
      <c r="D110" s="8"/>
      <c r="E110" s="8"/>
      <c r="F110" s="9"/>
      <c r="G110" s="10"/>
      <c r="I110" s="10"/>
      <c r="J110" s="7"/>
    </row>
    <row r="111" spans="1:11" ht="13.5" customHeight="1" x14ac:dyDescent="0.25">
      <c r="D111" s="8"/>
      <c r="E111" s="8"/>
      <c r="F111" s="9"/>
      <c r="G111" s="10"/>
      <c r="I111" s="10"/>
      <c r="J111" s="7"/>
    </row>
    <row r="112" spans="1:11" ht="13.5" customHeight="1" x14ac:dyDescent="0.2">
      <c r="A112" s="266" t="s">
        <v>29</v>
      </c>
      <c r="B112" s="266"/>
      <c r="C112" s="266"/>
      <c r="D112" s="266"/>
      <c r="E112" s="266"/>
      <c r="F112" s="266"/>
      <c r="G112" s="51"/>
      <c r="I112" s="10"/>
      <c r="J112" s="16"/>
    </row>
    <row r="113" spans="1:10" ht="13.5" customHeight="1" x14ac:dyDescent="0.2">
      <c r="A113" s="267" t="s">
        <v>45</v>
      </c>
      <c r="B113" s="267"/>
      <c r="C113" s="267"/>
      <c r="D113" s="267"/>
      <c r="E113" s="283" t="s">
        <v>5</v>
      </c>
      <c r="F113" s="306" t="s">
        <v>6</v>
      </c>
      <c r="G113" s="52"/>
      <c r="I113" s="10"/>
      <c r="J113" s="16"/>
    </row>
    <row r="114" spans="1:10" ht="13.5" customHeight="1" x14ac:dyDescent="0.2">
      <c r="A114" s="34" t="s">
        <v>0</v>
      </c>
      <c r="B114" s="34" t="s">
        <v>3</v>
      </c>
      <c r="C114" s="34" t="s">
        <v>2</v>
      </c>
      <c r="D114" s="34" t="s">
        <v>4</v>
      </c>
      <c r="E114" s="284"/>
      <c r="F114" s="307"/>
      <c r="G114" s="53"/>
    </row>
    <row r="115" spans="1:10" ht="13.5" customHeight="1" x14ac:dyDescent="0.2">
      <c r="A115" s="2" t="s">
        <v>18</v>
      </c>
      <c r="B115" s="39"/>
      <c r="C115" s="35">
        <v>37</v>
      </c>
      <c r="D115" s="35">
        <v>0</v>
      </c>
      <c r="E115" s="13">
        <f>COUNTIFS($A$12:$A$103,"Cond Ar Janela 7.500 BTU/h")</f>
        <v>0</v>
      </c>
      <c r="F115" s="40">
        <f>B115-E115</f>
        <v>0</v>
      </c>
      <c r="G115" s="1"/>
    </row>
    <row r="116" spans="1:10" ht="13.5" customHeight="1" x14ac:dyDescent="0.2">
      <c r="A116" s="2" t="s">
        <v>19</v>
      </c>
      <c r="B116" s="39"/>
      <c r="C116" s="3">
        <v>210</v>
      </c>
      <c r="D116" s="3">
        <f t="shared" ref="D116:D125" si="8">B116*C116</f>
        <v>0</v>
      </c>
      <c r="E116" s="13">
        <f>COUNTIFS($A$12:$A$103,"Cond Ar Janela 10.000 BTU/h")</f>
        <v>0</v>
      </c>
      <c r="F116" s="40">
        <f t="shared" ref="F116:F137" si="9">B116-E116</f>
        <v>0</v>
      </c>
      <c r="G116" s="1"/>
      <c r="J116" s="7"/>
    </row>
    <row r="117" spans="1:10" ht="13.5" customHeight="1" x14ac:dyDescent="0.2">
      <c r="A117" s="2" t="s">
        <v>20</v>
      </c>
      <c r="B117" s="39">
        <v>1</v>
      </c>
      <c r="C117" s="3">
        <v>208</v>
      </c>
      <c r="D117" s="3">
        <f t="shared" si="8"/>
        <v>208</v>
      </c>
      <c r="E117" s="13">
        <f>COUNTIFS($A$12:$A$103,"Cond Ar Janela 18.000 BTU/h")</f>
        <v>1</v>
      </c>
      <c r="F117" s="40">
        <f t="shared" si="9"/>
        <v>0</v>
      </c>
      <c r="G117" s="1"/>
      <c r="J117" s="7"/>
    </row>
    <row r="118" spans="1:10" ht="13.5" customHeight="1" x14ac:dyDescent="0.2">
      <c r="A118" s="2" t="s">
        <v>21</v>
      </c>
      <c r="B118" s="39"/>
      <c r="C118" s="3">
        <v>57</v>
      </c>
      <c r="D118" s="3">
        <f t="shared" si="8"/>
        <v>0</v>
      </c>
      <c r="E118" s="13">
        <f>COUNTIFS($A$12:$A$103,"Cond Ar Janela 21.000 BTU/h")</f>
        <v>0</v>
      </c>
      <c r="F118" s="40">
        <f t="shared" si="9"/>
        <v>0</v>
      </c>
      <c r="G118" s="1"/>
      <c r="J118" s="7"/>
    </row>
    <row r="119" spans="1:10" ht="13.5" customHeight="1" x14ac:dyDescent="0.2">
      <c r="A119" s="2" t="s">
        <v>22</v>
      </c>
      <c r="B119" s="39">
        <v>17</v>
      </c>
      <c r="C119" s="3">
        <v>147</v>
      </c>
      <c r="D119" s="3">
        <f t="shared" si="8"/>
        <v>2499</v>
      </c>
      <c r="E119" s="13">
        <f>COUNTIFS($A$12:$A$103,"Cond Ar Split 9.000 BTU/h Hi Wall")</f>
        <v>17</v>
      </c>
      <c r="F119" s="40">
        <f t="shared" si="9"/>
        <v>0</v>
      </c>
      <c r="G119" s="1"/>
      <c r="J119" s="7"/>
    </row>
    <row r="120" spans="1:10" ht="13.5" customHeight="1" x14ac:dyDescent="0.2">
      <c r="A120" s="2" t="s">
        <v>23</v>
      </c>
      <c r="B120" s="39">
        <v>21</v>
      </c>
      <c r="C120" s="3">
        <v>235</v>
      </c>
      <c r="D120" s="3">
        <f t="shared" si="8"/>
        <v>4935</v>
      </c>
      <c r="E120" s="13">
        <f>COUNTIFS($A$12:$A$103,"Cond Ar Split 12.000 BTU/h Hi Wall")</f>
        <v>21</v>
      </c>
      <c r="F120" s="40">
        <f t="shared" si="9"/>
        <v>0</v>
      </c>
      <c r="G120" s="1"/>
      <c r="J120" s="7"/>
    </row>
    <row r="121" spans="1:10" ht="13.5" customHeight="1" x14ac:dyDescent="0.2">
      <c r="A121" s="2" t="s">
        <v>24</v>
      </c>
      <c r="B121" s="39">
        <v>29</v>
      </c>
      <c r="C121" s="3">
        <v>238</v>
      </c>
      <c r="D121" s="3">
        <f t="shared" si="8"/>
        <v>6902</v>
      </c>
      <c r="E121" s="13">
        <f>COUNTIFS($A$12:$A$103,"Cond Ar Split 18.000 BTU/h Hi Wall")</f>
        <v>22</v>
      </c>
      <c r="F121" s="40">
        <f t="shared" si="9"/>
        <v>7</v>
      </c>
      <c r="G121" s="1"/>
      <c r="J121" s="7"/>
    </row>
    <row r="122" spans="1:10" ht="13.5" customHeight="1" x14ac:dyDescent="0.2">
      <c r="A122" s="2" t="s">
        <v>25</v>
      </c>
      <c r="B122" s="39">
        <v>10</v>
      </c>
      <c r="C122" s="3">
        <v>242</v>
      </c>
      <c r="D122" s="3">
        <f t="shared" si="8"/>
        <v>2420</v>
      </c>
      <c r="E122" s="13">
        <f>COUNTIFS($A$12:$A$103,"Cond Ar Split 22.000 BTU/h Hi Wall")</f>
        <v>10</v>
      </c>
      <c r="F122" s="40">
        <f t="shared" si="9"/>
        <v>0</v>
      </c>
      <c r="G122" s="1"/>
      <c r="J122" s="7"/>
    </row>
    <row r="123" spans="1:10" ht="13.5" customHeight="1" x14ac:dyDescent="0.2">
      <c r="A123" s="2" t="s">
        <v>26</v>
      </c>
      <c r="B123" s="39">
        <v>2</v>
      </c>
      <c r="C123" s="3">
        <v>260</v>
      </c>
      <c r="D123" s="3">
        <f t="shared" si="8"/>
        <v>520</v>
      </c>
      <c r="E123" s="13">
        <f>COUNTIFS($A$12:$A$103,"Cond Ar Split 24.000 BTU/h Hi Wall")</f>
        <v>4</v>
      </c>
      <c r="F123" s="40">
        <f t="shared" si="9"/>
        <v>-2</v>
      </c>
      <c r="G123" s="1"/>
      <c r="J123" s="7"/>
    </row>
    <row r="124" spans="1:10" ht="13.5" customHeight="1" x14ac:dyDescent="0.2">
      <c r="A124" s="2" t="s">
        <v>27</v>
      </c>
      <c r="B124" s="39">
        <v>1</v>
      </c>
      <c r="C124" s="3">
        <v>347</v>
      </c>
      <c r="D124" s="3">
        <f t="shared" si="8"/>
        <v>347</v>
      </c>
      <c r="E124" s="13">
        <f>COUNTIFS($A$12:$A$103,"Cond Ar Split 30.000 BTU/h Hi Wall")</f>
        <v>1</v>
      </c>
      <c r="F124" s="40">
        <f t="shared" si="9"/>
        <v>0</v>
      </c>
      <c r="G124" s="1"/>
      <c r="J124" s="7"/>
    </row>
    <row r="125" spans="1:10" ht="13.5" customHeight="1" x14ac:dyDescent="0.2">
      <c r="A125" s="2" t="s">
        <v>30</v>
      </c>
      <c r="B125" s="39">
        <v>3</v>
      </c>
      <c r="C125" s="3">
        <v>367</v>
      </c>
      <c r="D125" s="3">
        <f t="shared" si="8"/>
        <v>1101</v>
      </c>
      <c r="E125" s="13">
        <f>COUNTIFS($A$12:$A$103,"Cond Ar Split 24.000 BTU/h Piso/Teto")</f>
        <v>1</v>
      </c>
      <c r="F125" s="40">
        <f t="shared" si="9"/>
        <v>2</v>
      </c>
      <c r="G125" s="1"/>
      <c r="J125" s="7"/>
    </row>
    <row r="126" spans="1:10" ht="13.5" customHeight="1" x14ac:dyDescent="0.2">
      <c r="A126" s="2" t="s">
        <v>31</v>
      </c>
      <c r="B126" s="39">
        <v>1</v>
      </c>
      <c r="C126" s="3">
        <v>367</v>
      </c>
      <c r="D126" s="3">
        <f>B126*C126</f>
        <v>367</v>
      </c>
      <c r="E126" s="13">
        <f>COUNTIFS($A$12:$A$103,"Cond Ar Split 30.000 BTU/h Piso/Teto")</f>
        <v>1</v>
      </c>
      <c r="F126" s="40">
        <f t="shared" si="9"/>
        <v>0</v>
      </c>
      <c r="G126" s="1"/>
      <c r="J126" s="7"/>
    </row>
    <row r="127" spans="1:10" ht="13.5" customHeight="1" x14ac:dyDescent="0.2">
      <c r="A127" s="2" t="s">
        <v>32</v>
      </c>
      <c r="B127" s="39"/>
      <c r="C127" s="3">
        <v>447</v>
      </c>
      <c r="D127" s="3">
        <f>B127*C127</f>
        <v>0</v>
      </c>
      <c r="E127" s="13">
        <f>COUNTIFS($A$12:$A$103,"Cond Ar Split 36.000 BTU/h Piso/Teto")</f>
        <v>0</v>
      </c>
      <c r="F127" s="40">
        <f t="shared" si="9"/>
        <v>0</v>
      </c>
      <c r="G127" s="1"/>
      <c r="J127" s="7"/>
    </row>
    <row r="128" spans="1:10" ht="13.5" customHeight="1" x14ac:dyDescent="0.2">
      <c r="A128" s="2" t="s">
        <v>33</v>
      </c>
      <c r="B128" s="39"/>
      <c r="C128" s="3">
        <v>497</v>
      </c>
      <c r="D128" s="3">
        <f>B128*C128</f>
        <v>0</v>
      </c>
      <c r="E128" s="13">
        <f>COUNTIFS($A$12:$A$103,"Cond Ar Split 48.000 BTU/h Piso/Teto")</f>
        <v>0</v>
      </c>
      <c r="F128" s="40">
        <f t="shared" si="9"/>
        <v>0</v>
      </c>
      <c r="G128" s="1"/>
      <c r="J128" s="7"/>
    </row>
    <row r="129" spans="1:10" ht="13.5" customHeight="1" x14ac:dyDescent="0.2">
      <c r="A129" s="2" t="s">
        <v>34</v>
      </c>
      <c r="B129" s="39">
        <v>2</v>
      </c>
      <c r="C129" s="3">
        <v>597</v>
      </c>
      <c r="D129" s="3">
        <f t="shared" ref="D129:D137" si="10">B129*C129</f>
        <v>1194</v>
      </c>
      <c r="E129" s="13">
        <f>COUNTIFS($A$12:$A$103,"Cond Ar Split 60.000 BTU/h Piso/Teto")</f>
        <v>2</v>
      </c>
      <c r="F129" s="40">
        <f t="shared" si="9"/>
        <v>0</v>
      </c>
      <c r="G129" s="1"/>
      <c r="J129" s="7"/>
    </row>
    <row r="130" spans="1:10" ht="13.5" customHeight="1" x14ac:dyDescent="0.2">
      <c r="A130" s="2" t="s">
        <v>35</v>
      </c>
      <c r="B130" s="39"/>
      <c r="C130" s="3">
        <v>395</v>
      </c>
      <c r="D130" s="3">
        <f t="shared" si="10"/>
        <v>0</v>
      </c>
      <c r="E130" s="13">
        <f>COUNTIFS($A$12:$A$103,"Cond Ar Split 18.000 BTU/h Cassete")</f>
        <v>0</v>
      </c>
      <c r="F130" s="40">
        <f t="shared" si="9"/>
        <v>0</v>
      </c>
      <c r="G130" s="1"/>
      <c r="J130" s="7"/>
    </row>
    <row r="131" spans="1:10" ht="13.5" customHeight="1" x14ac:dyDescent="0.2">
      <c r="A131" s="2" t="s">
        <v>36</v>
      </c>
      <c r="B131" s="39"/>
      <c r="C131" s="3">
        <v>442.75</v>
      </c>
      <c r="D131" s="3">
        <f t="shared" si="10"/>
        <v>0</v>
      </c>
      <c r="E131" s="13">
        <f>COUNTIFS($A$12:$A$103,"Cond Ar Split 24.000 BTU/h Cassete")</f>
        <v>0</v>
      </c>
      <c r="F131" s="40">
        <f t="shared" si="9"/>
        <v>0</v>
      </c>
      <c r="G131" s="1"/>
      <c r="J131" s="7"/>
    </row>
    <row r="132" spans="1:10" ht="13.5" customHeight="1" x14ac:dyDescent="0.2">
      <c r="A132" s="2" t="s">
        <v>37</v>
      </c>
      <c r="B132" s="39"/>
      <c r="C132" s="3">
        <v>430</v>
      </c>
      <c r="D132" s="3">
        <f t="shared" si="10"/>
        <v>0</v>
      </c>
      <c r="E132" s="13">
        <f>COUNTIFS($A$12:$A$103,"Cond Ar Split 30.000 BTU/h Cassete")</f>
        <v>0</v>
      </c>
      <c r="F132" s="40">
        <f t="shared" si="9"/>
        <v>0</v>
      </c>
      <c r="G132" s="1"/>
    </row>
    <row r="133" spans="1:10" ht="13.5" customHeight="1" x14ac:dyDescent="0.2">
      <c r="A133" s="2" t="s">
        <v>38</v>
      </c>
      <c r="B133" s="39"/>
      <c r="C133" s="3">
        <v>478</v>
      </c>
      <c r="D133" s="3">
        <f t="shared" si="10"/>
        <v>0</v>
      </c>
      <c r="E133" s="13">
        <f>COUNTIFS($A$12:$A$103,"Cond Ar Split 36.000 BTU/h Cassete")</f>
        <v>0</v>
      </c>
      <c r="F133" s="40">
        <f t="shared" si="9"/>
        <v>0</v>
      </c>
      <c r="G133" s="1"/>
    </row>
    <row r="134" spans="1:10" ht="13.5" customHeight="1" x14ac:dyDescent="0.2">
      <c r="A134" s="2" t="s">
        <v>39</v>
      </c>
      <c r="B134" s="39"/>
      <c r="C134" s="3">
        <v>577</v>
      </c>
      <c r="D134" s="3">
        <f t="shared" si="10"/>
        <v>0</v>
      </c>
      <c r="E134" s="13">
        <f>COUNTIFS($A$12:$A$103,"Cond Ar Split 48.000 BTU/h Cassete")</f>
        <v>0</v>
      </c>
      <c r="F134" s="40">
        <f t="shared" si="9"/>
        <v>0</v>
      </c>
      <c r="G134" s="1"/>
    </row>
    <row r="135" spans="1:10" ht="13.5" customHeight="1" x14ac:dyDescent="0.2">
      <c r="A135" s="2" t="s">
        <v>40</v>
      </c>
      <c r="B135" s="39"/>
      <c r="C135" s="3">
        <v>645</v>
      </c>
      <c r="D135" s="3">
        <f t="shared" si="10"/>
        <v>0</v>
      </c>
      <c r="E135" s="13">
        <f>COUNTIFS($A$12:$A$103,"Cond Ar Split 60.000 BTU/h Cassete")</f>
        <v>0</v>
      </c>
      <c r="F135" s="40">
        <f t="shared" si="9"/>
        <v>0</v>
      </c>
      <c r="G135" s="1"/>
    </row>
    <row r="136" spans="1:10" ht="13.5" customHeight="1" x14ac:dyDescent="0.2">
      <c r="A136" s="2" t="s">
        <v>41</v>
      </c>
      <c r="B136" s="39"/>
      <c r="C136" s="3">
        <v>147</v>
      </c>
      <c r="D136" s="3">
        <f t="shared" si="10"/>
        <v>0</v>
      </c>
      <c r="E136" s="13">
        <f>COUNTIFS($A$12:$A$103,"Cond Ar Tri Split 36.000 BTU/h (3x12.000)")</f>
        <v>0</v>
      </c>
      <c r="F136" s="40">
        <f t="shared" si="9"/>
        <v>0</v>
      </c>
      <c r="G136" s="1"/>
    </row>
    <row r="137" spans="1:10" ht="13.5" customHeight="1" x14ac:dyDescent="0.2">
      <c r="A137" s="2" t="s">
        <v>42</v>
      </c>
      <c r="B137" s="39"/>
      <c r="C137" s="3">
        <v>100</v>
      </c>
      <c r="D137" s="3">
        <f t="shared" si="10"/>
        <v>0</v>
      </c>
      <c r="E137" s="13">
        <f>COUNTIFS($A$12:$A$103,"Cond Ar Portátil 12.000 BTU/h")</f>
        <v>0</v>
      </c>
      <c r="F137" s="40">
        <f t="shared" si="9"/>
        <v>0</v>
      </c>
      <c r="G137" s="1"/>
    </row>
    <row r="138" spans="1:10" ht="13.5" customHeight="1" x14ac:dyDescent="0.2">
      <c r="A138" s="36" t="s">
        <v>7</v>
      </c>
      <c r="B138" s="22">
        <f>SUM(B115:B137)</f>
        <v>87</v>
      </c>
      <c r="C138" s="38"/>
      <c r="D138" s="37">
        <f>SUM(D115:D137)</f>
        <v>20493</v>
      </c>
      <c r="E138" s="22">
        <f>SUM(E115:E137)</f>
        <v>80</v>
      </c>
      <c r="F138" s="41">
        <f>SUM(F115:F137)</f>
        <v>7</v>
      </c>
      <c r="G138" s="54"/>
    </row>
    <row r="142" spans="1:10" ht="13.5" customHeight="1" x14ac:dyDescent="0.25">
      <c r="F142" s="17"/>
      <c r="J142" s="16"/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107:C107"/>
    <mergeCell ref="D107:I107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104:I104"/>
    <mergeCell ref="A108:C108"/>
    <mergeCell ref="D108:I108"/>
    <mergeCell ref="A112:F112"/>
    <mergeCell ref="A113:D113"/>
    <mergeCell ref="E113:E114"/>
    <mergeCell ref="F113:F11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48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5">
    <pageSetUpPr fitToPage="1"/>
  </sheetPr>
  <dimension ref="A1:I22"/>
  <sheetViews>
    <sheetView showGridLines="0" workbookViewId="0">
      <pane ySplit="11" topLeftCell="A12" activePane="bottomLeft" state="frozen"/>
      <selection activeCell="G5" sqref="G5:I5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134</v>
      </c>
      <c r="B8" s="297"/>
      <c r="C8" s="297"/>
      <c r="D8" s="297"/>
      <c r="E8" s="297"/>
      <c r="F8" s="298"/>
    </row>
    <row r="9" spans="1:6" ht="13.5" customHeight="1" x14ac:dyDescent="0.25">
      <c r="A9" s="60" t="s">
        <v>135</v>
      </c>
      <c r="B9" s="270" t="s">
        <v>131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308" t="s">
        <v>22</v>
      </c>
      <c r="B12" s="309"/>
      <c r="C12" s="238">
        <v>1</v>
      </c>
      <c r="D12" s="103">
        <v>147</v>
      </c>
      <c r="E12" s="82">
        <v>5</v>
      </c>
      <c r="F12" s="109">
        <f>D12/30*C12*E12</f>
        <v>24.5</v>
      </c>
    </row>
    <row r="13" spans="1:6" ht="13.5" customHeight="1" x14ac:dyDescent="0.2">
      <c r="A13" s="308" t="s">
        <v>34</v>
      </c>
      <c r="B13" s="309"/>
      <c r="C13" s="238">
        <v>1</v>
      </c>
      <c r="D13" s="104">
        <v>597</v>
      </c>
      <c r="E13" s="82">
        <v>5</v>
      </c>
      <c r="F13" s="109">
        <f>D13/30*C13*E13</f>
        <v>99.5</v>
      </c>
    </row>
    <row r="14" spans="1:6" ht="13.5" customHeight="1" x14ac:dyDescent="0.2">
      <c r="A14" s="308"/>
      <c r="B14" s="309"/>
      <c r="C14" s="155"/>
      <c r="D14" s="104"/>
      <c r="E14" s="82"/>
      <c r="F14" s="109"/>
    </row>
    <row r="15" spans="1:6" ht="13.5" customHeight="1" x14ac:dyDescent="0.25">
      <c r="A15" s="271" t="s">
        <v>181</v>
      </c>
      <c r="B15" s="273"/>
      <c r="C15" s="58">
        <f>SUM(C12:C14)</f>
        <v>2</v>
      </c>
      <c r="D15" s="57"/>
      <c r="E15" s="57"/>
      <c r="F15" s="73">
        <f>SUM(F12:F14)</f>
        <v>124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13:B13"/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  <mergeCell ref="A22:C22"/>
    <mergeCell ref="A14:B14"/>
    <mergeCell ref="A15:B15"/>
    <mergeCell ref="A18:F18"/>
    <mergeCell ref="A21:C21"/>
    <mergeCell ref="D21:F2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6">
    <pageSetUpPr fitToPage="1"/>
  </sheetPr>
  <dimension ref="A1:L69"/>
  <sheetViews>
    <sheetView showGridLines="0" workbookViewId="0">
      <pane ySplit="13" topLeftCell="A23" activePane="bottomLeft" state="frozen"/>
      <selection activeCell="G5" sqref="G5:I5"/>
      <selection pane="bottomLeft" activeCell="D16" sqref="D16:E24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8.5703125" style="15" bestFit="1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241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343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322</v>
      </c>
      <c r="B9" s="270"/>
      <c r="C9" s="271" t="s">
        <v>368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22</v>
      </c>
      <c r="B15" s="76">
        <v>45512</v>
      </c>
      <c r="C15" s="136" t="s">
        <v>446</v>
      </c>
      <c r="D15" s="20">
        <v>45658</v>
      </c>
      <c r="E15" s="20">
        <v>45687</v>
      </c>
      <c r="F15" s="11">
        <f>(E15-D15)+1</f>
        <v>30</v>
      </c>
      <c r="G15" s="12">
        <v>147</v>
      </c>
      <c r="H15" s="13">
        <v>1</v>
      </c>
      <c r="I15" s="19">
        <f>G15/30*H15*F15</f>
        <v>147</v>
      </c>
      <c r="J15" s="32" t="s">
        <v>201</v>
      </c>
      <c r="K15" s="13"/>
    </row>
    <row r="16" spans="1:11" ht="13.5" customHeight="1" x14ac:dyDescent="0.2">
      <c r="A16" s="2" t="s">
        <v>23</v>
      </c>
      <c r="B16" s="76">
        <v>45512</v>
      </c>
      <c r="C16" s="136" t="s">
        <v>447</v>
      </c>
      <c r="D16" s="20">
        <v>45658</v>
      </c>
      <c r="E16" s="20">
        <v>45687</v>
      </c>
      <c r="F16" s="11">
        <f>(E16-D16)+1</f>
        <v>30</v>
      </c>
      <c r="G16" s="12">
        <v>235</v>
      </c>
      <c r="H16" s="13">
        <v>1</v>
      </c>
      <c r="I16" s="19">
        <f t="shared" ref="I16:I24" si="0">G16/30*H16*F16</f>
        <v>235</v>
      </c>
      <c r="J16" s="32" t="s">
        <v>201</v>
      </c>
      <c r="K16" s="13"/>
    </row>
    <row r="17" spans="1:12" ht="13.5" customHeight="1" x14ac:dyDescent="0.2">
      <c r="A17" s="2" t="s">
        <v>23</v>
      </c>
      <c r="B17" s="76">
        <v>45512</v>
      </c>
      <c r="C17" s="163" t="s">
        <v>448</v>
      </c>
      <c r="D17" s="20">
        <v>45658</v>
      </c>
      <c r="E17" s="20">
        <v>45687</v>
      </c>
      <c r="F17" s="11">
        <f t="shared" ref="F17:F24" si="1">(E17-D17)+1</f>
        <v>30</v>
      </c>
      <c r="G17" s="12">
        <v>235</v>
      </c>
      <c r="H17" s="13">
        <v>1</v>
      </c>
      <c r="I17" s="19">
        <f t="shared" si="0"/>
        <v>235</v>
      </c>
      <c r="J17" s="32" t="s">
        <v>449</v>
      </c>
      <c r="K17" s="13"/>
    </row>
    <row r="18" spans="1:12" ht="13.5" customHeight="1" x14ac:dyDescent="0.2">
      <c r="A18" s="2" t="s">
        <v>23</v>
      </c>
      <c r="B18" s="76">
        <v>45608</v>
      </c>
      <c r="C18" s="163" t="s">
        <v>959</v>
      </c>
      <c r="D18" s="20">
        <v>45658</v>
      </c>
      <c r="E18" s="20">
        <v>45687</v>
      </c>
      <c r="F18" s="11">
        <f t="shared" si="1"/>
        <v>30</v>
      </c>
      <c r="G18" s="12">
        <v>235</v>
      </c>
      <c r="H18" s="13">
        <v>1</v>
      </c>
      <c r="I18" s="19">
        <f t="shared" si="0"/>
        <v>235</v>
      </c>
      <c r="J18" s="32" t="s">
        <v>958</v>
      </c>
      <c r="K18" s="13">
        <v>71765</v>
      </c>
    </row>
    <row r="19" spans="1:12" ht="13.5" customHeight="1" x14ac:dyDescent="0.2">
      <c r="A19" s="2" t="s">
        <v>24</v>
      </c>
      <c r="B19" s="76">
        <v>45512</v>
      </c>
      <c r="C19" s="163" t="s">
        <v>450</v>
      </c>
      <c r="D19" s="20">
        <v>45658</v>
      </c>
      <c r="E19" s="20">
        <v>45687</v>
      </c>
      <c r="F19" s="11">
        <f t="shared" si="1"/>
        <v>30</v>
      </c>
      <c r="G19" s="12">
        <v>238</v>
      </c>
      <c r="H19" s="13">
        <v>1</v>
      </c>
      <c r="I19" s="19">
        <f t="shared" si="0"/>
        <v>238</v>
      </c>
      <c r="J19" s="32" t="s">
        <v>451</v>
      </c>
      <c r="K19" s="13"/>
    </row>
    <row r="20" spans="1:12" ht="13.5" customHeight="1" x14ac:dyDescent="0.2">
      <c r="A20" s="2" t="s">
        <v>24</v>
      </c>
      <c r="B20" s="76">
        <v>45512</v>
      </c>
      <c r="C20" s="163" t="s">
        <v>452</v>
      </c>
      <c r="D20" s="20">
        <v>45658</v>
      </c>
      <c r="E20" s="20">
        <v>45687</v>
      </c>
      <c r="F20" s="11">
        <f t="shared" si="1"/>
        <v>30</v>
      </c>
      <c r="G20" s="12">
        <v>238</v>
      </c>
      <c r="H20" s="13">
        <v>1</v>
      </c>
      <c r="I20" s="19">
        <f t="shared" si="0"/>
        <v>238</v>
      </c>
      <c r="J20" s="32" t="s">
        <v>324</v>
      </c>
      <c r="K20" s="13"/>
    </row>
    <row r="21" spans="1:12" ht="13.5" customHeight="1" x14ac:dyDescent="0.2">
      <c r="A21" s="2" t="s">
        <v>33</v>
      </c>
      <c r="B21" s="76">
        <v>45512</v>
      </c>
      <c r="C21" s="163" t="s">
        <v>453</v>
      </c>
      <c r="D21" s="20">
        <v>45658</v>
      </c>
      <c r="E21" s="20">
        <v>45687</v>
      </c>
      <c r="F21" s="11">
        <f t="shared" si="1"/>
        <v>30</v>
      </c>
      <c r="G21" s="12">
        <v>497</v>
      </c>
      <c r="H21" s="13">
        <v>1</v>
      </c>
      <c r="I21" s="19">
        <f t="shared" si="0"/>
        <v>497</v>
      </c>
      <c r="J21" s="32" t="s">
        <v>454</v>
      </c>
      <c r="K21" s="13"/>
    </row>
    <row r="22" spans="1:12" ht="13.5" customHeight="1" x14ac:dyDescent="0.2">
      <c r="A22" s="2" t="s">
        <v>33</v>
      </c>
      <c r="B22" s="76">
        <v>45512</v>
      </c>
      <c r="C22" s="163" t="s">
        <v>455</v>
      </c>
      <c r="D22" s="20">
        <v>45658</v>
      </c>
      <c r="E22" s="20">
        <v>45687</v>
      </c>
      <c r="F22" s="11">
        <f t="shared" si="1"/>
        <v>30</v>
      </c>
      <c r="G22" s="12">
        <v>497</v>
      </c>
      <c r="H22" s="13">
        <v>1</v>
      </c>
      <c r="I22" s="19">
        <f t="shared" si="0"/>
        <v>497</v>
      </c>
      <c r="J22" s="32" t="s">
        <v>456</v>
      </c>
      <c r="K22" s="13"/>
    </row>
    <row r="23" spans="1:12" ht="13.5" customHeight="1" x14ac:dyDescent="0.2">
      <c r="A23" s="2" t="s">
        <v>33</v>
      </c>
      <c r="B23" s="76">
        <v>45512</v>
      </c>
      <c r="C23" s="163" t="s">
        <v>457</v>
      </c>
      <c r="D23" s="20">
        <v>45658</v>
      </c>
      <c r="E23" s="20">
        <v>45687</v>
      </c>
      <c r="F23" s="11">
        <f t="shared" si="1"/>
        <v>30</v>
      </c>
      <c r="G23" s="12">
        <v>497</v>
      </c>
      <c r="H23" s="13">
        <v>1</v>
      </c>
      <c r="I23" s="19">
        <f t="shared" si="0"/>
        <v>497</v>
      </c>
      <c r="J23" s="32" t="s">
        <v>570</v>
      </c>
      <c r="K23" s="13">
        <v>69130</v>
      </c>
    </row>
    <row r="24" spans="1:12" ht="13.5" customHeight="1" x14ac:dyDescent="0.2">
      <c r="A24" s="2" t="s">
        <v>33</v>
      </c>
      <c r="B24" s="76">
        <v>45605</v>
      </c>
      <c r="C24" s="163" t="s">
        <v>960</v>
      </c>
      <c r="D24" s="20">
        <v>45658</v>
      </c>
      <c r="E24" s="20">
        <v>45687</v>
      </c>
      <c r="F24" s="11">
        <f t="shared" si="1"/>
        <v>30</v>
      </c>
      <c r="G24" s="12">
        <v>497</v>
      </c>
      <c r="H24" s="13">
        <v>1</v>
      </c>
      <c r="I24" s="19">
        <f t="shared" si="0"/>
        <v>497</v>
      </c>
      <c r="J24" s="32" t="s">
        <v>961</v>
      </c>
      <c r="K24" s="13">
        <v>70074</v>
      </c>
      <c r="L24" s="7" t="s">
        <v>962</v>
      </c>
    </row>
    <row r="25" spans="1:12" ht="13.5" customHeight="1" x14ac:dyDescent="0.2">
      <c r="A25" s="2"/>
      <c r="B25" s="76"/>
      <c r="C25" s="135"/>
      <c r="D25" s="20"/>
      <c r="E25" s="20"/>
      <c r="F25" s="11"/>
      <c r="G25" s="12"/>
      <c r="H25" s="13"/>
      <c r="I25" s="19"/>
      <c r="J25" s="32"/>
      <c r="K25" s="13"/>
    </row>
    <row r="26" spans="1:12" ht="13.5" customHeight="1" x14ac:dyDescent="0.25">
      <c r="A26" s="21" t="s">
        <v>181</v>
      </c>
      <c r="B26" s="26"/>
      <c r="C26" s="137"/>
      <c r="D26" s="23"/>
      <c r="E26" s="23"/>
      <c r="F26" s="24"/>
      <c r="G26" s="23"/>
      <c r="H26" s="22">
        <f>SUM(H15:H25)</f>
        <v>10</v>
      </c>
      <c r="I26" s="112">
        <f>SUM(I15:I25)</f>
        <v>3316</v>
      </c>
      <c r="J26" s="33"/>
      <c r="K26" s="116"/>
    </row>
    <row r="27" spans="1:12" ht="13.5" customHeight="1" x14ac:dyDescent="0.25">
      <c r="D27" s="8"/>
      <c r="E27" s="8"/>
      <c r="F27" s="9"/>
      <c r="G27" s="10"/>
      <c r="I27" s="10"/>
      <c r="J27" s="4"/>
    </row>
    <row r="28" spans="1:12" ht="13.5" customHeight="1" x14ac:dyDescent="0.25">
      <c r="D28" s="8"/>
      <c r="E28" s="8"/>
      <c r="F28" s="9"/>
      <c r="G28" s="10"/>
      <c r="H28" s="50">
        <f>H26</f>
        <v>10</v>
      </c>
      <c r="I28" s="25">
        <f>I26</f>
        <v>3316</v>
      </c>
      <c r="J28" s="16"/>
    </row>
    <row r="29" spans="1:12" ht="13.5" customHeight="1" x14ac:dyDescent="0.25">
      <c r="D29" s="8"/>
      <c r="E29" s="8"/>
      <c r="F29" s="9"/>
      <c r="G29" s="10"/>
      <c r="I29" s="10"/>
      <c r="J29" s="16"/>
    </row>
    <row r="30" spans="1:12" ht="13.5" customHeight="1" x14ac:dyDescent="0.25">
      <c r="D30" s="8"/>
      <c r="E30" s="8"/>
      <c r="F30" s="9"/>
      <c r="G30" s="10"/>
      <c r="I30" s="10"/>
      <c r="J30" s="7"/>
    </row>
    <row r="31" spans="1:12" ht="13.5" customHeight="1" x14ac:dyDescent="0.25">
      <c r="A31" s="289" t="s">
        <v>124</v>
      </c>
      <c r="B31" s="289"/>
      <c r="C31" s="289"/>
      <c r="D31" s="289"/>
      <c r="E31" s="289"/>
      <c r="F31" s="289"/>
      <c r="G31" s="289"/>
      <c r="H31" s="289"/>
      <c r="I31" s="289"/>
      <c r="J31" s="7"/>
    </row>
    <row r="32" spans="1:12" s="15" customFormat="1" ht="13.5" customHeight="1" x14ac:dyDescent="0.25">
      <c r="A32" s="7"/>
      <c r="C32" s="7"/>
      <c r="D32" s="7"/>
      <c r="E32" s="7"/>
      <c r="F32" s="7"/>
      <c r="G32" s="7"/>
      <c r="H32" s="7"/>
      <c r="I32" s="7"/>
      <c r="J32" s="7"/>
      <c r="L32" s="7"/>
    </row>
    <row r="33" spans="1:12" s="15" customFormat="1" ht="13.5" customHeight="1" x14ac:dyDescent="0.2">
      <c r="A33" s="27" t="s">
        <v>125</v>
      </c>
      <c r="B33" s="7"/>
      <c r="C33" s="7"/>
      <c r="D33" s="7"/>
      <c r="E33" s="7"/>
      <c r="F33" s="71"/>
      <c r="G33" s="10"/>
      <c r="H33" s="7"/>
      <c r="I33" s="72"/>
      <c r="J33" s="7"/>
      <c r="L33" s="7"/>
    </row>
    <row r="34" spans="1:12" s="15" customFormat="1" ht="60" customHeight="1" x14ac:dyDescent="0.25">
      <c r="A34" s="291"/>
      <c r="B34" s="275"/>
      <c r="C34" s="292"/>
      <c r="D34" s="290"/>
      <c r="E34" s="290"/>
      <c r="F34" s="290"/>
      <c r="G34" s="290"/>
      <c r="H34" s="290"/>
      <c r="I34" s="290"/>
      <c r="J34" s="7"/>
      <c r="L34" s="7"/>
    </row>
    <row r="35" spans="1:12" s="15" customFormat="1" ht="13.5" customHeight="1" x14ac:dyDescent="0.25">
      <c r="A35" s="274" t="s">
        <v>126</v>
      </c>
      <c r="B35" s="274"/>
      <c r="C35" s="274"/>
      <c r="D35" s="274" t="s">
        <v>127</v>
      </c>
      <c r="E35" s="274"/>
      <c r="F35" s="274"/>
      <c r="G35" s="274"/>
      <c r="H35" s="274"/>
      <c r="I35" s="274"/>
      <c r="J35" s="7"/>
      <c r="L35" s="7"/>
    </row>
    <row r="36" spans="1:12" s="15" customFormat="1" ht="13.5" customHeight="1" x14ac:dyDescent="0.25">
      <c r="A36" s="7"/>
      <c r="C36" s="7"/>
      <c r="D36" s="8"/>
      <c r="E36" s="8"/>
      <c r="F36" s="9"/>
      <c r="G36" s="10"/>
      <c r="H36" s="7"/>
      <c r="I36" s="10"/>
      <c r="J36" s="7"/>
      <c r="L36" s="7"/>
    </row>
    <row r="37" spans="1:12" s="15" customFormat="1" ht="13.5" customHeight="1" x14ac:dyDescent="0.25">
      <c r="A37" s="7"/>
      <c r="C37" s="7"/>
      <c r="D37" s="8"/>
      <c r="E37" s="8"/>
      <c r="F37" s="9"/>
      <c r="G37" s="10"/>
      <c r="H37" s="7"/>
      <c r="I37" s="10"/>
      <c r="J37" s="7"/>
      <c r="L37" s="7"/>
    </row>
    <row r="38" spans="1:12" s="15" customFormat="1" ht="13.5" customHeight="1" x14ac:dyDescent="0.25">
      <c r="A38" s="7"/>
      <c r="C38" s="7"/>
      <c r="D38" s="8"/>
      <c r="E38" s="8"/>
      <c r="F38" s="9"/>
      <c r="G38" s="10"/>
      <c r="H38" s="7"/>
      <c r="I38" s="10"/>
      <c r="J38" s="7"/>
      <c r="L38" s="7"/>
    </row>
    <row r="39" spans="1:12" s="15" customFormat="1" ht="13.5" customHeight="1" x14ac:dyDescent="0.2">
      <c r="A39" s="266" t="s">
        <v>29</v>
      </c>
      <c r="B39" s="266"/>
      <c r="C39" s="266"/>
      <c r="D39" s="266"/>
      <c r="E39" s="266"/>
      <c r="F39" s="266"/>
      <c r="G39" s="51"/>
      <c r="H39" s="7"/>
      <c r="I39" s="10"/>
      <c r="J39" s="16"/>
      <c r="L39" s="7"/>
    </row>
    <row r="40" spans="1:12" s="15" customFormat="1" ht="13.5" customHeight="1" x14ac:dyDescent="0.2">
      <c r="A40" s="267" t="s">
        <v>45</v>
      </c>
      <c r="B40" s="267"/>
      <c r="C40" s="267"/>
      <c r="D40" s="267"/>
      <c r="E40" s="283" t="s">
        <v>5</v>
      </c>
      <c r="F40" s="282" t="s">
        <v>6</v>
      </c>
      <c r="G40" s="52"/>
      <c r="H40" s="7"/>
      <c r="I40" s="10"/>
      <c r="J40" s="16"/>
      <c r="L40" s="7"/>
    </row>
    <row r="41" spans="1:12" s="15" customFormat="1" ht="13.5" customHeight="1" x14ac:dyDescent="0.2">
      <c r="A41" s="34" t="s">
        <v>0</v>
      </c>
      <c r="B41" s="34" t="s">
        <v>3</v>
      </c>
      <c r="C41" s="34" t="s">
        <v>2</v>
      </c>
      <c r="D41" s="34" t="s">
        <v>4</v>
      </c>
      <c r="E41" s="284"/>
      <c r="F41" s="282"/>
      <c r="G41" s="53"/>
      <c r="H41" s="7"/>
      <c r="I41" s="7"/>
      <c r="L41" s="7"/>
    </row>
    <row r="42" spans="1:12" s="15" customFormat="1" ht="13.5" customHeight="1" x14ac:dyDescent="0.2">
      <c r="A42" s="2" t="s">
        <v>18</v>
      </c>
      <c r="B42" s="39"/>
      <c r="C42" s="35">
        <v>37</v>
      </c>
      <c r="D42" s="35">
        <v>0</v>
      </c>
      <c r="E42" s="13">
        <f>COUNTIFS($A$12:$A$30,"Cond Ar Janela 7.500 BTU/h")</f>
        <v>0</v>
      </c>
      <c r="F42" s="40">
        <f>B42-E42</f>
        <v>0</v>
      </c>
      <c r="G42" s="1"/>
      <c r="H42" s="7"/>
      <c r="I42" s="7"/>
      <c r="L42" s="7"/>
    </row>
    <row r="43" spans="1:12" s="15" customFormat="1" ht="13.5" customHeight="1" x14ac:dyDescent="0.2">
      <c r="A43" s="2" t="s">
        <v>19</v>
      </c>
      <c r="B43" s="39"/>
      <c r="C43" s="3">
        <v>210</v>
      </c>
      <c r="D43" s="3">
        <f t="shared" ref="D43:D52" si="2">B43*C43</f>
        <v>0</v>
      </c>
      <c r="E43" s="13">
        <f>COUNTIFS($A$12:$A$30,"Cond Ar Janela 10.000 BTU/h")</f>
        <v>0</v>
      </c>
      <c r="F43" s="40">
        <f t="shared" ref="F43:F64" si="3">B43-E43</f>
        <v>0</v>
      </c>
      <c r="G43" s="1"/>
      <c r="H43" s="7"/>
      <c r="I43" s="7"/>
      <c r="L43" s="7"/>
    </row>
    <row r="44" spans="1:12" s="15" customFormat="1" ht="13.5" customHeight="1" x14ac:dyDescent="0.2">
      <c r="A44" s="2" t="s">
        <v>20</v>
      </c>
      <c r="B44" s="39"/>
      <c r="C44" s="3">
        <v>208</v>
      </c>
      <c r="D44" s="3">
        <f t="shared" si="2"/>
        <v>0</v>
      </c>
      <c r="E44" s="13">
        <f>COUNTIFS($A$12:$A$30,"Cond Ar Janela 18.000 BTU/h")</f>
        <v>0</v>
      </c>
      <c r="F44" s="40">
        <f t="shared" si="3"/>
        <v>0</v>
      </c>
      <c r="G44" s="1"/>
      <c r="H44" s="7"/>
      <c r="I44" s="7"/>
      <c r="L44" s="7"/>
    </row>
    <row r="45" spans="1:12" s="15" customFormat="1" ht="13.5" customHeight="1" x14ac:dyDescent="0.2">
      <c r="A45" s="2" t="s">
        <v>21</v>
      </c>
      <c r="B45" s="39"/>
      <c r="C45" s="3">
        <v>57</v>
      </c>
      <c r="D45" s="3">
        <f t="shared" si="2"/>
        <v>0</v>
      </c>
      <c r="E45" s="13">
        <f>COUNTIFS($A$12:$A$30,"Cond Ar Janela 21.000 BTU/h")</f>
        <v>0</v>
      </c>
      <c r="F45" s="40">
        <f t="shared" si="3"/>
        <v>0</v>
      </c>
      <c r="G45" s="1"/>
      <c r="H45" s="7"/>
      <c r="I45" s="7"/>
      <c r="L45" s="7"/>
    </row>
    <row r="46" spans="1:12" s="15" customFormat="1" ht="13.5" customHeight="1" x14ac:dyDescent="0.2">
      <c r="A46" s="2" t="s">
        <v>22</v>
      </c>
      <c r="B46" s="39">
        <v>3</v>
      </c>
      <c r="C46" s="3">
        <v>147</v>
      </c>
      <c r="D46" s="3">
        <f t="shared" si="2"/>
        <v>441</v>
      </c>
      <c r="E46" s="13">
        <f>COUNTIFS($A$12:$A$30,"Cond Ar Split 9.000 BTU/h Hi Wall")</f>
        <v>1</v>
      </c>
      <c r="F46" s="40">
        <f t="shared" si="3"/>
        <v>2</v>
      </c>
      <c r="G46" s="1"/>
      <c r="H46" s="7"/>
      <c r="I46" s="7"/>
      <c r="L46" s="7"/>
    </row>
    <row r="47" spans="1:12" s="15" customFormat="1" ht="13.5" customHeight="1" x14ac:dyDescent="0.2">
      <c r="A47" s="2" t="s">
        <v>23</v>
      </c>
      <c r="B47" s="39">
        <v>3</v>
      </c>
      <c r="C47" s="3">
        <v>235</v>
      </c>
      <c r="D47" s="3">
        <f t="shared" si="2"/>
        <v>705</v>
      </c>
      <c r="E47" s="13">
        <f>COUNTIFS($A$12:$A$30,"Cond Ar Split 12.000 BTU/h Hi Wall")</f>
        <v>3</v>
      </c>
      <c r="F47" s="40">
        <f t="shared" si="3"/>
        <v>0</v>
      </c>
      <c r="G47" s="1"/>
      <c r="H47" s="7"/>
      <c r="I47" s="7"/>
      <c r="L47" s="7"/>
    </row>
    <row r="48" spans="1:12" s="15" customFormat="1" ht="13.5" customHeight="1" x14ac:dyDescent="0.2">
      <c r="A48" s="2" t="s">
        <v>24</v>
      </c>
      <c r="B48" s="39">
        <v>2</v>
      </c>
      <c r="C48" s="3">
        <v>238</v>
      </c>
      <c r="D48" s="3">
        <f t="shared" si="2"/>
        <v>476</v>
      </c>
      <c r="E48" s="13">
        <f>COUNTIFS($A$12:$A$30,"Cond Ar Split 18.000 BTU/h Hi Wall")</f>
        <v>2</v>
      </c>
      <c r="F48" s="40">
        <f t="shared" si="3"/>
        <v>0</v>
      </c>
      <c r="G48" s="1"/>
      <c r="H48" s="7"/>
      <c r="I48" s="7"/>
      <c r="L48" s="7"/>
    </row>
    <row r="49" spans="1:12" s="15" customFormat="1" ht="13.5" customHeight="1" x14ac:dyDescent="0.2">
      <c r="A49" s="2" t="s">
        <v>25</v>
      </c>
      <c r="B49" s="39"/>
      <c r="C49" s="3">
        <v>242</v>
      </c>
      <c r="D49" s="3">
        <f t="shared" si="2"/>
        <v>0</v>
      </c>
      <c r="E49" s="13">
        <f>COUNTIFS($A$12:$A$30,"Cond Ar Split 22.000 BTU/h Hi Wall")</f>
        <v>0</v>
      </c>
      <c r="F49" s="40">
        <f t="shared" si="3"/>
        <v>0</v>
      </c>
      <c r="G49" s="1"/>
      <c r="H49" s="7"/>
      <c r="I49" s="7"/>
      <c r="L49" s="7"/>
    </row>
    <row r="50" spans="1:12" s="15" customFormat="1" ht="13.5" customHeight="1" x14ac:dyDescent="0.2">
      <c r="A50" s="2" t="s">
        <v>26</v>
      </c>
      <c r="B50" s="39"/>
      <c r="C50" s="3">
        <v>260</v>
      </c>
      <c r="D50" s="3">
        <f t="shared" si="2"/>
        <v>0</v>
      </c>
      <c r="E50" s="13">
        <f>COUNTIFS($A$12:$A$30,"Cond Ar Split 24.000 BTU/h Hi Wall")</f>
        <v>0</v>
      </c>
      <c r="F50" s="40">
        <f t="shared" si="3"/>
        <v>0</v>
      </c>
      <c r="G50" s="1"/>
      <c r="H50" s="7"/>
      <c r="I50" s="7"/>
      <c r="L50" s="7"/>
    </row>
    <row r="51" spans="1:12" s="15" customFormat="1" ht="13.5" customHeight="1" x14ac:dyDescent="0.2">
      <c r="A51" s="2" t="s">
        <v>27</v>
      </c>
      <c r="B51" s="39"/>
      <c r="C51" s="3">
        <v>347</v>
      </c>
      <c r="D51" s="3">
        <f t="shared" si="2"/>
        <v>0</v>
      </c>
      <c r="E51" s="13">
        <f>COUNTIFS($A$12:$A$30,"Cond Ar Split 30.000 BTU/h Hi Wall")</f>
        <v>0</v>
      </c>
      <c r="F51" s="40">
        <f t="shared" si="3"/>
        <v>0</v>
      </c>
      <c r="G51" s="1"/>
      <c r="H51" s="7"/>
      <c r="I51" s="7"/>
      <c r="L51" s="7"/>
    </row>
    <row r="52" spans="1:12" s="15" customFormat="1" ht="13.5" customHeight="1" x14ac:dyDescent="0.2">
      <c r="A52" s="2" t="s">
        <v>30</v>
      </c>
      <c r="B52" s="39"/>
      <c r="C52" s="3">
        <v>367</v>
      </c>
      <c r="D52" s="3">
        <f t="shared" si="2"/>
        <v>0</v>
      </c>
      <c r="E52" s="13">
        <f>COUNTIFS($A$12:$A$30,"Cond Ar Split 24.000 BTU/h Piso/Teto")</f>
        <v>0</v>
      </c>
      <c r="F52" s="40">
        <f t="shared" si="3"/>
        <v>0</v>
      </c>
      <c r="G52" s="1"/>
      <c r="H52" s="7"/>
      <c r="I52" s="7"/>
      <c r="L52" s="7"/>
    </row>
    <row r="53" spans="1:12" s="15" customFormat="1" ht="13.5" customHeight="1" x14ac:dyDescent="0.2">
      <c r="A53" s="2" t="s">
        <v>31</v>
      </c>
      <c r="B53" s="39"/>
      <c r="C53" s="3">
        <v>367</v>
      </c>
      <c r="D53" s="3">
        <f>B53*C53</f>
        <v>0</v>
      </c>
      <c r="E53" s="13">
        <f>COUNTIFS($A$12:$A$30,"Cond Ar Split 30.000 BTU/h Piso/Teto")</f>
        <v>0</v>
      </c>
      <c r="F53" s="40">
        <f t="shared" si="3"/>
        <v>0</v>
      </c>
      <c r="G53" s="1"/>
      <c r="H53" s="7"/>
      <c r="I53" s="7"/>
      <c r="L53" s="7"/>
    </row>
    <row r="54" spans="1:12" s="15" customFormat="1" ht="13.5" customHeight="1" x14ac:dyDescent="0.2">
      <c r="A54" s="2" t="s">
        <v>32</v>
      </c>
      <c r="B54" s="39"/>
      <c r="C54" s="3">
        <v>447</v>
      </c>
      <c r="D54" s="3">
        <f>B54*C54</f>
        <v>0</v>
      </c>
      <c r="E54" s="13">
        <f>COUNTIFS($A$12:$A$30,"Cond Ar Split 36.000 BTU/h Piso/Teto")</f>
        <v>0</v>
      </c>
      <c r="F54" s="40">
        <f t="shared" si="3"/>
        <v>0</v>
      </c>
      <c r="G54" s="1"/>
      <c r="H54" s="7"/>
      <c r="I54" s="7"/>
      <c r="L54" s="7"/>
    </row>
    <row r="55" spans="1:12" s="15" customFormat="1" ht="13.5" customHeight="1" x14ac:dyDescent="0.2">
      <c r="A55" s="2" t="s">
        <v>33</v>
      </c>
      <c r="B55" s="39">
        <v>4</v>
      </c>
      <c r="C55" s="3">
        <v>497</v>
      </c>
      <c r="D55" s="3">
        <f>B55*C55</f>
        <v>1988</v>
      </c>
      <c r="E55" s="13">
        <f>COUNTIFS($A$12:$A$30,"Cond Ar Split 48.000 BTU/h Piso/Teto")</f>
        <v>4</v>
      </c>
      <c r="F55" s="40">
        <f t="shared" si="3"/>
        <v>0</v>
      </c>
      <c r="G55" s="1"/>
      <c r="H55" s="7"/>
      <c r="I55" s="7"/>
      <c r="L55" s="7"/>
    </row>
    <row r="56" spans="1:12" s="15" customFormat="1" ht="13.5" customHeight="1" x14ac:dyDescent="0.2">
      <c r="A56" s="2" t="s">
        <v>34</v>
      </c>
      <c r="B56" s="39"/>
      <c r="C56" s="3">
        <v>597</v>
      </c>
      <c r="D56" s="3">
        <f t="shared" ref="D56:D64" si="4">B56*C56</f>
        <v>0</v>
      </c>
      <c r="E56" s="13">
        <f>COUNTIFS($A$12:$A$30,"Cond Ar Split 60.000 BTU/h Piso/Teto")</f>
        <v>0</v>
      </c>
      <c r="F56" s="40">
        <f t="shared" si="3"/>
        <v>0</v>
      </c>
      <c r="G56" s="1"/>
      <c r="H56" s="7"/>
      <c r="I56" s="7"/>
      <c r="L56" s="7"/>
    </row>
    <row r="57" spans="1:12" s="15" customFormat="1" ht="13.5" customHeight="1" x14ac:dyDescent="0.2">
      <c r="A57" s="2" t="s">
        <v>35</v>
      </c>
      <c r="B57" s="39"/>
      <c r="C57" s="3">
        <v>395</v>
      </c>
      <c r="D57" s="3">
        <f t="shared" si="4"/>
        <v>0</v>
      </c>
      <c r="E57" s="13">
        <f>COUNTIFS($A$12:$A$30,"Cond Ar Split 18.000 BTU/h Cassete")</f>
        <v>0</v>
      </c>
      <c r="F57" s="40">
        <f t="shared" si="3"/>
        <v>0</v>
      </c>
      <c r="G57" s="1"/>
      <c r="H57" s="7"/>
      <c r="I57" s="7"/>
    </row>
    <row r="58" spans="1:12" s="15" customFormat="1" ht="13.5" customHeight="1" x14ac:dyDescent="0.2">
      <c r="A58" s="2" t="s">
        <v>36</v>
      </c>
      <c r="B58" s="39"/>
      <c r="C58" s="3">
        <v>442.75</v>
      </c>
      <c r="D58" s="3">
        <f t="shared" si="4"/>
        <v>0</v>
      </c>
      <c r="E58" s="13">
        <f>COUNTIFS($A$12:$A$30,"Cond Ar Split 24.000 BTU/h Cassete")</f>
        <v>0</v>
      </c>
      <c r="F58" s="40">
        <f t="shared" si="3"/>
        <v>0</v>
      </c>
      <c r="G58" s="1"/>
      <c r="H58" s="7"/>
      <c r="I58" s="7"/>
    </row>
    <row r="59" spans="1:12" s="15" customFormat="1" ht="13.5" customHeight="1" x14ac:dyDescent="0.2">
      <c r="A59" s="2" t="s">
        <v>37</v>
      </c>
      <c r="B59" s="39"/>
      <c r="C59" s="3">
        <v>430</v>
      </c>
      <c r="D59" s="3">
        <f t="shared" si="4"/>
        <v>0</v>
      </c>
      <c r="E59" s="13">
        <f>COUNTIFS($A$12:$A$30,"Cond Ar Split 30.000 BTU/h Cassete")</f>
        <v>0</v>
      </c>
      <c r="F59" s="40">
        <f t="shared" si="3"/>
        <v>0</v>
      </c>
      <c r="G59" s="1"/>
      <c r="H59" s="7"/>
      <c r="I59" s="7"/>
    </row>
    <row r="60" spans="1:12" s="15" customFormat="1" ht="13.5" customHeight="1" x14ac:dyDescent="0.2">
      <c r="A60" s="2" t="s">
        <v>38</v>
      </c>
      <c r="B60" s="39"/>
      <c r="C60" s="3">
        <v>478</v>
      </c>
      <c r="D60" s="3">
        <f t="shared" si="4"/>
        <v>0</v>
      </c>
      <c r="E60" s="13">
        <f>COUNTIFS($A$12:$A$30,"Cond Ar Split 36.000 BTU/h Cassete")</f>
        <v>0</v>
      </c>
      <c r="F60" s="40">
        <f t="shared" si="3"/>
        <v>0</v>
      </c>
      <c r="G60" s="1"/>
      <c r="H60" s="7"/>
      <c r="I60" s="7"/>
    </row>
    <row r="61" spans="1:12" s="15" customFormat="1" ht="13.5" customHeight="1" x14ac:dyDescent="0.2">
      <c r="A61" s="2" t="s">
        <v>39</v>
      </c>
      <c r="B61" s="39"/>
      <c r="C61" s="3">
        <v>577</v>
      </c>
      <c r="D61" s="3">
        <f t="shared" si="4"/>
        <v>0</v>
      </c>
      <c r="E61" s="13">
        <f>COUNTIFS($A$12:$A$30,"Cond Ar Split 48.000 BTU/h Cassete")</f>
        <v>0</v>
      </c>
      <c r="F61" s="40">
        <f t="shared" si="3"/>
        <v>0</v>
      </c>
      <c r="G61" s="1"/>
      <c r="H61" s="7"/>
      <c r="I61" s="7"/>
    </row>
    <row r="62" spans="1:12" s="15" customFormat="1" ht="13.5" customHeight="1" x14ac:dyDescent="0.2">
      <c r="A62" s="2" t="s">
        <v>40</v>
      </c>
      <c r="B62" s="39"/>
      <c r="C62" s="3">
        <v>645</v>
      </c>
      <c r="D62" s="3">
        <f t="shared" si="4"/>
        <v>0</v>
      </c>
      <c r="E62" s="13">
        <f>COUNTIFS($A$12:$A$30,"Cond Ar Split 60.000 BTU/h Cassete")</f>
        <v>0</v>
      </c>
      <c r="F62" s="40">
        <f t="shared" si="3"/>
        <v>0</v>
      </c>
      <c r="G62" s="1"/>
      <c r="H62" s="7"/>
      <c r="I62" s="7"/>
    </row>
    <row r="63" spans="1:12" s="15" customFormat="1" ht="13.5" customHeight="1" x14ac:dyDescent="0.2">
      <c r="A63" s="2" t="s">
        <v>41</v>
      </c>
      <c r="B63" s="39"/>
      <c r="C63" s="3">
        <v>147</v>
      </c>
      <c r="D63" s="3">
        <f t="shared" si="4"/>
        <v>0</v>
      </c>
      <c r="E63" s="13">
        <f>COUNTIFS($A$12:$A$30,"Cond Ar Tri Split 36.000 BTU/h (3x12.000)")</f>
        <v>0</v>
      </c>
      <c r="F63" s="40">
        <f t="shared" si="3"/>
        <v>0</v>
      </c>
      <c r="G63" s="1"/>
      <c r="H63" s="7"/>
      <c r="I63" s="7"/>
    </row>
    <row r="64" spans="1:12" s="15" customFormat="1" ht="13.5" customHeight="1" x14ac:dyDescent="0.2">
      <c r="A64" s="2" t="s">
        <v>42</v>
      </c>
      <c r="B64" s="39"/>
      <c r="C64" s="3">
        <v>100</v>
      </c>
      <c r="D64" s="3">
        <f t="shared" si="4"/>
        <v>0</v>
      </c>
      <c r="E64" s="13">
        <f>COUNTIFS($A$12:$A$30,"Cond Ar Portátil 12.000 BTU/h")</f>
        <v>0</v>
      </c>
      <c r="F64" s="40">
        <f t="shared" si="3"/>
        <v>0</v>
      </c>
      <c r="G64" s="1"/>
      <c r="H64" s="7"/>
      <c r="I64" s="7"/>
    </row>
    <row r="65" spans="1:10" s="15" customFormat="1" ht="13.5" customHeight="1" x14ac:dyDescent="0.2">
      <c r="A65" s="36" t="s">
        <v>7</v>
      </c>
      <c r="B65" s="22">
        <f>SUM(B42:B64)</f>
        <v>12</v>
      </c>
      <c r="C65" s="38"/>
      <c r="D65" s="37">
        <f>SUM(D42:D64)</f>
        <v>3610</v>
      </c>
      <c r="E65" s="22">
        <f>SUM(E42:E64)</f>
        <v>10</v>
      </c>
      <c r="F65" s="41">
        <f>SUM(F42:F64)</f>
        <v>2</v>
      </c>
      <c r="G65" s="54"/>
      <c r="H65" s="7"/>
      <c r="I65" s="7"/>
    </row>
    <row r="69" spans="1:10" s="15" customFormat="1" ht="13.5" customHeight="1" x14ac:dyDescent="0.25">
      <c r="A69" s="7"/>
      <c r="C69" s="7"/>
      <c r="D69" s="7"/>
      <c r="E69" s="7"/>
      <c r="F69" s="17"/>
      <c r="G69" s="7"/>
      <c r="H69" s="7"/>
      <c r="I69" s="7"/>
      <c r="J69" s="16"/>
    </row>
  </sheetData>
  <mergeCells count="27">
    <mergeCell ref="A35:C35"/>
    <mergeCell ref="D35:I35"/>
    <mergeCell ref="A39:F39"/>
    <mergeCell ref="A40:D40"/>
    <mergeCell ref="E40:E41"/>
    <mergeCell ref="F40:F41"/>
    <mergeCell ref="A34:C34"/>
    <mergeCell ref="D34:I34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31:I31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7">
    <pageSetUpPr fitToPage="1"/>
  </sheetPr>
  <dimension ref="A1:I23"/>
  <sheetViews>
    <sheetView showGridLines="0" workbookViewId="0">
      <pane ySplit="11" topLeftCell="A12" activePane="bottomLeft" state="frozen"/>
      <selection activeCell="G5" sqref="G5:I5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343</v>
      </c>
      <c r="B8" s="297"/>
      <c r="C8" s="297"/>
      <c r="D8" s="297"/>
      <c r="E8" s="297"/>
      <c r="F8" s="298"/>
    </row>
    <row r="9" spans="1:6" ht="13.5" customHeight="1" x14ac:dyDescent="0.25">
      <c r="A9" s="60" t="s">
        <v>322</v>
      </c>
      <c r="B9" s="270" t="s">
        <v>368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s="6" customFormat="1" ht="13.5" customHeight="1" x14ac:dyDescent="0.2">
      <c r="A12" s="310"/>
      <c r="B12" s="311"/>
      <c r="C12" s="241"/>
      <c r="D12" s="104"/>
      <c r="E12" s="84"/>
      <c r="F12" s="109"/>
    </row>
    <row r="13" spans="1:6" ht="13.5" customHeight="1" x14ac:dyDescent="0.2">
      <c r="A13" s="310"/>
      <c r="B13" s="311"/>
      <c r="C13" s="155"/>
      <c r="D13" s="104"/>
      <c r="E13" s="82"/>
      <c r="F13" s="109"/>
    </row>
    <row r="14" spans="1:6" ht="13.5" customHeight="1" x14ac:dyDescent="0.2">
      <c r="A14" s="310"/>
      <c r="B14" s="311"/>
      <c r="C14" s="155"/>
      <c r="D14" s="104"/>
      <c r="E14" s="82"/>
      <c r="F14" s="109"/>
    </row>
    <row r="15" spans="1:6" ht="13.5" customHeight="1" x14ac:dyDescent="0.2">
      <c r="A15" s="310"/>
      <c r="B15" s="311"/>
      <c r="C15" s="102"/>
      <c r="D15" s="104"/>
      <c r="E15" s="82"/>
      <c r="F15" s="109"/>
    </row>
    <row r="16" spans="1:6" ht="13.5" customHeight="1" x14ac:dyDescent="0.25">
      <c r="A16" s="271" t="s">
        <v>181</v>
      </c>
      <c r="B16" s="273"/>
      <c r="C16" s="58">
        <f>SUM(C12:C15)</f>
        <v>0</v>
      </c>
      <c r="D16" s="57"/>
      <c r="E16" s="57"/>
      <c r="F16" s="73">
        <f>SUM(F12:F15)</f>
        <v>0</v>
      </c>
    </row>
    <row r="17" spans="1:9" ht="13.5" customHeight="1" x14ac:dyDescent="0.25">
      <c r="A17" s="105"/>
      <c r="B17" s="105"/>
      <c r="C17" s="105"/>
      <c r="D17" s="106"/>
      <c r="E17" s="107"/>
      <c r="F17" s="108"/>
    </row>
    <row r="19" spans="1:9" ht="13.5" customHeight="1" x14ac:dyDescent="0.25">
      <c r="A19" s="289" t="s">
        <v>124</v>
      </c>
      <c r="B19" s="289"/>
      <c r="C19" s="289"/>
      <c r="D19" s="289"/>
      <c r="E19" s="289"/>
      <c r="F19" s="289"/>
      <c r="G19" s="74"/>
      <c r="H19" s="74"/>
      <c r="I19" s="74"/>
    </row>
    <row r="21" spans="1:9" ht="13.5" customHeight="1" x14ac:dyDescent="0.2">
      <c r="A21" s="27" t="s">
        <v>125</v>
      </c>
      <c r="B21" s="27"/>
      <c r="F21" s="110"/>
      <c r="G21" s="10"/>
      <c r="I21" s="111"/>
    </row>
    <row r="22" spans="1:9" ht="60" customHeight="1" x14ac:dyDescent="0.25">
      <c r="A22" s="291"/>
      <c r="B22" s="275"/>
      <c r="C22" s="292"/>
      <c r="D22" s="290"/>
      <c r="E22" s="290"/>
      <c r="F22" s="290"/>
    </row>
    <row r="23" spans="1:9" ht="13.5" customHeight="1" x14ac:dyDescent="0.25">
      <c r="A23" s="274" t="s">
        <v>126</v>
      </c>
      <c r="B23" s="274"/>
      <c r="C23" s="274"/>
      <c r="D23" s="75"/>
      <c r="E23" s="75" t="s">
        <v>127</v>
      </c>
      <c r="F23" s="75"/>
      <c r="G23" s="27"/>
      <c r="H23" s="27"/>
      <c r="I23" s="27"/>
    </row>
  </sheetData>
  <mergeCells count="20">
    <mergeCell ref="A23:C23"/>
    <mergeCell ref="A13:B13"/>
    <mergeCell ref="A14:B14"/>
    <mergeCell ref="A15:B15"/>
    <mergeCell ref="A16:B16"/>
    <mergeCell ref="A19:F19"/>
    <mergeCell ref="A22:C22"/>
    <mergeCell ref="D22:F22"/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8">
    <pageSetUpPr fitToPage="1"/>
  </sheetPr>
  <dimension ref="A1:L73"/>
  <sheetViews>
    <sheetView showGridLines="0" workbookViewId="0">
      <pane ySplit="13" topLeftCell="A26" activePane="bottomLeft" state="frozen"/>
      <selection activeCell="G9" sqref="G9:I9"/>
      <selection pane="bottomLeft" activeCell="A10" sqref="A10:I10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212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866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862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863</v>
      </c>
      <c r="B9" s="270"/>
      <c r="C9" s="271" t="s">
        <v>864</v>
      </c>
      <c r="D9" s="272"/>
      <c r="E9" s="272"/>
      <c r="F9" s="273"/>
      <c r="G9" s="271" t="s">
        <v>1002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20">
        <v>45512</v>
      </c>
      <c r="C15" s="13">
        <v>10356</v>
      </c>
      <c r="D15" s="20">
        <v>45658</v>
      </c>
      <c r="E15" s="20">
        <v>45687</v>
      </c>
      <c r="F15" s="11">
        <f>(E15-D15)+1</f>
        <v>30</v>
      </c>
      <c r="G15" s="12">
        <v>235</v>
      </c>
      <c r="H15" s="13">
        <v>1</v>
      </c>
      <c r="I15" s="19">
        <f>G15/30*H15*F15</f>
        <v>235</v>
      </c>
      <c r="J15" s="32"/>
      <c r="K15" s="13"/>
    </row>
    <row r="16" spans="1:11" ht="13.5" customHeight="1" x14ac:dyDescent="0.2">
      <c r="A16" s="2" t="s">
        <v>23</v>
      </c>
      <c r="B16" s="20">
        <v>45512</v>
      </c>
      <c r="C16" s="13">
        <v>10390</v>
      </c>
      <c r="D16" s="20">
        <v>45658</v>
      </c>
      <c r="E16" s="20">
        <v>45687</v>
      </c>
      <c r="F16" s="11">
        <f>(E16-D16)+1</f>
        <v>30</v>
      </c>
      <c r="G16" s="12">
        <v>235</v>
      </c>
      <c r="H16" s="13">
        <v>1</v>
      </c>
      <c r="I16" s="19">
        <f t="shared" ref="I16:I27" si="0">G16/30*H16*F16</f>
        <v>235</v>
      </c>
      <c r="J16" s="32"/>
      <c r="K16" s="13"/>
    </row>
    <row r="17" spans="1:11" ht="13.5" customHeight="1" x14ac:dyDescent="0.2">
      <c r="A17" s="2" t="s">
        <v>23</v>
      </c>
      <c r="B17" s="20">
        <v>45512</v>
      </c>
      <c r="C17" s="13">
        <v>10406</v>
      </c>
      <c r="D17" s="20">
        <v>45658</v>
      </c>
      <c r="E17" s="20">
        <v>45687</v>
      </c>
      <c r="F17" s="11">
        <f t="shared" ref="F17:F27" si="1">(E17-D17)+1</f>
        <v>30</v>
      </c>
      <c r="G17" s="12">
        <v>235</v>
      </c>
      <c r="H17" s="13">
        <v>1</v>
      </c>
      <c r="I17" s="19">
        <f t="shared" si="0"/>
        <v>235</v>
      </c>
      <c r="J17" s="32"/>
      <c r="K17" s="13"/>
    </row>
    <row r="18" spans="1:11" ht="13.5" customHeight="1" x14ac:dyDescent="0.2">
      <c r="A18" s="2" t="s">
        <v>23</v>
      </c>
      <c r="B18" s="20">
        <v>45512</v>
      </c>
      <c r="C18" s="13">
        <v>10362</v>
      </c>
      <c r="D18" s="20">
        <v>45658</v>
      </c>
      <c r="E18" s="20">
        <v>45687</v>
      </c>
      <c r="F18" s="11">
        <f t="shared" si="1"/>
        <v>30</v>
      </c>
      <c r="G18" s="12">
        <v>235</v>
      </c>
      <c r="H18" s="13">
        <v>1</v>
      </c>
      <c r="I18" s="19">
        <f t="shared" si="0"/>
        <v>235</v>
      </c>
      <c r="J18" s="32"/>
      <c r="K18" s="13"/>
    </row>
    <row r="19" spans="1:11" ht="13.5" customHeight="1" x14ac:dyDescent="0.2">
      <c r="A19" s="2" t="s">
        <v>24</v>
      </c>
      <c r="B19" s="20">
        <v>45512</v>
      </c>
      <c r="C19" s="13">
        <v>10400</v>
      </c>
      <c r="D19" s="20">
        <v>45658</v>
      </c>
      <c r="E19" s="20">
        <v>45687</v>
      </c>
      <c r="F19" s="11">
        <f t="shared" si="1"/>
        <v>30</v>
      </c>
      <c r="G19" s="12">
        <v>238</v>
      </c>
      <c r="H19" s="13">
        <v>1</v>
      </c>
      <c r="I19" s="19">
        <f t="shared" si="0"/>
        <v>238</v>
      </c>
      <c r="J19" s="32"/>
      <c r="K19" s="13"/>
    </row>
    <row r="20" spans="1:11" ht="13.5" customHeight="1" x14ac:dyDescent="0.2">
      <c r="A20" s="2" t="s">
        <v>24</v>
      </c>
      <c r="B20" s="20">
        <v>45512</v>
      </c>
      <c r="C20" s="13">
        <v>10369</v>
      </c>
      <c r="D20" s="20">
        <v>45658</v>
      </c>
      <c r="E20" s="20">
        <v>45687</v>
      </c>
      <c r="F20" s="11">
        <f t="shared" si="1"/>
        <v>30</v>
      </c>
      <c r="G20" s="12">
        <v>238</v>
      </c>
      <c r="H20" s="13">
        <v>1</v>
      </c>
      <c r="I20" s="19">
        <f t="shared" si="0"/>
        <v>238</v>
      </c>
      <c r="J20" s="32"/>
      <c r="K20" s="13"/>
    </row>
    <row r="21" spans="1:11" ht="13.5" customHeight="1" x14ac:dyDescent="0.2">
      <c r="A21" s="2" t="s">
        <v>27</v>
      </c>
      <c r="B21" s="20">
        <v>45512</v>
      </c>
      <c r="C21" s="13">
        <v>10392</v>
      </c>
      <c r="D21" s="20">
        <v>45658</v>
      </c>
      <c r="E21" s="20">
        <v>45687</v>
      </c>
      <c r="F21" s="11">
        <f t="shared" si="1"/>
        <v>30</v>
      </c>
      <c r="G21" s="12">
        <v>347</v>
      </c>
      <c r="H21" s="13">
        <v>1</v>
      </c>
      <c r="I21" s="19">
        <f t="shared" si="0"/>
        <v>347</v>
      </c>
      <c r="J21" s="32"/>
      <c r="K21" s="13"/>
    </row>
    <row r="22" spans="1:11" ht="13.5" customHeight="1" x14ac:dyDescent="0.2">
      <c r="A22" s="2" t="s">
        <v>27</v>
      </c>
      <c r="B22" s="20">
        <v>45512</v>
      </c>
      <c r="C22" s="13">
        <v>10361</v>
      </c>
      <c r="D22" s="20">
        <v>45658</v>
      </c>
      <c r="E22" s="20">
        <v>45687</v>
      </c>
      <c r="F22" s="11">
        <f t="shared" si="1"/>
        <v>30</v>
      </c>
      <c r="G22" s="12">
        <v>347</v>
      </c>
      <c r="H22" s="13">
        <v>1</v>
      </c>
      <c r="I22" s="19">
        <f t="shared" si="0"/>
        <v>347</v>
      </c>
      <c r="J22" s="32"/>
      <c r="K22" s="13"/>
    </row>
    <row r="23" spans="1:11" ht="13.5" customHeight="1" x14ac:dyDescent="0.2">
      <c r="A23" s="2" t="s">
        <v>27</v>
      </c>
      <c r="B23" s="20">
        <v>45512</v>
      </c>
      <c r="C23" s="13">
        <v>10321</v>
      </c>
      <c r="D23" s="20">
        <v>45658</v>
      </c>
      <c r="E23" s="20">
        <v>45687</v>
      </c>
      <c r="F23" s="11">
        <f t="shared" si="1"/>
        <v>30</v>
      </c>
      <c r="G23" s="12">
        <v>347</v>
      </c>
      <c r="H23" s="13">
        <v>1</v>
      </c>
      <c r="I23" s="19">
        <f t="shared" si="0"/>
        <v>347</v>
      </c>
      <c r="J23" s="32"/>
      <c r="K23" s="13"/>
    </row>
    <row r="24" spans="1:11" ht="13.5" customHeight="1" x14ac:dyDescent="0.2">
      <c r="A24" s="2" t="s">
        <v>27</v>
      </c>
      <c r="B24" s="20">
        <v>45512</v>
      </c>
      <c r="C24" s="13">
        <v>10322</v>
      </c>
      <c r="D24" s="20">
        <v>45658</v>
      </c>
      <c r="E24" s="20">
        <v>45687</v>
      </c>
      <c r="F24" s="11">
        <f t="shared" si="1"/>
        <v>30</v>
      </c>
      <c r="G24" s="12">
        <v>347</v>
      </c>
      <c r="H24" s="13">
        <v>1</v>
      </c>
      <c r="I24" s="19">
        <f t="shared" si="0"/>
        <v>347</v>
      </c>
      <c r="J24" s="32"/>
      <c r="K24" s="13"/>
    </row>
    <row r="25" spans="1:11" ht="13.5" customHeight="1" x14ac:dyDescent="0.2">
      <c r="A25" s="2" t="s">
        <v>30</v>
      </c>
      <c r="B25" s="20">
        <v>45512</v>
      </c>
      <c r="C25" s="13">
        <v>10333</v>
      </c>
      <c r="D25" s="20">
        <v>45658</v>
      </c>
      <c r="E25" s="20">
        <v>45687</v>
      </c>
      <c r="F25" s="11">
        <f t="shared" si="1"/>
        <v>30</v>
      </c>
      <c r="G25" s="12">
        <v>367</v>
      </c>
      <c r="H25" s="13">
        <v>1</v>
      </c>
      <c r="I25" s="19">
        <f t="shared" si="0"/>
        <v>367</v>
      </c>
      <c r="J25" s="32"/>
      <c r="K25" s="13"/>
    </row>
    <row r="26" spans="1:11" ht="13.5" customHeight="1" x14ac:dyDescent="0.2">
      <c r="A26" s="2" t="s">
        <v>31</v>
      </c>
      <c r="B26" s="20">
        <v>45512</v>
      </c>
      <c r="C26" s="13">
        <v>10396</v>
      </c>
      <c r="D26" s="20">
        <v>45658</v>
      </c>
      <c r="E26" s="20">
        <v>45687</v>
      </c>
      <c r="F26" s="11">
        <f t="shared" si="1"/>
        <v>30</v>
      </c>
      <c r="G26" s="12">
        <v>367</v>
      </c>
      <c r="H26" s="13">
        <v>1</v>
      </c>
      <c r="I26" s="19">
        <f t="shared" si="0"/>
        <v>367</v>
      </c>
      <c r="J26" s="32"/>
      <c r="K26" s="13"/>
    </row>
    <row r="27" spans="1:11" ht="13.5" customHeight="1" x14ac:dyDescent="0.2">
      <c r="A27" s="2" t="s">
        <v>31</v>
      </c>
      <c r="B27" s="20">
        <v>45512</v>
      </c>
      <c r="C27" s="13">
        <v>10474</v>
      </c>
      <c r="D27" s="20">
        <v>45658</v>
      </c>
      <c r="E27" s="20">
        <v>45687</v>
      </c>
      <c r="F27" s="11">
        <f t="shared" si="1"/>
        <v>30</v>
      </c>
      <c r="G27" s="12">
        <v>367</v>
      </c>
      <c r="H27" s="13">
        <v>1</v>
      </c>
      <c r="I27" s="19">
        <f t="shared" si="0"/>
        <v>367</v>
      </c>
      <c r="J27" s="32"/>
      <c r="K27" s="13"/>
    </row>
    <row r="28" spans="1:11" ht="13.5" customHeight="1" x14ac:dyDescent="0.2">
      <c r="A28" s="2"/>
      <c r="B28" s="13"/>
      <c r="C28" s="13"/>
      <c r="D28" s="20"/>
      <c r="E28" s="20"/>
      <c r="F28" s="11"/>
      <c r="G28" s="12"/>
      <c r="H28" s="13"/>
      <c r="I28" s="19"/>
      <c r="J28" s="32"/>
      <c r="K28" s="13"/>
    </row>
    <row r="29" spans="1:11" ht="13.5" customHeight="1" x14ac:dyDescent="0.25">
      <c r="A29" s="21" t="s">
        <v>181</v>
      </c>
      <c r="B29" s="26"/>
      <c r="C29" s="137"/>
      <c r="D29" s="23"/>
      <c r="E29" s="23"/>
      <c r="F29" s="24"/>
      <c r="G29" s="23"/>
      <c r="H29" s="22">
        <f>SUM(H15:H28)</f>
        <v>13</v>
      </c>
      <c r="I29" s="112">
        <f>SUM(I15:I28)</f>
        <v>3905</v>
      </c>
      <c r="J29" s="33"/>
      <c r="K29" s="116"/>
    </row>
    <row r="30" spans="1:11" ht="13.5" customHeight="1" x14ac:dyDescent="0.25">
      <c r="D30" s="8"/>
      <c r="E30" s="8"/>
      <c r="F30" s="9"/>
      <c r="G30" s="10"/>
      <c r="I30" s="10"/>
      <c r="J30" s="4"/>
    </row>
    <row r="31" spans="1:11" ht="13.5" customHeight="1" x14ac:dyDescent="0.25">
      <c r="D31" s="8"/>
      <c r="E31" s="8"/>
      <c r="F31" s="9"/>
      <c r="G31" s="10"/>
      <c r="I31" s="10"/>
      <c r="J31" s="4"/>
    </row>
    <row r="32" spans="1:11" ht="13.5" customHeight="1" x14ac:dyDescent="0.25">
      <c r="D32" s="8"/>
      <c r="E32" s="8"/>
      <c r="F32" s="9"/>
      <c r="G32" s="10"/>
      <c r="H32" s="50">
        <f>H29</f>
        <v>13</v>
      </c>
      <c r="I32" s="25">
        <f>I29</f>
        <v>3905</v>
      </c>
      <c r="J32" s="16"/>
    </row>
    <row r="33" spans="1:10" ht="13.5" customHeight="1" x14ac:dyDescent="0.25">
      <c r="D33" s="8"/>
      <c r="E33" s="8"/>
      <c r="F33" s="9"/>
      <c r="G33" s="10"/>
      <c r="I33" s="10"/>
      <c r="J33" s="16"/>
    </row>
    <row r="34" spans="1:10" ht="13.5" customHeight="1" x14ac:dyDescent="0.25">
      <c r="D34" s="8"/>
      <c r="E34" s="8"/>
      <c r="F34" s="9"/>
      <c r="G34" s="10"/>
      <c r="I34" s="10"/>
      <c r="J34" s="7"/>
    </row>
    <row r="35" spans="1:10" ht="13.5" customHeight="1" x14ac:dyDescent="0.25">
      <c r="A35" s="289" t="s">
        <v>124</v>
      </c>
      <c r="B35" s="289"/>
      <c r="C35" s="289"/>
      <c r="D35" s="289"/>
      <c r="E35" s="289"/>
      <c r="F35" s="289"/>
      <c r="G35" s="289"/>
      <c r="H35" s="289"/>
      <c r="I35" s="289"/>
      <c r="J35" s="7"/>
    </row>
    <row r="36" spans="1:10" ht="13.5" customHeight="1" x14ac:dyDescent="0.25">
      <c r="J36" s="7"/>
    </row>
    <row r="37" spans="1:10" ht="13.5" customHeight="1" x14ac:dyDescent="0.2">
      <c r="A37" s="27" t="s">
        <v>125</v>
      </c>
      <c r="B37" s="7"/>
      <c r="F37" s="71"/>
      <c r="G37" s="10"/>
      <c r="I37" s="72"/>
      <c r="J37" s="7"/>
    </row>
    <row r="38" spans="1:10" ht="60" customHeight="1" x14ac:dyDescent="0.25">
      <c r="A38" s="291"/>
      <c r="B38" s="275"/>
      <c r="C38" s="292"/>
      <c r="D38" s="290"/>
      <c r="E38" s="290"/>
      <c r="F38" s="290"/>
      <c r="G38" s="290"/>
      <c r="H38" s="290"/>
      <c r="I38" s="290"/>
      <c r="J38" s="7"/>
    </row>
    <row r="39" spans="1:10" ht="13.5" customHeight="1" x14ac:dyDescent="0.25">
      <c r="A39" s="274" t="s">
        <v>126</v>
      </c>
      <c r="B39" s="274"/>
      <c r="C39" s="274"/>
      <c r="D39" s="274" t="s">
        <v>127</v>
      </c>
      <c r="E39" s="274"/>
      <c r="F39" s="274"/>
      <c r="G39" s="274"/>
      <c r="H39" s="274"/>
      <c r="I39" s="274"/>
      <c r="J39" s="7"/>
    </row>
    <row r="40" spans="1:10" ht="13.5" customHeight="1" x14ac:dyDescent="0.25">
      <c r="D40" s="8"/>
      <c r="E40" s="8"/>
      <c r="F40" s="9"/>
      <c r="G40" s="10"/>
      <c r="I40" s="10"/>
      <c r="J40" s="7"/>
    </row>
    <row r="41" spans="1:10" ht="13.5" customHeight="1" x14ac:dyDescent="0.25">
      <c r="D41" s="8"/>
      <c r="E41" s="8"/>
      <c r="F41" s="9"/>
      <c r="G41" s="10"/>
      <c r="I41" s="10"/>
      <c r="J41" s="7"/>
    </row>
    <row r="42" spans="1:10" ht="13.5" customHeight="1" x14ac:dyDescent="0.25">
      <c r="D42" s="8"/>
      <c r="E42" s="8"/>
      <c r="F42" s="9"/>
      <c r="G42" s="10"/>
      <c r="I42" s="10"/>
      <c r="J42" s="7"/>
    </row>
    <row r="43" spans="1:10" ht="13.5" customHeight="1" x14ac:dyDescent="0.2">
      <c r="A43" s="266" t="s">
        <v>29</v>
      </c>
      <c r="B43" s="266"/>
      <c r="C43" s="266"/>
      <c r="D43" s="266"/>
      <c r="E43" s="266"/>
      <c r="F43" s="266"/>
      <c r="G43" s="51"/>
      <c r="I43" s="10"/>
      <c r="J43" s="16"/>
    </row>
    <row r="44" spans="1:10" ht="13.5" customHeight="1" x14ac:dyDescent="0.2">
      <c r="A44" s="267" t="s">
        <v>45</v>
      </c>
      <c r="B44" s="267"/>
      <c r="C44" s="267"/>
      <c r="D44" s="267"/>
      <c r="E44" s="283" t="s">
        <v>5</v>
      </c>
      <c r="F44" s="282" t="s">
        <v>6</v>
      </c>
      <c r="G44" s="52"/>
      <c r="I44" s="10"/>
      <c r="J44" s="16"/>
    </row>
    <row r="45" spans="1:10" ht="13.5" customHeight="1" x14ac:dyDescent="0.2">
      <c r="A45" s="34" t="s">
        <v>0</v>
      </c>
      <c r="B45" s="34" t="s">
        <v>3</v>
      </c>
      <c r="C45" s="34" t="s">
        <v>2</v>
      </c>
      <c r="D45" s="34" t="s">
        <v>4</v>
      </c>
      <c r="E45" s="284"/>
      <c r="F45" s="282"/>
      <c r="G45" s="53"/>
    </row>
    <row r="46" spans="1:10" ht="13.5" customHeight="1" x14ac:dyDescent="0.2">
      <c r="A46" s="2" t="s">
        <v>18</v>
      </c>
      <c r="B46" s="39"/>
      <c r="C46" s="35">
        <v>37</v>
      </c>
      <c r="D46" s="35">
        <v>0</v>
      </c>
      <c r="E46" s="13">
        <f>COUNTIFS($A$12:$A$34,"Cond Ar Janela 7.500 BTU/h")</f>
        <v>0</v>
      </c>
      <c r="F46" s="40"/>
      <c r="G46" s="1"/>
    </row>
    <row r="47" spans="1:10" ht="13.5" customHeight="1" x14ac:dyDescent="0.2">
      <c r="A47" s="2" t="s">
        <v>19</v>
      </c>
      <c r="B47" s="39"/>
      <c r="C47" s="3">
        <v>210</v>
      </c>
      <c r="D47" s="3">
        <f t="shared" ref="D47:D56" si="2">B47*C47</f>
        <v>0</v>
      </c>
      <c r="E47" s="13">
        <f>COUNTIFS($A$12:$A$34,"Cond Ar Janela 10.000 BTU/h")</f>
        <v>0</v>
      </c>
      <c r="F47" s="40"/>
      <c r="G47" s="1"/>
    </row>
    <row r="48" spans="1:10" ht="13.5" customHeight="1" x14ac:dyDescent="0.2">
      <c r="A48" s="2" t="s">
        <v>20</v>
      </c>
      <c r="B48" s="39"/>
      <c r="C48" s="3">
        <v>208</v>
      </c>
      <c r="D48" s="3">
        <f t="shared" si="2"/>
        <v>0</v>
      </c>
      <c r="E48" s="13">
        <f>COUNTIFS($A$12:$A$34,"Cond Ar Janela 18.000 BTU/h")</f>
        <v>0</v>
      </c>
      <c r="F48" s="40"/>
      <c r="G48" s="1"/>
    </row>
    <row r="49" spans="1:12" ht="13.5" customHeight="1" x14ac:dyDescent="0.2">
      <c r="A49" s="2" t="s">
        <v>21</v>
      </c>
      <c r="B49" s="39"/>
      <c r="C49" s="3">
        <v>57</v>
      </c>
      <c r="D49" s="3">
        <f t="shared" si="2"/>
        <v>0</v>
      </c>
      <c r="E49" s="13">
        <f>COUNTIFS($A$12:$A$34,"Cond Ar Janela 21.000 BTU/h")</f>
        <v>0</v>
      </c>
      <c r="F49" s="40"/>
      <c r="G49" s="1"/>
    </row>
    <row r="50" spans="1:12" ht="13.5" customHeight="1" x14ac:dyDescent="0.2">
      <c r="A50" s="2" t="s">
        <v>22</v>
      </c>
      <c r="B50" s="39"/>
      <c r="C50" s="3">
        <v>147</v>
      </c>
      <c r="D50" s="3">
        <f t="shared" si="2"/>
        <v>0</v>
      </c>
      <c r="E50" s="13">
        <f>COUNTIFS($A$12:$A$34,"Cond Ar Split 9.000 BTU/h Hi Wall")</f>
        <v>0</v>
      </c>
      <c r="F50" s="40"/>
      <c r="G50" s="1"/>
    </row>
    <row r="51" spans="1:12" ht="13.5" customHeight="1" x14ac:dyDescent="0.2">
      <c r="A51" s="2" t="s">
        <v>23</v>
      </c>
      <c r="B51" s="39"/>
      <c r="C51" s="3">
        <v>235</v>
      </c>
      <c r="D51" s="3">
        <f t="shared" si="2"/>
        <v>0</v>
      </c>
      <c r="E51" s="13">
        <f>COUNTIFS($A$12:$A$34,"Cond Ar Split 12.000 BTU/h Hi Wall")</f>
        <v>4</v>
      </c>
      <c r="F51" s="40"/>
      <c r="G51" s="1"/>
    </row>
    <row r="52" spans="1:12" ht="13.5" customHeight="1" x14ac:dyDescent="0.2">
      <c r="A52" s="2" t="s">
        <v>24</v>
      </c>
      <c r="B52" s="39"/>
      <c r="C52" s="3">
        <v>238</v>
      </c>
      <c r="D52" s="3">
        <f t="shared" si="2"/>
        <v>0</v>
      </c>
      <c r="E52" s="13">
        <f>COUNTIFS($A$12:$A$34,"Cond Ar Split 18.000 BTU/h Hi Wall")</f>
        <v>2</v>
      </c>
      <c r="F52" s="40"/>
      <c r="G52" s="1"/>
    </row>
    <row r="53" spans="1:12" ht="13.5" customHeight="1" x14ac:dyDescent="0.2">
      <c r="A53" s="2" t="s">
        <v>25</v>
      </c>
      <c r="B53" s="39"/>
      <c r="C53" s="3">
        <v>242</v>
      </c>
      <c r="D53" s="3">
        <f t="shared" si="2"/>
        <v>0</v>
      </c>
      <c r="E53" s="13">
        <f>COUNTIFS($A$12:$A$34,"Cond Ar Split 22.000 BTU/h Hi Wall")</f>
        <v>0</v>
      </c>
      <c r="F53" s="40"/>
      <c r="G53" s="1"/>
    </row>
    <row r="54" spans="1:12" ht="13.5" customHeight="1" x14ac:dyDescent="0.2">
      <c r="A54" s="2" t="s">
        <v>26</v>
      </c>
      <c r="B54" s="39"/>
      <c r="C54" s="3">
        <v>260</v>
      </c>
      <c r="D54" s="3">
        <f t="shared" si="2"/>
        <v>0</v>
      </c>
      <c r="E54" s="13">
        <f>COUNTIFS($A$12:$A$34,"Cond Ar Split 24.000 BTU/h Hi Wall")</f>
        <v>0</v>
      </c>
      <c r="F54" s="40"/>
      <c r="G54" s="1"/>
    </row>
    <row r="55" spans="1:12" ht="13.5" customHeight="1" x14ac:dyDescent="0.2">
      <c r="A55" s="2" t="s">
        <v>27</v>
      </c>
      <c r="B55" s="39"/>
      <c r="C55" s="3">
        <v>347</v>
      </c>
      <c r="D55" s="3">
        <f t="shared" si="2"/>
        <v>0</v>
      </c>
      <c r="E55" s="13">
        <f>COUNTIFS($A$12:$A$34,"Cond Ar Split 30.000 BTU/h Hi Wall")</f>
        <v>4</v>
      </c>
      <c r="F55" s="40"/>
      <c r="G55" s="1"/>
    </row>
    <row r="56" spans="1:12" ht="13.5" customHeight="1" x14ac:dyDescent="0.2">
      <c r="A56" s="2" t="s">
        <v>30</v>
      </c>
      <c r="B56" s="39"/>
      <c r="C56" s="3">
        <v>367</v>
      </c>
      <c r="D56" s="3">
        <f t="shared" si="2"/>
        <v>0</v>
      </c>
      <c r="E56" s="13">
        <f>COUNTIFS($A$12:$A$34,"Cond Ar Split 24.000 BTU/h Piso/Teto")</f>
        <v>1</v>
      </c>
      <c r="F56" s="40"/>
      <c r="G56" s="1"/>
    </row>
    <row r="57" spans="1:12" ht="13.5" customHeight="1" x14ac:dyDescent="0.2">
      <c r="A57" s="2" t="s">
        <v>31</v>
      </c>
      <c r="B57" s="39"/>
      <c r="C57" s="3">
        <v>367</v>
      </c>
      <c r="D57" s="3">
        <f>B57*C57</f>
        <v>0</v>
      </c>
      <c r="E57" s="13">
        <f>COUNTIFS($A$12:$A$34,"Cond Ar Split 30.000 BTU/h Piso/Teto")</f>
        <v>2</v>
      </c>
      <c r="F57" s="40"/>
      <c r="G57" s="1"/>
    </row>
    <row r="58" spans="1:12" ht="13.5" customHeight="1" x14ac:dyDescent="0.2">
      <c r="A58" s="2" t="s">
        <v>32</v>
      </c>
      <c r="B58" s="39"/>
      <c r="C58" s="3">
        <v>447</v>
      </c>
      <c r="D58" s="3">
        <f>B58*C58</f>
        <v>0</v>
      </c>
      <c r="E58" s="13">
        <f>COUNTIFS($A$12:$A$34,"Cond Ar Split 36.000 BTU/h Piso/Teto")</f>
        <v>0</v>
      </c>
      <c r="F58" s="40"/>
      <c r="G58" s="1"/>
    </row>
    <row r="59" spans="1:12" ht="13.5" customHeight="1" x14ac:dyDescent="0.2">
      <c r="A59" s="2" t="s">
        <v>33</v>
      </c>
      <c r="B59" s="39"/>
      <c r="C59" s="3">
        <v>497</v>
      </c>
      <c r="D59" s="3">
        <f>B59*C59</f>
        <v>0</v>
      </c>
      <c r="E59" s="13">
        <f>COUNTIFS($A$12:$A$34,"Cond Ar Split 48.000 BTU/h Piso/Teto")</f>
        <v>0</v>
      </c>
      <c r="F59" s="40"/>
      <c r="G59" s="1"/>
    </row>
    <row r="60" spans="1:12" ht="13.5" customHeight="1" x14ac:dyDescent="0.2">
      <c r="A60" s="2" t="s">
        <v>34</v>
      </c>
      <c r="B60" s="39"/>
      <c r="C60" s="3">
        <v>597</v>
      </c>
      <c r="D60" s="3">
        <f t="shared" ref="D60:D68" si="3">B60*C60</f>
        <v>0</v>
      </c>
      <c r="E60" s="13">
        <f>COUNTIFS($A$12:$A$34,"Cond Ar Split 60.000 BTU/h Piso/Teto")</f>
        <v>0</v>
      </c>
      <c r="F60" s="40"/>
      <c r="G60" s="1"/>
    </row>
    <row r="61" spans="1:12" s="15" customFormat="1" ht="13.5" customHeight="1" x14ac:dyDescent="0.2">
      <c r="A61" s="2" t="s">
        <v>35</v>
      </c>
      <c r="B61" s="39"/>
      <c r="C61" s="3">
        <v>395</v>
      </c>
      <c r="D61" s="3">
        <f t="shared" si="3"/>
        <v>0</v>
      </c>
      <c r="E61" s="13">
        <f>COUNTIFS($A$12:$A$34,"Cond Ar Split 18.000 BTU/h Cassete")</f>
        <v>0</v>
      </c>
      <c r="F61" s="40"/>
      <c r="G61" s="1"/>
      <c r="H61" s="7"/>
      <c r="I61" s="7"/>
      <c r="L61" s="7"/>
    </row>
    <row r="62" spans="1:12" s="15" customFormat="1" ht="13.5" customHeight="1" x14ac:dyDescent="0.2">
      <c r="A62" s="2" t="s">
        <v>36</v>
      </c>
      <c r="B62" s="39"/>
      <c r="C62" s="3">
        <v>442.75</v>
      </c>
      <c r="D62" s="3">
        <f t="shared" si="3"/>
        <v>0</v>
      </c>
      <c r="E62" s="13">
        <f>COUNTIFS($A$12:$A$34,"Cond Ar Split 24.000 BTU/h Cassete")</f>
        <v>0</v>
      </c>
      <c r="F62" s="40"/>
      <c r="G62" s="1"/>
      <c r="H62" s="7"/>
      <c r="I62" s="7"/>
      <c r="L62" s="7"/>
    </row>
    <row r="63" spans="1:12" s="15" customFormat="1" ht="13.5" customHeight="1" x14ac:dyDescent="0.2">
      <c r="A63" s="2" t="s">
        <v>37</v>
      </c>
      <c r="B63" s="39"/>
      <c r="C63" s="3">
        <v>430</v>
      </c>
      <c r="D63" s="3">
        <f t="shared" si="3"/>
        <v>0</v>
      </c>
      <c r="E63" s="13">
        <f>COUNTIFS($A$12:$A$34,"Cond Ar Split 30.000 BTU/h Cassete")</f>
        <v>0</v>
      </c>
      <c r="F63" s="40"/>
      <c r="G63" s="1"/>
      <c r="H63" s="7"/>
      <c r="I63" s="7"/>
      <c r="L63" s="7"/>
    </row>
    <row r="64" spans="1:12" s="15" customFormat="1" ht="13.5" customHeight="1" x14ac:dyDescent="0.2">
      <c r="A64" s="2" t="s">
        <v>38</v>
      </c>
      <c r="B64" s="39"/>
      <c r="C64" s="3">
        <v>478</v>
      </c>
      <c r="D64" s="3">
        <f t="shared" si="3"/>
        <v>0</v>
      </c>
      <c r="E64" s="13">
        <f>COUNTIFS($A$12:$A$34,"Cond Ar Split 36.000 BTU/h Cassete")</f>
        <v>0</v>
      </c>
      <c r="F64" s="40"/>
      <c r="G64" s="1"/>
      <c r="H64" s="7"/>
      <c r="I64" s="7"/>
      <c r="L64" s="7"/>
    </row>
    <row r="65" spans="1:12" s="15" customFormat="1" ht="13.5" customHeight="1" x14ac:dyDescent="0.2">
      <c r="A65" s="2" t="s">
        <v>39</v>
      </c>
      <c r="B65" s="39"/>
      <c r="C65" s="3">
        <v>577</v>
      </c>
      <c r="D65" s="3">
        <f t="shared" si="3"/>
        <v>0</v>
      </c>
      <c r="E65" s="13">
        <f>COUNTIFS($A$12:$A$34,"Cond Ar Split 48.000 BTU/h Cassete")</f>
        <v>0</v>
      </c>
      <c r="F65" s="40"/>
      <c r="G65" s="1"/>
      <c r="H65" s="7"/>
      <c r="I65" s="7"/>
      <c r="L65" s="7"/>
    </row>
    <row r="66" spans="1:12" s="15" customFormat="1" ht="13.5" customHeight="1" x14ac:dyDescent="0.2">
      <c r="A66" s="2" t="s">
        <v>40</v>
      </c>
      <c r="B66" s="39"/>
      <c r="C66" s="3">
        <v>645</v>
      </c>
      <c r="D66" s="3">
        <f t="shared" si="3"/>
        <v>0</v>
      </c>
      <c r="E66" s="13">
        <f>COUNTIFS($A$12:$A$34,"Cond Ar Split 60.000 BTU/h Cassete")</f>
        <v>0</v>
      </c>
      <c r="F66" s="40"/>
      <c r="G66" s="1"/>
      <c r="H66" s="7"/>
      <c r="I66" s="7"/>
      <c r="L66" s="7"/>
    </row>
    <row r="67" spans="1:12" s="15" customFormat="1" ht="13.5" customHeight="1" x14ac:dyDescent="0.2">
      <c r="A67" s="2" t="s">
        <v>41</v>
      </c>
      <c r="B67" s="39"/>
      <c r="C67" s="3">
        <v>147</v>
      </c>
      <c r="D67" s="3">
        <f t="shared" si="3"/>
        <v>0</v>
      </c>
      <c r="E67" s="13">
        <f>COUNTIFS($A$12:$A$34,"Cond Ar Tri Split 36.000 BTU/h (3x12.000)")</f>
        <v>0</v>
      </c>
      <c r="F67" s="40"/>
      <c r="G67" s="1"/>
      <c r="H67" s="7"/>
      <c r="I67" s="7"/>
      <c r="L67" s="7"/>
    </row>
    <row r="68" spans="1:12" s="15" customFormat="1" ht="13.5" customHeight="1" x14ac:dyDescent="0.2">
      <c r="A68" s="2" t="s">
        <v>42</v>
      </c>
      <c r="B68" s="39"/>
      <c r="C68" s="3">
        <v>100</v>
      </c>
      <c r="D68" s="3">
        <f t="shared" si="3"/>
        <v>0</v>
      </c>
      <c r="E68" s="13">
        <f>COUNTIFS($A$12:$A$34,"Cond Ar Portátil 12.000 BTU/h")</f>
        <v>0</v>
      </c>
      <c r="F68" s="40"/>
      <c r="G68" s="1"/>
      <c r="H68" s="7"/>
      <c r="I68" s="7"/>
      <c r="L68" s="7"/>
    </row>
    <row r="69" spans="1:12" s="15" customFormat="1" ht="13.5" customHeight="1" x14ac:dyDescent="0.2">
      <c r="A69" s="36" t="s">
        <v>7</v>
      </c>
      <c r="B69" s="22">
        <f>SUM(B46:B68)</f>
        <v>0</v>
      </c>
      <c r="C69" s="38"/>
      <c r="D69" s="37">
        <f>SUM(D46:D68)</f>
        <v>0</v>
      </c>
      <c r="E69" s="22">
        <f>SUM(E46:E68)</f>
        <v>13</v>
      </c>
      <c r="F69" s="41">
        <f>SUM(F46:F68)</f>
        <v>0</v>
      </c>
      <c r="G69" s="54"/>
      <c r="H69" s="7"/>
      <c r="I69" s="7"/>
      <c r="L69" s="7"/>
    </row>
    <row r="73" spans="1:12" s="15" customFormat="1" ht="13.5" customHeight="1" x14ac:dyDescent="0.25">
      <c r="A73" s="7"/>
      <c r="C73" s="7"/>
      <c r="D73" s="7"/>
      <c r="E73" s="7"/>
      <c r="F73" s="17"/>
      <c r="G73" s="7"/>
      <c r="H73" s="7"/>
      <c r="I73" s="7"/>
      <c r="J73" s="16"/>
      <c r="L73" s="7"/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38:C38"/>
    <mergeCell ref="D38:I38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35:I35"/>
    <mergeCell ref="A39:C39"/>
    <mergeCell ref="D39:I39"/>
    <mergeCell ref="A43:F43"/>
    <mergeCell ref="A44:D44"/>
    <mergeCell ref="E44:E45"/>
    <mergeCell ref="F44:F45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9">
    <pageSetUpPr fitToPage="1"/>
  </sheetPr>
  <dimension ref="A1:I28"/>
  <sheetViews>
    <sheetView showGridLines="0" workbookViewId="0">
      <pane ySplit="11" topLeftCell="A12" activePane="bottomLeft" state="frozen"/>
      <selection activeCell="G9" sqref="G9:I9"/>
      <selection pane="bottomLeft" activeCell="G9" sqref="G9:I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7.5703125" style="7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212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865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867</v>
      </c>
      <c r="B8" s="297"/>
      <c r="C8" s="297"/>
      <c r="D8" s="297"/>
      <c r="E8" s="297"/>
      <c r="F8" s="298"/>
    </row>
    <row r="9" spans="1:6" ht="13.5" customHeight="1" x14ac:dyDescent="0.25">
      <c r="A9" s="60" t="s">
        <v>868</v>
      </c>
      <c r="B9" s="270" t="s">
        <v>869</v>
      </c>
      <c r="C9" s="270"/>
      <c r="D9" s="270"/>
      <c r="E9" s="271" t="s">
        <v>987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 t="s">
        <v>22</v>
      </c>
      <c r="B12" s="300"/>
      <c r="C12" s="101"/>
      <c r="D12" s="103"/>
      <c r="E12" s="11"/>
      <c r="F12" s="109">
        <f>D12/30*C12*E12</f>
        <v>0</v>
      </c>
    </row>
    <row r="13" spans="1:6" ht="13.5" customHeight="1" x14ac:dyDescent="0.2">
      <c r="A13" s="299" t="s">
        <v>22</v>
      </c>
      <c r="B13" s="300"/>
      <c r="C13" s="101"/>
      <c r="D13" s="103"/>
      <c r="E13" s="11"/>
      <c r="F13" s="109">
        <f t="shared" ref="F13:F20" si="0">D13/30*C13*E13</f>
        <v>0</v>
      </c>
    </row>
    <row r="14" spans="1:6" ht="13.5" customHeight="1" x14ac:dyDescent="0.2">
      <c r="A14" s="299" t="s">
        <v>22</v>
      </c>
      <c r="B14" s="300"/>
      <c r="C14" s="101"/>
      <c r="D14" s="103"/>
      <c r="E14" s="11"/>
      <c r="F14" s="109">
        <f t="shared" si="0"/>
        <v>0</v>
      </c>
    </row>
    <row r="15" spans="1:6" ht="13.5" customHeight="1" x14ac:dyDescent="0.2">
      <c r="A15" s="299" t="s">
        <v>23</v>
      </c>
      <c r="B15" s="312"/>
      <c r="C15" s="101"/>
      <c r="D15" s="103"/>
      <c r="E15" s="11"/>
      <c r="F15" s="109">
        <f t="shared" si="0"/>
        <v>0</v>
      </c>
    </row>
    <row r="16" spans="1:6" ht="13.5" customHeight="1" x14ac:dyDescent="0.2">
      <c r="A16" s="299" t="s">
        <v>23</v>
      </c>
      <c r="B16" s="312"/>
      <c r="C16" s="101"/>
      <c r="D16" s="103"/>
      <c r="E16" s="11"/>
      <c r="F16" s="109">
        <f t="shared" si="0"/>
        <v>0</v>
      </c>
    </row>
    <row r="17" spans="1:9" ht="13.5" customHeight="1" x14ac:dyDescent="0.2">
      <c r="A17" s="299" t="s">
        <v>23</v>
      </c>
      <c r="B17" s="312"/>
      <c r="C17" s="101"/>
      <c r="D17" s="103"/>
      <c r="E17" s="11"/>
      <c r="F17" s="109">
        <f t="shared" si="0"/>
        <v>0</v>
      </c>
    </row>
    <row r="18" spans="1:9" ht="13.5" customHeight="1" x14ac:dyDescent="0.2">
      <c r="A18" s="299" t="s">
        <v>24</v>
      </c>
      <c r="B18" s="312"/>
      <c r="C18" s="101"/>
      <c r="D18" s="103"/>
      <c r="E18" s="11"/>
      <c r="F18" s="109">
        <f t="shared" si="0"/>
        <v>0</v>
      </c>
    </row>
    <row r="19" spans="1:9" ht="13.5" customHeight="1" x14ac:dyDescent="0.2">
      <c r="A19" s="299" t="s">
        <v>24</v>
      </c>
      <c r="B19" s="312"/>
      <c r="C19" s="101"/>
      <c r="D19" s="103"/>
      <c r="E19" s="11"/>
      <c r="F19" s="109">
        <f t="shared" si="0"/>
        <v>0</v>
      </c>
    </row>
    <row r="20" spans="1:9" ht="13.5" customHeight="1" x14ac:dyDescent="0.2">
      <c r="A20" s="313"/>
      <c r="B20" s="314"/>
      <c r="C20" s="102"/>
      <c r="D20" s="104"/>
      <c r="E20" s="82"/>
      <c r="F20" s="109">
        <f t="shared" si="0"/>
        <v>0</v>
      </c>
    </row>
    <row r="21" spans="1:9" ht="13.5" customHeight="1" x14ac:dyDescent="0.25">
      <c r="A21" s="271" t="s">
        <v>43</v>
      </c>
      <c r="B21" s="315"/>
      <c r="C21" s="58">
        <f>SUM(C12:C20)</f>
        <v>0</v>
      </c>
      <c r="D21" s="57"/>
      <c r="E21" s="57"/>
      <c r="F21" s="73">
        <f>SUM(F12:F20)</f>
        <v>0</v>
      </c>
    </row>
    <row r="22" spans="1:9" ht="13.5" customHeight="1" x14ac:dyDescent="0.25">
      <c r="A22" s="105"/>
      <c r="B22" s="246"/>
      <c r="C22" s="105"/>
      <c r="D22" s="106"/>
      <c r="E22" s="107"/>
      <c r="F22" s="108"/>
    </row>
    <row r="23" spans="1:9" ht="13.5" customHeight="1" x14ac:dyDescent="0.25">
      <c r="B23" s="247"/>
    </row>
    <row r="24" spans="1:9" ht="13.5" customHeight="1" x14ac:dyDescent="0.25">
      <c r="A24" s="289" t="s">
        <v>124</v>
      </c>
      <c r="B24" s="316"/>
      <c r="C24" s="289"/>
      <c r="D24" s="289"/>
      <c r="E24" s="289"/>
      <c r="F24" s="289"/>
      <c r="G24" s="74"/>
      <c r="H24" s="74"/>
      <c r="I24" s="74"/>
    </row>
    <row r="25" spans="1:9" ht="13.5" customHeight="1" x14ac:dyDescent="0.25">
      <c r="B25" s="247"/>
    </row>
    <row r="26" spans="1:9" ht="13.5" customHeight="1" x14ac:dyDescent="0.2">
      <c r="A26" s="27" t="s">
        <v>125</v>
      </c>
      <c r="B26" s="248"/>
      <c r="F26" s="110"/>
      <c r="G26" s="10"/>
      <c r="I26" s="111"/>
    </row>
    <row r="27" spans="1:9" ht="60" customHeight="1" x14ac:dyDescent="0.25">
      <c r="A27" s="291"/>
      <c r="B27" s="317"/>
      <c r="C27" s="292"/>
      <c r="D27" s="290"/>
      <c r="E27" s="290"/>
      <c r="F27" s="290"/>
    </row>
    <row r="28" spans="1:9" ht="13.5" customHeight="1" x14ac:dyDescent="0.25">
      <c r="A28" s="274" t="s">
        <v>126</v>
      </c>
      <c r="B28" s="274"/>
      <c r="C28" s="274"/>
      <c r="D28" s="75"/>
      <c r="E28" s="75" t="s">
        <v>127</v>
      </c>
      <c r="F28" s="75"/>
      <c r="G28" s="27"/>
      <c r="H28" s="27"/>
      <c r="I28" s="27"/>
    </row>
  </sheetData>
  <mergeCells count="25">
    <mergeCell ref="A28:C28"/>
    <mergeCell ref="A8:F8"/>
    <mergeCell ref="A18:B18"/>
    <mergeCell ref="A19:B19"/>
    <mergeCell ref="A20:B20"/>
    <mergeCell ref="A21:B21"/>
    <mergeCell ref="A24:F24"/>
    <mergeCell ref="A27:C27"/>
    <mergeCell ref="D27:F27"/>
    <mergeCell ref="A17:B17"/>
    <mergeCell ref="A15:B15"/>
    <mergeCell ref="A16:B16"/>
    <mergeCell ref="A14:B14"/>
    <mergeCell ref="A7:F7"/>
    <mergeCell ref="E9:F9"/>
    <mergeCell ref="A11:B11"/>
    <mergeCell ref="A12:B12"/>
    <mergeCell ref="A13:B13"/>
    <mergeCell ref="B9:D9"/>
    <mergeCell ref="A1:F1"/>
    <mergeCell ref="A3:F3"/>
    <mergeCell ref="A4:C4"/>
    <mergeCell ref="D4:E4"/>
    <mergeCell ref="A5:C5"/>
    <mergeCell ref="D5:E5"/>
  </mergeCells>
  <pageMargins left="0.27559055118110237" right="0.19685039370078741" top="0.27559055118110237" bottom="0.35433070866141736" header="0.23622047244094491" footer="0.15748031496062992"/>
  <pageSetup paperSize="9" scale="76" orientation="portrait" r:id="rId1"/>
  <headerFooter alignWithMargins="0">
    <oddFooter>&amp;L&amp;F/&amp;A&amp;C&amp;D&amp;R&amp;P/&amp;N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L68"/>
  <sheetViews>
    <sheetView showGridLines="0" workbookViewId="0">
      <pane ySplit="13" topLeftCell="A23" activePane="bottomLeft" state="frozen"/>
      <selection activeCell="C22" sqref="A22:F28"/>
      <selection pane="bottomLeft" activeCell="F24" sqref="F24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581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580</v>
      </c>
      <c r="B9" s="270"/>
      <c r="C9" s="271" t="s">
        <v>579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184" t="s">
        <v>23</v>
      </c>
      <c r="B15" s="167">
        <v>45575</v>
      </c>
      <c r="C15" s="218">
        <v>212487</v>
      </c>
      <c r="D15" s="114">
        <v>45658</v>
      </c>
      <c r="E15" s="114">
        <v>45687</v>
      </c>
      <c r="F15" s="168">
        <v>30</v>
      </c>
      <c r="G15" s="169">
        <v>235</v>
      </c>
      <c r="H15" s="13">
        <v>1</v>
      </c>
      <c r="I15" s="19">
        <f t="shared" ref="I15:I23" si="0">G15/30*H15*F15</f>
        <v>235</v>
      </c>
      <c r="J15" s="32" t="s">
        <v>477</v>
      </c>
      <c r="K15" s="13"/>
    </row>
    <row r="16" spans="1:11" ht="13.5" customHeight="1" x14ac:dyDescent="0.2">
      <c r="A16" s="184" t="s">
        <v>23</v>
      </c>
      <c r="B16" s="167">
        <v>45575</v>
      </c>
      <c r="C16" s="218">
        <v>212421</v>
      </c>
      <c r="D16" s="114">
        <v>45658</v>
      </c>
      <c r="E16" s="114">
        <v>45687</v>
      </c>
      <c r="F16" s="168">
        <v>30</v>
      </c>
      <c r="G16" s="169">
        <v>235</v>
      </c>
      <c r="H16" s="13">
        <v>1</v>
      </c>
      <c r="I16" s="19">
        <f t="shared" si="0"/>
        <v>235</v>
      </c>
      <c r="J16" s="32" t="s">
        <v>103</v>
      </c>
      <c r="K16" s="13"/>
    </row>
    <row r="17" spans="1:11" ht="13.5" customHeight="1" x14ac:dyDescent="0.2">
      <c r="A17" s="184" t="s">
        <v>24</v>
      </c>
      <c r="B17" s="167">
        <v>45575</v>
      </c>
      <c r="C17" s="218">
        <v>211117</v>
      </c>
      <c r="D17" s="114">
        <v>45658</v>
      </c>
      <c r="E17" s="114">
        <v>45687</v>
      </c>
      <c r="F17" s="168">
        <v>30</v>
      </c>
      <c r="G17" s="169">
        <v>238</v>
      </c>
      <c r="H17" s="13">
        <v>1</v>
      </c>
      <c r="I17" s="19">
        <f t="shared" si="0"/>
        <v>238</v>
      </c>
      <c r="J17" s="32" t="s">
        <v>201</v>
      </c>
      <c r="K17" s="13"/>
    </row>
    <row r="18" spans="1:11" ht="13.5" customHeight="1" x14ac:dyDescent="0.2">
      <c r="A18" s="184" t="s">
        <v>24</v>
      </c>
      <c r="B18" s="167">
        <v>45575</v>
      </c>
      <c r="C18" s="218">
        <v>25784</v>
      </c>
      <c r="D18" s="114">
        <v>45658</v>
      </c>
      <c r="E18" s="114">
        <v>45687</v>
      </c>
      <c r="F18" s="168">
        <v>30</v>
      </c>
      <c r="G18" s="169">
        <v>238</v>
      </c>
      <c r="H18" s="13">
        <v>1</v>
      </c>
      <c r="I18" s="19">
        <f t="shared" si="0"/>
        <v>238</v>
      </c>
      <c r="J18" s="32" t="s">
        <v>571</v>
      </c>
      <c r="K18" s="13"/>
    </row>
    <row r="19" spans="1:11" ht="13.5" customHeight="1" x14ac:dyDescent="0.2">
      <c r="A19" s="184" t="s">
        <v>24</v>
      </c>
      <c r="B19" s="167">
        <v>45575</v>
      </c>
      <c r="C19" s="218">
        <v>28686</v>
      </c>
      <c r="D19" s="114">
        <v>45658</v>
      </c>
      <c r="E19" s="114">
        <v>45687</v>
      </c>
      <c r="F19" s="168">
        <v>30</v>
      </c>
      <c r="G19" s="169">
        <v>238</v>
      </c>
      <c r="H19" s="13">
        <v>1</v>
      </c>
      <c r="I19" s="19">
        <f t="shared" si="0"/>
        <v>238</v>
      </c>
      <c r="J19" s="32" t="s">
        <v>576</v>
      </c>
      <c r="K19" s="13"/>
    </row>
    <row r="20" spans="1:11" ht="13.5" customHeight="1" x14ac:dyDescent="0.2">
      <c r="A20" s="184" t="s">
        <v>25</v>
      </c>
      <c r="B20" s="167">
        <v>45575</v>
      </c>
      <c r="C20" s="218">
        <v>211228</v>
      </c>
      <c r="D20" s="114">
        <v>45658</v>
      </c>
      <c r="E20" s="114">
        <v>45687</v>
      </c>
      <c r="F20" s="168">
        <v>30</v>
      </c>
      <c r="G20" s="169">
        <v>242</v>
      </c>
      <c r="H20" s="13">
        <v>1</v>
      </c>
      <c r="I20" s="19">
        <f t="shared" si="0"/>
        <v>242</v>
      </c>
      <c r="J20" s="32" t="s">
        <v>574</v>
      </c>
      <c r="K20" s="13"/>
    </row>
    <row r="21" spans="1:11" ht="13.5" customHeight="1" x14ac:dyDescent="0.2">
      <c r="A21" s="184" t="s">
        <v>25</v>
      </c>
      <c r="B21" s="167">
        <v>45575</v>
      </c>
      <c r="C21" s="218">
        <v>27947</v>
      </c>
      <c r="D21" s="114">
        <v>45658</v>
      </c>
      <c r="E21" s="114">
        <v>45687</v>
      </c>
      <c r="F21" s="168">
        <v>30</v>
      </c>
      <c r="G21" s="169">
        <v>242</v>
      </c>
      <c r="H21" s="13">
        <v>1</v>
      </c>
      <c r="I21" s="19">
        <f t="shared" si="0"/>
        <v>242</v>
      </c>
      <c r="J21" s="32" t="s">
        <v>572</v>
      </c>
      <c r="K21" s="13"/>
    </row>
    <row r="22" spans="1:11" ht="13.5" customHeight="1" x14ac:dyDescent="0.2">
      <c r="A22" s="2" t="s">
        <v>36</v>
      </c>
      <c r="B22" s="76">
        <v>45512</v>
      </c>
      <c r="C22" s="219">
        <v>7942</v>
      </c>
      <c r="D22" s="114">
        <v>45658</v>
      </c>
      <c r="E22" s="114">
        <v>45687</v>
      </c>
      <c r="F22" s="168">
        <v>30</v>
      </c>
      <c r="G22" s="12">
        <v>442.75</v>
      </c>
      <c r="H22" s="13">
        <v>1</v>
      </c>
      <c r="I22" s="182">
        <f t="shared" si="0"/>
        <v>442.75</v>
      </c>
      <c r="J22" s="32" t="s">
        <v>575</v>
      </c>
      <c r="K22" s="13" t="s">
        <v>573</v>
      </c>
    </row>
    <row r="23" spans="1:11" ht="13.5" customHeight="1" x14ac:dyDescent="0.2">
      <c r="A23" s="2" t="s">
        <v>37</v>
      </c>
      <c r="B23" s="76">
        <v>45512</v>
      </c>
      <c r="C23" s="181">
        <v>12885</v>
      </c>
      <c r="D23" s="114">
        <v>45658</v>
      </c>
      <c r="E23" s="114">
        <v>45687</v>
      </c>
      <c r="F23" s="168">
        <v>30</v>
      </c>
      <c r="G23" s="12">
        <v>430</v>
      </c>
      <c r="H23" s="13">
        <v>1</v>
      </c>
      <c r="I23" s="182">
        <f t="shared" si="0"/>
        <v>430</v>
      </c>
      <c r="J23" s="32" t="s">
        <v>575</v>
      </c>
      <c r="K23" s="13" t="s">
        <v>476</v>
      </c>
    </row>
    <row r="24" spans="1:11" ht="13.5" customHeight="1" x14ac:dyDescent="0.25">
      <c r="A24" s="14"/>
      <c r="B24" s="20"/>
      <c r="C24" s="13"/>
      <c r="D24" s="20"/>
      <c r="E24" s="20"/>
      <c r="F24" s="11"/>
      <c r="G24" s="12"/>
      <c r="H24" s="13"/>
      <c r="I24" s="19">
        <f t="shared" ref="I24" si="1">G24/30*H24*F24</f>
        <v>0</v>
      </c>
      <c r="J24" s="32"/>
      <c r="K24" s="13"/>
    </row>
    <row r="25" spans="1:11" ht="13.5" customHeight="1" x14ac:dyDescent="0.25">
      <c r="A25" s="21" t="s">
        <v>181</v>
      </c>
      <c r="B25" s="26"/>
      <c r="C25" s="137"/>
      <c r="D25" s="23"/>
      <c r="E25" s="23"/>
      <c r="F25" s="24"/>
      <c r="G25" s="23"/>
      <c r="H25" s="22">
        <f>SUM(H15:H24)</f>
        <v>9</v>
      </c>
      <c r="I25" s="112">
        <f>SUM(I15:I24)</f>
        <v>2540.75</v>
      </c>
      <c r="J25" s="33"/>
      <c r="K25" s="116"/>
    </row>
    <row r="26" spans="1:11" ht="13.5" customHeight="1" x14ac:dyDescent="0.25">
      <c r="D26" s="8"/>
      <c r="E26" s="8"/>
      <c r="F26" s="9"/>
      <c r="G26" s="10"/>
      <c r="I26" s="10"/>
      <c r="J26" s="4"/>
    </row>
    <row r="27" spans="1:11" ht="13.5" customHeight="1" x14ac:dyDescent="0.25">
      <c r="D27" s="8"/>
      <c r="E27" s="8"/>
      <c r="F27" s="9"/>
      <c r="G27" s="10"/>
      <c r="H27" s="50">
        <f>H25</f>
        <v>9</v>
      </c>
      <c r="I27" s="25">
        <f>I25</f>
        <v>2540.75</v>
      </c>
      <c r="J27" s="16"/>
    </row>
    <row r="28" spans="1:11" ht="13.5" customHeight="1" x14ac:dyDescent="0.25">
      <c r="D28" s="8"/>
      <c r="E28" s="8"/>
      <c r="F28" s="9"/>
      <c r="G28" s="10"/>
      <c r="I28" s="10"/>
      <c r="J28" s="16"/>
    </row>
    <row r="29" spans="1:11" ht="13.5" customHeight="1" x14ac:dyDescent="0.25">
      <c r="D29" s="8"/>
      <c r="E29" s="8"/>
      <c r="F29" s="9"/>
      <c r="G29" s="10"/>
      <c r="I29" s="10"/>
      <c r="J29" s="7"/>
    </row>
    <row r="30" spans="1:11" ht="13.5" customHeight="1" x14ac:dyDescent="0.25">
      <c r="A30" s="289" t="s">
        <v>124</v>
      </c>
      <c r="B30" s="289"/>
      <c r="C30" s="289"/>
      <c r="D30" s="289"/>
      <c r="E30" s="289"/>
      <c r="F30" s="289"/>
      <c r="G30" s="289"/>
      <c r="H30" s="289"/>
      <c r="I30" s="289"/>
      <c r="J30" s="7"/>
    </row>
    <row r="31" spans="1:11" ht="13.5" customHeight="1" x14ac:dyDescent="0.25">
      <c r="J31" s="7"/>
    </row>
    <row r="32" spans="1:11" ht="13.5" customHeight="1" x14ac:dyDescent="0.2">
      <c r="A32" s="27" t="s">
        <v>125</v>
      </c>
      <c r="B32" s="7"/>
      <c r="F32" s="71"/>
      <c r="G32" s="10"/>
      <c r="I32" s="72"/>
      <c r="J32" s="7"/>
    </row>
    <row r="33" spans="1:10" ht="60" customHeight="1" x14ac:dyDescent="0.25">
      <c r="A33" s="291"/>
      <c r="B33" s="275"/>
      <c r="C33" s="292"/>
      <c r="D33" s="290"/>
      <c r="E33" s="290"/>
      <c r="F33" s="290"/>
      <c r="G33" s="290"/>
      <c r="H33" s="290"/>
      <c r="I33" s="290"/>
      <c r="J33" s="7"/>
    </row>
    <row r="34" spans="1:10" ht="13.5" customHeight="1" x14ac:dyDescent="0.25">
      <c r="A34" s="274" t="s">
        <v>126</v>
      </c>
      <c r="B34" s="274"/>
      <c r="C34" s="274"/>
      <c r="D34" s="274" t="s">
        <v>127</v>
      </c>
      <c r="E34" s="274"/>
      <c r="F34" s="274"/>
      <c r="G34" s="274"/>
      <c r="H34" s="274"/>
      <c r="I34" s="274"/>
      <c r="J34" s="7"/>
    </row>
    <row r="35" spans="1:10" ht="13.5" customHeight="1" x14ac:dyDescent="0.25">
      <c r="D35" s="8"/>
      <c r="E35" s="8"/>
      <c r="F35" s="9"/>
      <c r="G35" s="10"/>
      <c r="I35" s="10"/>
      <c r="J35" s="7"/>
    </row>
    <row r="36" spans="1:10" ht="13.5" customHeight="1" x14ac:dyDescent="0.25">
      <c r="D36" s="8"/>
      <c r="E36" s="8"/>
      <c r="F36" s="9"/>
      <c r="G36" s="10"/>
      <c r="I36" s="10"/>
      <c r="J36" s="7"/>
    </row>
    <row r="37" spans="1:10" ht="13.5" customHeight="1" x14ac:dyDescent="0.25">
      <c r="D37" s="8"/>
      <c r="E37" s="8"/>
      <c r="F37" s="9"/>
      <c r="G37" s="10"/>
      <c r="I37" s="10"/>
      <c r="J37" s="7"/>
    </row>
    <row r="38" spans="1:10" ht="13.5" customHeight="1" x14ac:dyDescent="0.2">
      <c r="A38" s="266" t="s">
        <v>29</v>
      </c>
      <c r="B38" s="266"/>
      <c r="C38" s="266"/>
      <c r="D38" s="266"/>
      <c r="E38" s="266"/>
      <c r="F38" s="266"/>
      <c r="G38" s="51"/>
      <c r="I38" s="10"/>
      <c r="J38" s="16"/>
    </row>
    <row r="39" spans="1:10" ht="13.5" customHeight="1" x14ac:dyDescent="0.2">
      <c r="A39" s="267" t="s">
        <v>45</v>
      </c>
      <c r="B39" s="267"/>
      <c r="C39" s="267"/>
      <c r="D39" s="267"/>
      <c r="E39" s="283" t="s">
        <v>5</v>
      </c>
      <c r="F39" s="282" t="s">
        <v>6</v>
      </c>
      <c r="G39" s="52"/>
      <c r="I39" s="10"/>
      <c r="J39" s="16"/>
    </row>
    <row r="40" spans="1:10" ht="13.5" customHeight="1" x14ac:dyDescent="0.2">
      <c r="A40" s="34" t="s">
        <v>0</v>
      </c>
      <c r="B40" s="34" t="s">
        <v>3</v>
      </c>
      <c r="C40" s="34" t="s">
        <v>2</v>
      </c>
      <c r="D40" s="34" t="s">
        <v>4</v>
      </c>
      <c r="E40" s="284"/>
      <c r="F40" s="282"/>
      <c r="G40" s="53"/>
    </row>
    <row r="41" spans="1:10" ht="13.5" customHeight="1" x14ac:dyDescent="0.2">
      <c r="A41" s="2" t="s">
        <v>18</v>
      </c>
      <c r="B41" s="39">
        <v>4</v>
      </c>
      <c r="C41" s="35">
        <v>37</v>
      </c>
      <c r="D41" s="35">
        <v>0</v>
      </c>
      <c r="E41" s="13">
        <f>COUNTIFS($A$12:$A$29,"Cond Ar Janela 7.500 BTU/h")</f>
        <v>0</v>
      </c>
      <c r="F41" s="40">
        <f>B41-E41</f>
        <v>4</v>
      </c>
      <c r="G41" s="1"/>
    </row>
    <row r="42" spans="1:10" ht="13.5" customHeight="1" x14ac:dyDescent="0.2">
      <c r="A42" s="2" t="s">
        <v>19</v>
      </c>
      <c r="B42" s="39"/>
      <c r="C42" s="3">
        <v>210</v>
      </c>
      <c r="D42" s="3">
        <f t="shared" ref="D42:D51" si="2">B42*C42</f>
        <v>0</v>
      </c>
      <c r="E42" s="13">
        <f>COUNTIFS($A$12:$A$29,"Cond Ar Janela 10.000 BTU/h")</f>
        <v>0</v>
      </c>
      <c r="F42" s="40">
        <f t="shared" ref="F42:F63" si="3">B42-E42</f>
        <v>0</v>
      </c>
      <c r="G42" s="1"/>
    </row>
    <row r="43" spans="1:10" ht="13.5" customHeight="1" x14ac:dyDescent="0.2">
      <c r="A43" s="2" t="s">
        <v>20</v>
      </c>
      <c r="B43" s="39"/>
      <c r="C43" s="3">
        <v>208</v>
      </c>
      <c r="D43" s="3">
        <f t="shared" si="2"/>
        <v>0</v>
      </c>
      <c r="E43" s="13">
        <f>COUNTIFS($A$12:$A$29,"Cond Ar Janela 18.000 BTU/h")</f>
        <v>0</v>
      </c>
      <c r="F43" s="40">
        <f t="shared" si="3"/>
        <v>0</v>
      </c>
      <c r="G43" s="1"/>
    </row>
    <row r="44" spans="1:10" ht="13.5" customHeight="1" x14ac:dyDescent="0.2">
      <c r="A44" s="2" t="s">
        <v>21</v>
      </c>
      <c r="B44" s="39"/>
      <c r="C44" s="3">
        <v>57</v>
      </c>
      <c r="D44" s="3">
        <f t="shared" si="2"/>
        <v>0</v>
      </c>
      <c r="E44" s="13">
        <f>COUNTIFS($A$12:$A$29,"Cond Ar Janela 21.000 BTU/h")</f>
        <v>0</v>
      </c>
      <c r="F44" s="40">
        <f t="shared" si="3"/>
        <v>0</v>
      </c>
      <c r="G44" s="1"/>
    </row>
    <row r="45" spans="1:10" ht="13.5" customHeight="1" x14ac:dyDescent="0.2">
      <c r="A45" s="2" t="s">
        <v>22</v>
      </c>
      <c r="B45" s="39">
        <v>1</v>
      </c>
      <c r="C45" s="3">
        <v>147</v>
      </c>
      <c r="D45" s="3">
        <f t="shared" si="2"/>
        <v>147</v>
      </c>
      <c r="E45" s="13">
        <f>COUNTIFS($A$12:$A$29,"Cond Ar Split 9.000 BTU/h Hi Wall")</f>
        <v>0</v>
      </c>
      <c r="F45" s="40">
        <f t="shared" si="3"/>
        <v>1</v>
      </c>
      <c r="G45" s="1"/>
    </row>
    <row r="46" spans="1:10" ht="13.5" customHeight="1" x14ac:dyDescent="0.2">
      <c r="A46" s="2" t="s">
        <v>23</v>
      </c>
      <c r="B46" s="206">
        <v>2</v>
      </c>
      <c r="C46" s="3">
        <v>235</v>
      </c>
      <c r="D46" s="3">
        <f t="shared" si="2"/>
        <v>470</v>
      </c>
      <c r="E46" s="13">
        <f>COUNTIFS($A$12:$A$29,"Cond Ar Split 12.000 BTU/h Hi Wall")</f>
        <v>2</v>
      </c>
      <c r="F46" s="40">
        <f t="shared" si="3"/>
        <v>0</v>
      </c>
      <c r="G46" s="1"/>
    </row>
    <row r="47" spans="1:10" ht="13.5" customHeight="1" x14ac:dyDescent="0.2">
      <c r="A47" s="2" t="s">
        <v>24</v>
      </c>
      <c r="B47" s="206">
        <v>3</v>
      </c>
      <c r="C47" s="3">
        <v>238</v>
      </c>
      <c r="D47" s="3">
        <f t="shared" si="2"/>
        <v>714</v>
      </c>
      <c r="E47" s="13">
        <f>COUNTIFS($A$12:$A$29,"Cond Ar Split 18.000 BTU/h Hi Wall")</f>
        <v>3</v>
      </c>
      <c r="F47" s="40">
        <f t="shared" si="3"/>
        <v>0</v>
      </c>
      <c r="G47" s="1"/>
    </row>
    <row r="48" spans="1:10" ht="13.5" customHeight="1" x14ac:dyDescent="0.2">
      <c r="A48" s="2" t="s">
        <v>25</v>
      </c>
      <c r="B48" s="206">
        <v>3</v>
      </c>
      <c r="C48" s="3">
        <v>242</v>
      </c>
      <c r="D48" s="3">
        <f t="shared" si="2"/>
        <v>726</v>
      </c>
      <c r="E48" s="13">
        <f>COUNTIFS($A$12:$A$29,"Cond Ar Split 22.000 BTU/h Hi Wall")</f>
        <v>2</v>
      </c>
      <c r="F48" s="40">
        <f t="shared" si="3"/>
        <v>1</v>
      </c>
      <c r="G48" s="1"/>
    </row>
    <row r="49" spans="1:12" ht="13.5" customHeight="1" x14ac:dyDescent="0.2">
      <c r="A49" s="2" t="s">
        <v>26</v>
      </c>
      <c r="B49" s="39"/>
      <c r="C49" s="3">
        <v>260</v>
      </c>
      <c r="D49" s="3">
        <f t="shared" si="2"/>
        <v>0</v>
      </c>
      <c r="E49" s="13">
        <f>COUNTIFS($A$12:$A$29,"Cond Ar Split 24.000 BTU/h Hi Wall")</f>
        <v>0</v>
      </c>
      <c r="F49" s="40">
        <f t="shared" si="3"/>
        <v>0</v>
      </c>
      <c r="G49" s="1"/>
    </row>
    <row r="50" spans="1:12" ht="13.5" customHeight="1" x14ac:dyDescent="0.2">
      <c r="A50" s="2" t="s">
        <v>27</v>
      </c>
      <c r="B50" s="206">
        <v>1</v>
      </c>
      <c r="C50" s="3">
        <v>347</v>
      </c>
      <c r="D50" s="3">
        <f t="shared" si="2"/>
        <v>347</v>
      </c>
      <c r="E50" s="13">
        <f>COUNTIFS($A$12:$A$29,"Cond Ar Split 30.000 BTU/h Hi Wall")</f>
        <v>0</v>
      </c>
      <c r="F50" s="40">
        <f t="shared" si="3"/>
        <v>1</v>
      </c>
      <c r="G50" s="1"/>
    </row>
    <row r="51" spans="1:12" ht="13.5" customHeight="1" x14ac:dyDescent="0.2">
      <c r="A51" s="2" t="s">
        <v>30</v>
      </c>
      <c r="B51" s="39"/>
      <c r="C51" s="3">
        <v>367</v>
      </c>
      <c r="D51" s="3">
        <f t="shared" si="2"/>
        <v>0</v>
      </c>
      <c r="E51" s="13">
        <f>COUNTIFS($A$12:$A$29,"Cond Ar Split 24.000 BTU/h Piso/Teto")</f>
        <v>0</v>
      </c>
      <c r="F51" s="40">
        <f t="shared" si="3"/>
        <v>0</v>
      </c>
      <c r="G51" s="1"/>
    </row>
    <row r="52" spans="1:12" ht="13.5" customHeight="1" x14ac:dyDescent="0.2">
      <c r="A52" s="2" t="s">
        <v>31</v>
      </c>
      <c r="B52" s="39"/>
      <c r="C52" s="3">
        <v>367</v>
      </c>
      <c r="D52" s="3">
        <f>B52*C52</f>
        <v>0</v>
      </c>
      <c r="E52" s="13">
        <f>COUNTIFS($A$12:$A$29,"Cond Ar Split 30.000 BTU/h Piso/Teto")</f>
        <v>0</v>
      </c>
      <c r="F52" s="40">
        <f t="shared" si="3"/>
        <v>0</v>
      </c>
      <c r="G52" s="1"/>
    </row>
    <row r="53" spans="1:12" ht="13.5" customHeight="1" x14ac:dyDescent="0.2">
      <c r="A53" s="2" t="s">
        <v>32</v>
      </c>
      <c r="B53" s="39"/>
      <c r="C53" s="3">
        <v>447</v>
      </c>
      <c r="D53" s="3">
        <f>B53*C53</f>
        <v>0</v>
      </c>
      <c r="E53" s="13">
        <f>COUNTIFS($A$12:$A$29,"Cond Ar Split 36.000 BTU/h Piso/Teto")</f>
        <v>0</v>
      </c>
      <c r="F53" s="40">
        <f t="shared" si="3"/>
        <v>0</v>
      </c>
      <c r="G53" s="1"/>
    </row>
    <row r="54" spans="1:12" ht="13.5" customHeight="1" x14ac:dyDescent="0.2">
      <c r="A54" s="2" t="s">
        <v>33</v>
      </c>
      <c r="B54" s="39"/>
      <c r="C54" s="3">
        <v>497</v>
      </c>
      <c r="D54" s="3">
        <f>B54*C54</f>
        <v>0</v>
      </c>
      <c r="E54" s="13">
        <f>COUNTIFS($A$12:$A$29,"Cond Ar Split 48.000 BTU/h Piso/Teto")</f>
        <v>0</v>
      </c>
      <c r="F54" s="40">
        <f t="shared" si="3"/>
        <v>0</v>
      </c>
      <c r="G54" s="1"/>
    </row>
    <row r="55" spans="1:12" ht="13.5" customHeight="1" x14ac:dyDescent="0.2">
      <c r="A55" s="2" t="s">
        <v>34</v>
      </c>
      <c r="B55" s="39"/>
      <c r="C55" s="3">
        <v>597</v>
      </c>
      <c r="D55" s="3">
        <f t="shared" ref="D55:D63" si="4">B55*C55</f>
        <v>0</v>
      </c>
      <c r="E55" s="13">
        <f>COUNTIFS($A$12:$A$29,"Cond Ar Split 60.000 BTU/h Piso/Teto")</f>
        <v>0</v>
      </c>
      <c r="F55" s="40">
        <f t="shared" si="3"/>
        <v>0</v>
      </c>
      <c r="G55" s="1"/>
    </row>
    <row r="56" spans="1:12" s="15" customFormat="1" ht="13.5" customHeight="1" x14ac:dyDescent="0.2">
      <c r="A56" s="2" t="s">
        <v>35</v>
      </c>
      <c r="B56" s="39">
        <v>2</v>
      </c>
      <c r="C56" s="3">
        <v>395</v>
      </c>
      <c r="D56" s="3">
        <f t="shared" si="4"/>
        <v>790</v>
      </c>
      <c r="E56" s="13">
        <f>COUNTIFS($A$15:$A$23,"Cond Ar Split 18.000 BTU/h Cassete")</f>
        <v>0</v>
      </c>
      <c r="F56" s="40">
        <f t="shared" si="3"/>
        <v>2</v>
      </c>
      <c r="G56" s="1"/>
      <c r="H56" s="7"/>
      <c r="I56" s="7"/>
      <c r="L56" s="7"/>
    </row>
    <row r="57" spans="1:12" s="15" customFormat="1" ht="13.5" customHeight="1" x14ac:dyDescent="0.2">
      <c r="A57" s="2" t="s">
        <v>36</v>
      </c>
      <c r="B57" s="39">
        <v>2</v>
      </c>
      <c r="C57" s="3">
        <v>442.75</v>
      </c>
      <c r="D57" s="3">
        <f t="shared" si="4"/>
        <v>885.5</v>
      </c>
      <c r="E57" s="13">
        <f>COUNTIFS($A$15:$A$23,"Cond Ar Split 24.000 BTU/h Cassete")</f>
        <v>1</v>
      </c>
      <c r="F57" s="40">
        <f t="shared" si="3"/>
        <v>1</v>
      </c>
      <c r="G57" s="1"/>
      <c r="H57" s="7"/>
      <c r="I57" s="7"/>
      <c r="L57" s="7"/>
    </row>
    <row r="58" spans="1:12" s="15" customFormat="1" ht="13.5" customHeight="1" x14ac:dyDescent="0.2">
      <c r="A58" s="2" t="s">
        <v>37</v>
      </c>
      <c r="B58" s="39">
        <v>3</v>
      </c>
      <c r="C58" s="3">
        <v>430</v>
      </c>
      <c r="D58" s="3">
        <f t="shared" si="4"/>
        <v>1290</v>
      </c>
      <c r="E58" s="13">
        <f>COUNTIFS($A$15:$A$23,"Cond Ar Split 30.000 BTU/h Cassete")</f>
        <v>1</v>
      </c>
      <c r="F58" s="40">
        <f t="shared" si="3"/>
        <v>2</v>
      </c>
      <c r="G58" s="1"/>
      <c r="H58" s="7"/>
      <c r="I58" s="7"/>
      <c r="L58" s="7"/>
    </row>
    <row r="59" spans="1:12" s="15" customFormat="1" ht="13.5" customHeight="1" x14ac:dyDescent="0.2">
      <c r="A59" s="2" t="s">
        <v>38</v>
      </c>
      <c r="B59" s="39"/>
      <c r="C59" s="3">
        <v>478</v>
      </c>
      <c r="D59" s="3">
        <f t="shared" si="4"/>
        <v>0</v>
      </c>
      <c r="E59" s="13">
        <f>COUNTIFS($A$12:$A$29,"Cond Ar Split 36.000 BTU/h Cassete")</f>
        <v>0</v>
      </c>
      <c r="F59" s="40">
        <f t="shared" si="3"/>
        <v>0</v>
      </c>
      <c r="G59" s="1"/>
      <c r="H59" s="7"/>
      <c r="I59" s="7"/>
      <c r="L59" s="7"/>
    </row>
    <row r="60" spans="1:12" s="15" customFormat="1" ht="13.5" customHeight="1" x14ac:dyDescent="0.2">
      <c r="A60" s="2" t="s">
        <v>39</v>
      </c>
      <c r="B60" s="39"/>
      <c r="C60" s="3">
        <v>577</v>
      </c>
      <c r="D60" s="3">
        <f t="shared" si="4"/>
        <v>0</v>
      </c>
      <c r="E60" s="13">
        <f>COUNTIFS($A$12:$A$29,"Cond Ar Split 48.000 BTU/h Cassete")</f>
        <v>0</v>
      </c>
      <c r="F60" s="40">
        <f t="shared" si="3"/>
        <v>0</v>
      </c>
      <c r="G60" s="1"/>
      <c r="H60" s="7"/>
      <c r="I60" s="7"/>
      <c r="L60" s="7"/>
    </row>
    <row r="61" spans="1:12" s="15" customFormat="1" ht="13.5" customHeight="1" x14ac:dyDescent="0.2">
      <c r="A61" s="2" t="s">
        <v>40</v>
      </c>
      <c r="B61" s="39"/>
      <c r="C61" s="3">
        <v>645</v>
      </c>
      <c r="D61" s="3">
        <f t="shared" si="4"/>
        <v>0</v>
      </c>
      <c r="E61" s="13">
        <f>COUNTIFS($A$12:$A$29,"Cond Ar Split 60.000 BTU/h Cassete")</f>
        <v>0</v>
      </c>
      <c r="F61" s="40">
        <f t="shared" si="3"/>
        <v>0</v>
      </c>
      <c r="G61" s="1"/>
      <c r="H61" s="7"/>
      <c r="I61" s="7"/>
      <c r="L61" s="7"/>
    </row>
    <row r="62" spans="1:12" s="15" customFormat="1" ht="13.5" customHeight="1" x14ac:dyDescent="0.2">
      <c r="A62" s="2" t="s">
        <v>41</v>
      </c>
      <c r="B62" s="39"/>
      <c r="C62" s="3">
        <v>147</v>
      </c>
      <c r="D62" s="3">
        <f t="shared" si="4"/>
        <v>0</v>
      </c>
      <c r="E62" s="13">
        <f>COUNTIFS($A$12:$A$29,"Cond Ar Tri Split 36.000 BTU/h (3x12.000)")</f>
        <v>0</v>
      </c>
      <c r="F62" s="40">
        <f t="shared" si="3"/>
        <v>0</v>
      </c>
      <c r="G62" s="1"/>
      <c r="H62" s="7"/>
      <c r="I62" s="7"/>
      <c r="L62" s="7"/>
    </row>
    <row r="63" spans="1:12" s="15" customFormat="1" ht="13.5" customHeight="1" x14ac:dyDescent="0.2">
      <c r="A63" s="2" t="s">
        <v>42</v>
      </c>
      <c r="B63" s="39"/>
      <c r="C63" s="3">
        <v>100</v>
      </c>
      <c r="D63" s="3">
        <f t="shared" si="4"/>
        <v>0</v>
      </c>
      <c r="E63" s="13">
        <f>COUNTIFS($A$12:$A$29,"Cond Ar Portátil 12.000 BTU/h")</f>
        <v>0</v>
      </c>
      <c r="F63" s="40">
        <f t="shared" si="3"/>
        <v>0</v>
      </c>
      <c r="G63" s="1"/>
      <c r="H63" s="7"/>
      <c r="I63" s="7"/>
      <c r="L63" s="7"/>
    </row>
    <row r="64" spans="1:12" s="15" customFormat="1" ht="13.5" customHeight="1" x14ac:dyDescent="0.2">
      <c r="A64" s="36" t="s">
        <v>7</v>
      </c>
      <c r="B64" s="22">
        <f>SUM(B41:B63)</f>
        <v>21</v>
      </c>
      <c r="C64" s="38"/>
      <c r="D64" s="37">
        <f>SUM(D41:D63)</f>
        <v>5369.5</v>
      </c>
      <c r="E64" s="22">
        <f>SUM(E41:E63)</f>
        <v>9</v>
      </c>
      <c r="F64" s="41">
        <f>SUM(F41:F63)</f>
        <v>12</v>
      </c>
      <c r="G64" s="54"/>
      <c r="H64" s="7"/>
      <c r="I64" s="7"/>
      <c r="L64" s="7"/>
    </row>
    <row r="68" spans="1:12" s="15" customFormat="1" ht="13.5" customHeight="1" x14ac:dyDescent="0.25">
      <c r="A68" s="7"/>
      <c r="C68" s="7"/>
      <c r="D68" s="7"/>
      <c r="E68" s="7"/>
      <c r="F68" s="17"/>
      <c r="G68" s="7"/>
      <c r="H68" s="7"/>
      <c r="I68" s="7"/>
      <c r="J68" s="16"/>
      <c r="L68" s="7"/>
    </row>
  </sheetData>
  <mergeCells count="27">
    <mergeCell ref="A34:C34"/>
    <mergeCell ref="D34:I34"/>
    <mergeCell ref="A38:F38"/>
    <mergeCell ref="A39:D39"/>
    <mergeCell ref="E39:E40"/>
    <mergeCell ref="F39:F40"/>
    <mergeCell ref="A33:C33"/>
    <mergeCell ref="D33:I33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30:I30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20"/>
  <dimension ref="A1:L149"/>
  <sheetViews>
    <sheetView showGridLines="0" workbookViewId="0">
      <pane ySplit="13" topLeftCell="A104" activePane="bottomLeft" state="frozen"/>
      <selection activeCell="I54" sqref="I54"/>
      <selection pane="bottomLeft" activeCell="E109" sqref="E109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.140625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36.28515625" style="15" customWidth="1"/>
    <col min="11" max="11" width="14.85546875" style="15" customWidth="1"/>
    <col min="12" max="12" width="10" style="7" bestFit="1" customWidth="1"/>
    <col min="13" max="16384" width="9.140625" style="7"/>
  </cols>
  <sheetData>
    <row r="1" spans="1:12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2" ht="13.5" customHeight="1" x14ac:dyDescent="0.25">
      <c r="J2" s="4"/>
    </row>
    <row r="3" spans="1:12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2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2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2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  <c r="K6" s="7"/>
    </row>
    <row r="7" spans="1:12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2" s="18" customFormat="1" ht="13.5" customHeight="1" thickTop="1" x14ac:dyDescent="0.25">
      <c r="A8" s="269" t="s">
        <v>215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2" s="18" customFormat="1" ht="13.5" customHeight="1" x14ac:dyDescent="0.25">
      <c r="A9" s="270" t="s">
        <v>217</v>
      </c>
      <c r="B9" s="270"/>
      <c r="C9" s="271" t="s">
        <v>216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2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2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2" ht="13.5" customHeight="1" x14ac:dyDescent="0.25">
      <c r="J12" s="4"/>
    </row>
    <row r="13" spans="1:12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2" ht="13.5" customHeight="1" x14ac:dyDescent="0.25">
      <c r="D14" s="8"/>
      <c r="E14" s="8"/>
      <c r="F14" s="9"/>
      <c r="G14" s="10"/>
      <c r="I14" s="10"/>
      <c r="J14" s="4"/>
    </row>
    <row r="15" spans="1:12" ht="13.5" customHeight="1" x14ac:dyDescent="0.25">
      <c r="A15" s="184" t="s">
        <v>22</v>
      </c>
      <c r="B15" s="167">
        <v>45556</v>
      </c>
      <c r="C15" s="173">
        <v>14434</v>
      </c>
      <c r="D15" s="114">
        <v>45658</v>
      </c>
      <c r="E15" s="114">
        <v>45687</v>
      </c>
      <c r="F15" s="168">
        <f t="shared" ref="F15:F86" si="0">(E15-D15)+1</f>
        <v>30</v>
      </c>
      <c r="G15" s="169">
        <v>147</v>
      </c>
      <c r="H15" s="170">
        <v>1</v>
      </c>
      <c r="I15" s="171">
        <f t="shared" ref="I15:I86" si="1">G15/30*H15*F15</f>
        <v>147</v>
      </c>
      <c r="J15" s="200" t="s">
        <v>318</v>
      </c>
      <c r="K15" s="170" t="s">
        <v>563</v>
      </c>
      <c r="L15" s="158"/>
    </row>
    <row r="16" spans="1:12" ht="13.5" customHeight="1" x14ac:dyDescent="0.25">
      <c r="A16" s="184" t="s">
        <v>22</v>
      </c>
      <c r="B16" s="167">
        <v>45556</v>
      </c>
      <c r="C16" s="173">
        <v>14107</v>
      </c>
      <c r="D16" s="114">
        <v>45658</v>
      </c>
      <c r="E16" s="114">
        <v>45687</v>
      </c>
      <c r="F16" s="168">
        <f t="shared" si="0"/>
        <v>30</v>
      </c>
      <c r="G16" s="169">
        <v>147</v>
      </c>
      <c r="H16" s="170">
        <v>1</v>
      </c>
      <c r="I16" s="171">
        <f t="shared" si="1"/>
        <v>147</v>
      </c>
      <c r="J16" s="200" t="s">
        <v>319</v>
      </c>
      <c r="K16" s="170" t="s">
        <v>569</v>
      </c>
      <c r="L16" s="158"/>
    </row>
    <row r="17" spans="1:12" ht="13.5" customHeight="1" x14ac:dyDescent="0.25">
      <c r="A17" s="184" t="s">
        <v>22</v>
      </c>
      <c r="B17" s="167">
        <v>45570</v>
      </c>
      <c r="C17" s="102">
        <v>14888</v>
      </c>
      <c r="D17" s="114">
        <v>45658</v>
      </c>
      <c r="E17" s="114">
        <v>45687</v>
      </c>
      <c r="F17" s="168">
        <f t="shared" si="0"/>
        <v>30</v>
      </c>
      <c r="G17" s="169">
        <v>147</v>
      </c>
      <c r="H17" s="170">
        <v>1</v>
      </c>
      <c r="I17" s="171">
        <f t="shared" si="1"/>
        <v>147</v>
      </c>
      <c r="J17" s="200" t="s">
        <v>745</v>
      </c>
      <c r="K17" s="170" t="s">
        <v>744</v>
      </c>
      <c r="L17" s="158"/>
    </row>
    <row r="18" spans="1:12" ht="13.5" customHeight="1" x14ac:dyDescent="0.25">
      <c r="A18" s="184" t="s">
        <v>22</v>
      </c>
      <c r="B18" s="167">
        <v>45570</v>
      </c>
      <c r="C18" s="102">
        <v>14884</v>
      </c>
      <c r="D18" s="114">
        <v>45658</v>
      </c>
      <c r="E18" s="114">
        <v>45687</v>
      </c>
      <c r="F18" s="168">
        <f t="shared" si="0"/>
        <v>30</v>
      </c>
      <c r="G18" s="169">
        <v>147</v>
      </c>
      <c r="H18" s="170">
        <v>1</v>
      </c>
      <c r="I18" s="171">
        <f t="shared" si="1"/>
        <v>147</v>
      </c>
      <c r="J18" s="200" t="s">
        <v>746</v>
      </c>
      <c r="K18" s="170" t="s">
        <v>744</v>
      </c>
      <c r="L18" s="158"/>
    </row>
    <row r="19" spans="1:12" ht="13.5" customHeight="1" x14ac:dyDescent="0.2">
      <c r="A19" s="184" t="s">
        <v>23</v>
      </c>
      <c r="B19" s="167">
        <v>45549</v>
      </c>
      <c r="C19" s="173">
        <v>14706</v>
      </c>
      <c r="D19" s="114">
        <v>45658</v>
      </c>
      <c r="E19" s="114">
        <v>45687</v>
      </c>
      <c r="F19" s="168">
        <f t="shared" si="0"/>
        <v>30</v>
      </c>
      <c r="G19" s="169">
        <v>235</v>
      </c>
      <c r="H19" s="170">
        <v>1</v>
      </c>
      <c r="I19" s="171">
        <f t="shared" si="1"/>
        <v>235</v>
      </c>
      <c r="J19" s="172" t="s">
        <v>289</v>
      </c>
      <c r="K19" s="170" t="s">
        <v>564</v>
      </c>
      <c r="L19" s="158"/>
    </row>
    <row r="20" spans="1:12" ht="13.5" customHeight="1" x14ac:dyDescent="0.25">
      <c r="A20" s="184" t="s">
        <v>23</v>
      </c>
      <c r="B20" s="167">
        <v>45549</v>
      </c>
      <c r="C20" s="173">
        <v>14698</v>
      </c>
      <c r="D20" s="114">
        <v>45658</v>
      </c>
      <c r="E20" s="114">
        <v>45687</v>
      </c>
      <c r="F20" s="168">
        <f t="shared" si="0"/>
        <v>30</v>
      </c>
      <c r="G20" s="169">
        <v>235</v>
      </c>
      <c r="H20" s="170">
        <v>1</v>
      </c>
      <c r="I20" s="171">
        <f t="shared" si="1"/>
        <v>235</v>
      </c>
      <c r="J20" s="200" t="s">
        <v>290</v>
      </c>
      <c r="K20" s="170" t="s">
        <v>563</v>
      </c>
      <c r="L20" s="158"/>
    </row>
    <row r="21" spans="1:12" ht="13.5" customHeight="1" x14ac:dyDescent="0.25">
      <c r="A21" s="184" t="s">
        <v>23</v>
      </c>
      <c r="B21" s="167">
        <v>45549</v>
      </c>
      <c r="C21" s="173">
        <v>14615</v>
      </c>
      <c r="D21" s="114">
        <v>45658</v>
      </c>
      <c r="E21" s="114">
        <v>45687</v>
      </c>
      <c r="F21" s="168">
        <f t="shared" si="0"/>
        <v>30</v>
      </c>
      <c r="G21" s="169">
        <v>235</v>
      </c>
      <c r="H21" s="170">
        <v>1</v>
      </c>
      <c r="I21" s="171">
        <f t="shared" si="1"/>
        <v>235</v>
      </c>
      <c r="J21" s="200" t="s">
        <v>291</v>
      </c>
      <c r="K21" s="170" t="s">
        <v>563</v>
      </c>
    </row>
    <row r="22" spans="1:12" ht="13.5" customHeight="1" x14ac:dyDescent="0.2">
      <c r="A22" s="184" t="s">
        <v>23</v>
      </c>
      <c r="B22" s="167">
        <v>45549</v>
      </c>
      <c r="C22" s="173">
        <v>14622</v>
      </c>
      <c r="D22" s="114">
        <v>45658</v>
      </c>
      <c r="E22" s="114">
        <v>45687</v>
      </c>
      <c r="F22" s="168">
        <f t="shared" si="0"/>
        <v>30</v>
      </c>
      <c r="G22" s="169">
        <v>235</v>
      </c>
      <c r="H22" s="170">
        <v>1</v>
      </c>
      <c r="I22" s="171">
        <f t="shared" si="1"/>
        <v>235</v>
      </c>
      <c r="J22" s="172" t="s">
        <v>292</v>
      </c>
      <c r="K22" s="170" t="s">
        <v>565</v>
      </c>
    </row>
    <row r="23" spans="1:12" ht="13.5" customHeight="1" x14ac:dyDescent="0.2">
      <c r="A23" s="184" t="s">
        <v>23</v>
      </c>
      <c r="B23" s="167">
        <v>45512</v>
      </c>
      <c r="C23" s="173">
        <v>14123</v>
      </c>
      <c r="D23" s="114">
        <v>45658</v>
      </c>
      <c r="E23" s="114">
        <v>45687</v>
      </c>
      <c r="F23" s="168">
        <f t="shared" si="0"/>
        <v>30</v>
      </c>
      <c r="G23" s="169">
        <v>235</v>
      </c>
      <c r="H23" s="170">
        <v>1</v>
      </c>
      <c r="I23" s="171">
        <f t="shared" si="1"/>
        <v>235</v>
      </c>
      <c r="J23" s="172" t="s">
        <v>219</v>
      </c>
      <c r="K23" s="170" t="s">
        <v>566</v>
      </c>
    </row>
    <row r="24" spans="1:12" ht="13.5" customHeight="1" x14ac:dyDescent="0.2">
      <c r="A24" s="2" t="s">
        <v>23</v>
      </c>
      <c r="B24" s="76">
        <v>45512</v>
      </c>
      <c r="C24" s="55">
        <v>2021</v>
      </c>
      <c r="D24" s="114">
        <v>45658</v>
      </c>
      <c r="E24" s="114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32" t="s">
        <v>667</v>
      </c>
      <c r="K24" s="13" t="s">
        <v>629</v>
      </c>
    </row>
    <row r="25" spans="1:12" ht="13.5" customHeight="1" x14ac:dyDescent="0.2">
      <c r="A25" s="2" t="s">
        <v>23</v>
      </c>
      <c r="B25" s="76">
        <v>45512</v>
      </c>
      <c r="C25" s="55">
        <v>787</v>
      </c>
      <c r="D25" s="114">
        <v>45658</v>
      </c>
      <c r="E25" s="114">
        <v>45687</v>
      </c>
      <c r="F25" s="11">
        <f t="shared" si="0"/>
        <v>30</v>
      </c>
      <c r="G25" s="12">
        <v>235</v>
      </c>
      <c r="H25" s="13">
        <v>1</v>
      </c>
      <c r="I25" s="19">
        <f t="shared" si="1"/>
        <v>235</v>
      </c>
      <c r="J25" s="32" t="s">
        <v>668</v>
      </c>
      <c r="K25" s="13" t="s">
        <v>629</v>
      </c>
    </row>
    <row r="26" spans="1:12" ht="13.5" customHeight="1" x14ac:dyDescent="0.2">
      <c r="A26" s="2" t="s">
        <v>23</v>
      </c>
      <c r="B26" s="76">
        <v>45512</v>
      </c>
      <c r="C26" s="55">
        <v>2308</v>
      </c>
      <c r="D26" s="114">
        <v>45658</v>
      </c>
      <c r="E26" s="114">
        <v>45687</v>
      </c>
      <c r="F26" s="11">
        <f t="shared" si="0"/>
        <v>30</v>
      </c>
      <c r="G26" s="12">
        <v>235</v>
      </c>
      <c r="H26" s="13">
        <v>1</v>
      </c>
      <c r="I26" s="19">
        <f t="shared" si="1"/>
        <v>235</v>
      </c>
      <c r="J26" s="32" t="s">
        <v>669</v>
      </c>
      <c r="K26" s="13" t="s">
        <v>629</v>
      </c>
    </row>
    <row r="27" spans="1:12" ht="13.5" customHeight="1" x14ac:dyDescent="0.2">
      <c r="A27" s="2" t="s">
        <v>23</v>
      </c>
      <c r="B27" s="76">
        <v>45512</v>
      </c>
      <c r="C27" s="55">
        <v>2160</v>
      </c>
      <c r="D27" s="114">
        <v>45658</v>
      </c>
      <c r="E27" s="114">
        <v>45687</v>
      </c>
      <c r="F27" s="11">
        <f t="shared" si="0"/>
        <v>30</v>
      </c>
      <c r="G27" s="12">
        <v>235</v>
      </c>
      <c r="H27" s="13">
        <v>1</v>
      </c>
      <c r="I27" s="19">
        <f t="shared" si="1"/>
        <v>235</v>
      </c>
      <c r="J27" s="32" t="str">
        <f>[1]Planilha1!A14</f>
        <v>ASCON</v>
      </c>
      <c r="K27" s="13" t="s">
        <v>629</v>
      </c>
    </row>
    <row r="28" spans="1:12" ht="13.5" customHeight="1" x14ac:dyDescent="0.2">
      <c r="A28" s="2" t="s">
        <v>23</v>
      </c>
      <c r="B28" s="76">
        <v>45512</v>
      </c>
      <c r="C28" s="55">
        <v>14616</v>
      </c>
      <c r="D28" s="114">
        <v>45658</v>
      </c>
      <c r="E28" s="114">
        <v>45687</v>
      </c>
      <c r="F28" s="11">
        <f t="shared" si="0"/>
        <v>30</v>
      </c>
      <c r="G28" s="12">
        <v>235</v>
      </c>
      <c r="H28" s="13">
        <v>1</v>
      </c>
      <c r="I28" s="19">
        <f t="shared" si="1"/>
        <v>235</v>
      </c>
      <c r="J28" s="32" t="s">
        <v>647</v>
      </c>
      <c r="K28" s="13" t="s">
        <v>629</v>
      </c>
    </row>
    <row r="29" spans="1:12" ht="13.5" customHeight="1" x14ac:dyDescent="0.2">
      <c r="A29" s="2" t="s">
        <v>23</v>
      </c>
      <c r="B29" s="76">
        <v>45512</v>
      </c>
      <c r="C29" s="55">
        <v>1999</v>
      </c>
      <c r="D29" s="114">
        <v>45658</v>
      </c>
      <c r="E29" s="114">
        <v>45687</v>
      </c>
      <c r="F29" s="11">
        <f t="shared" si="0"/>
        <v>30</v>
      </c>
      <c r="G29" s="12">
        <v>235</v>
      </c>
      <c r="H29" s="13">
        <v>1</v>
      </c>
      <c r="I29" s="19">
        <f t="shared" si="1"/>
        <v>235</v>
      </c>
      <c r="J29" s="32" t="s">
        <v>670</v>
      </c>
      <c r="K29" s="13" t="s">
        <v>629</v>
      </c>
    </row>
    <row r="30" spans="1:12" ht="13.5" customHeight="1" x14ac:dyDescent="0.2">
      <c r="A30" s="2" t="s">
        <v>23</v>
      </c>
      <c r="B30" s="76">
        <v>45512</v>
      </c>
      <c r="C30" s="55">
        <v>1997</v>
      </c>
      <c r="D30" s="114">
        <v>45658</v>
      </c>
      <c r="E30" s="114">
        <v>45687</v>
      </c>
      <c r="F30" s="11">
        <f t="shared" si="0"/>
        <v>30</v>
      </c>
      <c r="G30" s="12">
        <v>235</v>
      </c>
      <c r="H30" s="13">
        <v>1</v>
      </c>
      <c r="I30" s="19">
        <f t="shared" si="1"/>
        <v>235</v>
      </c>
      <c r="J30" s="32" t="s">
        <v>574</v>
      </c>
      <c r="K30" s="13" t="s">
        <v>629</v>
      </c>
    </row>
    <row r="31" spans="1:12" ht="13.5" customHeight="1" x14ac:dyDescent="0.2">
      <c r="A31" s="2" t="s">
        <v>23</v>
      </c>
      <c r="B31" s="76">
        <v>45512</v>
      </c>
      <c r="C31" s="55">
        <v>1941</v>
      </c>
      <c r="D31" s="114">
        <v>45658</v>
      </c>
      <c r="E31" s="114">
        <v>45687</v>
      </c>
      <c r="F31" s="11">
        <f t="shared" si="0"/>
        <v>30</v>
      </c>
      <c r="G31" s="12">
        <v>235</v>
      </c>
      <c r="H31" s="13">
        <v>1</v>
      </c>
      <c r="I31" s="19">
        <f t="shared" si="1"/>
        <v>235</v>
      </c>
      <c r="J31" s="32" t="s">
        <v>671</v>
      </c>
      <c r="K31" s="13" t="s">
        <v>629</v>
      </c>
    </row>
    <row r="32" spans="1:12" ht="13.5" customHeight="1" x14ac:dyDescent="0.2">
      <c r="A32" s="2" t="s">
        <v>23</v>
      </c>
      <c r="B32" s="76">
        <v>45512</v>
      </c>
      <c r="C32" s="55">
        <v>1943</v>
      </c>
      <c r="D32" s="114">
        <v>45658</v>
      </c>
      <c r="E32" s="114">
        <v>45687</v>
      </c>
      <c r="F32" s="11">
        <f t="shared" si="0"/>
        <v>30</v>
      </c>
      <c r="G32" s="12">
        <v>235</v>
      </c>
      <c r="H32" s="13">
        <v>1</v>
      </c>
      <c r="I32" s="19">
        <f t="shared" si="1"/>
        <v>235</v>
      </c>
      <c r="J32" s="32" t="s">
        <v>671</v>
      </c>
      <c r="K32" s="13" t="s">
        <v>629</v>
      </c>
    </row>
    <row r="33" spans="1:11" ht="13.5" customHeight="1" x14ac:dyDescent="0.2">
      <c r="A33" s="2" t="s">
        <v>23</v>
      </c>
      <c r="B33" s="76">
        <v>45512</v>
      </c>
      <c r="C33" s="55">
        <v>16858</v>
      </c>
      <c r="D33" s="114">
        <v>45658</v>
      </c>
      <c r="E33" s="114">
        <v>45687</v>
      </c>
      <c r="F33" s="11">
        <f t="shared" si="0"/>
        <v>30</v>
      </c>
      <c r="G33" s="12">
        <v>235</v>
      </c>
      <c r="H33" s="13">
        <v>1</v>
      </c>
      <c r="I33" s="19">
        <f t="shared" si="1"/>
        <v>235</v>
      </c>
      <c r="J33" s="32" t="s">
        <v>671</v>
      </c>
      <c r="K33" s="13" t="s">
        <v>629</v>
      </c>
    </row>
    <row r="34" spans="1:11" ht="13.5" customHeight="1" x14ac:dyDescent="0.2">
      <c r="A34" s="2" t="s">
        <v>23</v>
      </c>
      <c r="B34" s="76">
        <v>45512</v>
      </c>
      <c r="C34" s="55">
        <v>1106</v>
      </c>
      <c r="D34" s="114">
        <v>45658</v>
      </c>
      <c r="E34" s="114">
        <v>45687</v>
      </c>
      <c r="F34" s="11">
        <f t="shared" si="0"/>
        <v>30</v>
      </c>
      <c r="G34" s="12">
        <v>235</v>
      </c>
      <c r="H34" s="13">
        <v>1</v>
      </c>
      <c r="I34" s="19">
        <f t="shared" si="1"/>
        <v>235</v>
      </c>
      <c r="J34" s="32" t="str">
        <f>[1]Planilha1!$A$21</f>
        <v>DILENE</v>
      </c>
      <c r="K34" s="13" t="s">
        <v>629</v>
      </c>
    </row>
    <row r="35" spans="1:11" ht="13.5" customHeight="1" x14ac:dyDescent="0.2">
      <c r="A35" s="2" t="s">
        <v>23</v>
      </c>
      <c r="B35" s="76">
        <v>45512</v>
      </c>
      <c r="C35" s="55">
        <v>1112</v>
      </c>
      <c r="D35" s="114">
        <v>45658</v>
      </c>
      <c r="E35" s="114">
        <v>45687</v>
      </c>
      <c r="F35" s="11">
        <f t="shared" si="0"/>
        <v>30</v>
      </c>
      <c r="G35" s="12">
        <v>235</v>
      </c>
      <c r="H35" s="13">
        <v>1</v>
      </c>
      <c r="I35" s="19">
        <f t="shared" si="1"/>
        <v>235</v>
      </c>
      <c r="J35" s="32" t="str">
        <f>[1]Planilha1!$A$21</f>
        <v>DILENE</v>
      </c>
      <c r="K35" s="13" t="s">
        <v>629</v>
      </c>
    </row>
    <row r="36" spans="1:11" ht="13.5" customHeight="1" x14ac:dyDescent="0.2">
      <c r="A36" s="2" t="s">
        <v>23</v>
      </c>
      <c r="B36" s="76">
        <v>45512</v>
      </c>
      <c r="C36" s="55">
        <v>214621</v>
      </c>
      <c r="D36" s="114">
        <v>45658</v>
      </c>
      <c r="E36" s="114">
        <v>45687</v>
      </c>
      <c r="F36" s="11">
        <f t="shared" si="0"/>
        <v>30</v>
      </c>
      <c r="G36" s="12">
        <v>235</v>
      </c>
      <c r="H36" s="13">
        <v>1</v>
      </c>
      <c r="I36" s="19">
        <f t="shared" si="1"/>
        <v>235</v>
      </c>
      <c r="J36" s="32" t="str">
        <f>[1]Planilha1!$A$25</f>
        <v>GERAF SUAD</v>
      </c>
      <c r="K36" s="13" t="s">
        <v>629</v>
      </c>
    </row>
    <row r="37" spans="1:11" ht="13.5" customHeight="1" x14ac:dyDescent="0.2">
      <c r="A37" s="2" t="s">
        <v>23</v>
      </c>
      <c r="B37" s="76">
        <v>45512</v>
      </c>
      <c r="C37" s="55">
        <v>1107</v>
      </c>
      <c r="D37" s="114">
        <v>45658</v>
      </c>
      <c r="E37" s="114">
        <v>45687</v>
      </c>
      <c r="F37" s="11">
        <f t="shared" si="0"/>
        <v>30</v>
      </c>
      <c r="G37" s="12">
        <v>235</v>
      </c>
      <c r="H37" s="13">
        <v>1</v>
      </c>
      <c r="I37" s="19">
        <f t="shared" si="1"/>
        <v>235</v>
      </c>
      <c r="J37" s="32" t="str">
        <f>[1]Planilha1!$A$27</f>
        <v>TRANSPORTE</v>
      </c>
      <c r="K37" s="13" t="s">
        <v>629</v>
      </c>
    </row>
    <row r="38" spans="1:11" ht="13.5" customHeight="1" x14ac:dyDescent="0.2">
      <c r="A38" s="2" t="s">
        <v>23</v>
      </c>
      <c r="B38" s="76">
        <v>45512</v>
      </c>
      <c r="C38" s="55">
        <v>1110</v>
      </c>
      <c r="D38" s="114">
        <v>45658</v>
      </c>
      <c r="E38" s="114">
        <v>45687</v>
      </c>
      <c r="F38" s="11">
        <f t="shared" si="0"/>
        <v>30</v>
      </c>
      <c r="G38" s="12">
        <v>235</v>
      </c>
      <c r="H38" s="13">
        <v>1</v>
      </c>
      <c r="I38" s="19">
        <f t="shared" si="1"/>
        <v>235</v>
      </c>
      <c r="J38" s="32" t="str">
        <f>[1]Planilha1!$A$31</f>
        <v>CONVITE CPE</v>
      </c>
      <c r="K38" s="13" t="s">
        <v>629</v>
      </c>
    </row>
    <row r="39" spans="1:11" ht="13.5" customHeight="1" x14ac:dyDescent="0.2">
      <c r="A39" s="2" t="s">
        <v>23</v>
      </c>
      <c r="B39" s="76">
        <v>45512</v>
      </c>
      <c r="C39" s="55">
        <v>14612</v>
      </c>
      <c r="D39" s="114">
        <v>45658</v>
      </c>
      <c r="E39" s="114">
        <v>45687</v>
      </c>
      <c r="F39" s="11">
        <f t="shared" si="0"/>
        <v>30</v>
      </c>
      <c r="G39" s="12">
        <v>235</v>
      </c>
      <c r="H39" s="13">
        <v>1</v>
      </c>
      <c r="I39" s="19">
        <f t="shared" si="1"/>
        <v>235</v>
      </c>
      <c r="J39" s="32" t="s">
        <v>672</v>
      </c>
      <c r="K39" s="13" t="s">
        <v>629</v>
      </c>
    </row>
    <row r="40" spans="1:11" ht="13.5" customHeight="1" x14ac:dyDescent="0.2">
      <c r="A40" s="2" t="s">
        <v>23</v>
      </c>
      <c r="B40" s="76">
        <v>45512</v>
      </c>
      <c r="C40" s="55">
        <v>1113</v>
      </c>
      <c r="D40" s="114">
        <v>45658</v>
      </c>
      <c r="E40" s="114">
        <v>45687</v>
      </c>
      <c r="F40" s="11">
        <f t="shared" si="0"/>
        <v>30</v>
      </c>
      <c r="G40" s="12">
        <v>235</v>
      </c>
      <c r="H40" s="13">
        <v>1</v>
      </c>
      <c r="I40" s="19">
        <f t="shared" si="1"/>
        <v>235</v>
      </c>
      <c r="J40" s="32" t="s">
        <v>673</v>
      </c>
      <c r="K40" s="13" t="s">
        <v>629</v>
      </c>
    </row>
    <row r="41" spans="1:11" ht="13.5" customHeight="1" x14ac:dyDescent="0.2">
      <c r="A41" s="2" t="s">
        <v>23</v>
      </c>
      <c r="B41" s="76">
        <v>45512</v>
      </c>
      <c r="C41" s="55">
        <v>16884</v>
      </c>
      <c r="D41" s="114">
        <v>45658</v>
      </c>
      <c r="E41" s="114">
        <v>45687</v>
      </c>
      <c r="F41" s="11">
        <f t="shared" si="0"/>
        <v>30</v>
      </c>
      <c r="G41" s="12">
        <v>235</v>
      </c>
      <c r="H41" s="13">
        <v>1</v>
      </c>
      <c r="I41" s="19">
        <f t="shared" si="1"/>
        <v>235</v>
      </c>
      <c r="J41" s="32" t="s">
        <v>652</v>
      </c>
      <c r="K41" s="13" t="s">
        <v>629</v>
      </c>
    </row>
    <row r="42" spans="1:11" ht="13.5" customHeight="1" x14ac:dyDescent="0.2">
      <c r="A42" s="2" t="s">
        <v>23</v>
      </c>
      <c r="B42" s="76">
        <v>45512</v>
      </c>
      <c r="C42" s="55">
        <v>14697</v>
      </c>
      <c r="D42" s="114">
        <v>45658</v>
      </c>
      <c r="E42" s="114">
        <v>45687</v>
      </c>
      <c r="F42" s="11">
        <f t="shared" si="0"/>
        <v>30</v>
      </c>
      <c r="G42" s="12">
        <v>235</v>
      </c>
      <c r="H42" s="13">
        <v>1</v>
      </c>
      <c r="I42" s="19">
        <f t="shared" si="1"/>
        <v>235</v>
      </c>
      <c r="J42" s="32" t="s">
        <v>674</v>
      </c>
      <c r="K42" s="13" t="s">
        <v>629</v>
      </c>
    </row>
    <row r="43" spans="1:11" ht="13.5" customHeight="1" x14ac:dyDescent="0.2">
      <c r="A43" s="2" t="s">
        <v>23</v>
      </c>
      <c r="B43" s="76">
        <v>45512</v>
      </c>
      <c r="C43" s="55">
        <v>16885</v>
      </c>
      <c r="D43" s="114">
        <v>45658</v>
      </c>
      <c r="E43" s="114">
        <v>45687</v>
      </c>
      <c r="F43" s="11">
        <f t="shared" si="0"/>
        <v>30</v>
      </c>
      <c r="G43" s="12">
        <v>235</v>
      </c>
      <c r="H43" s="13">
        <v>1</v>
      </c>
      <c r="I43" s="19">
        <f t="shared" si="1"/>
        <v>235</v>
      </c>
      <c r="J43" s="32" t="s">
        <v>675</v>
      </c>
      <c r="K43" s="13" t="s">
        <v>629</v>
      </c>
    </row>
    <row r="44" spans="1:11" ht="13.5" customHeight="1" x14ac:dyDescent="0.2">
      <c r="A44" s="2" t="s">
        <v>23</v>
      </c>
      <c r="B44" s="76">
        <v>45512</v>
      </c>
      <c r="C44" s="55">
        <v>1938</v>
      </c>
      <c r="D44" s="114">
        <v>45658</v>
      </c>
      <c r="E44" s="114">
        <v>45687</v>
      </c>
      <c r="F44" s="11">
        <f t="shared" si="0"/>
        <v>30</v>
      </c>
      <c r="G44" s="12">
        <v>235</v>
      </c>
      <c r="H44" s="13">
        <v>1</v>
      </c>
      <c r="I44" s="19">
        <f t="shared" si="1"/>
        <v>235</v>
      </c>
      <c r="J44" s="32" t="s">
        <v>654</v>
      </c>
      <c r="K44" s="13" t="s">
        <v>629</v>
      </c>
    </row>
    <row r="45" spans="1:11" ht="13.5" customHeight="1" x14ac:dyDescent="0.2">
      <c r="A45" s="2" t="s">
        <v>23</v>
      </c>
      <c r="B45" s="76">
        <v>45512</v>
      </c>
      <c r="C45" s="55">
        <v>2015</v>
      </c>
      <c r="D45" s="114">
        <v>45658</v>
      </c>
      <c r="E45" s="114">
        <v>45687</v>
      </c>
      <c r="F45" s="11">
        <f t="shared" si="0"/>
        <v>30</v>
      </c>
      <c r="G45" s="12">
        <v>235</v>
      </c>
      <c r="H45" s="13">
        <v>1</v>
      </c>
      <c r="I45" s="19">
        <f t="shared" si="1"/>
        <v>235</v>
      </c>
      <c r="J45" s="32" t="s">
        <v>655</v>
      </c>
      <c r="K45" s="13" t="s">
        <v>629</v>
      </c>
    </row>
    <row r="46" spans="1:11" ht="13.5" customHeight="1" x14ac:dyDescent="0.2">
      <c r="A46" s="2" t="s">
        <v>23</v>
      </c>
      <c r="B46" s="76">
        <v>45512</v>
      </c>
      <c r="C46" s="55">
        <v>2309</v>
      </c>
      <c r="D46" s="114">
        <v>45658</v>
      </c>
      <c r="E46" s="114">
        <v>45687</v>
      </c>
      <c r="F46" s="11">
        <f t="shared" si="0"/>
        <v>30</v>
      </c>
      <c r="G46" s="12">
        <v>235</v>
      </c>
      <c r="H46" s="13">
        <v>1</v>
      </c>
      <c r="I46" s="19">
        <f t="shared" si="1"/>
        <v>235</v>
      </c>
      <c r="J46" s="32" t="str">
        <f>[1]Planilha1!$A$51</f>
        <v>CAP</v>
      </c>
      <c r="K46" s="13" t="s">
        <v>629</v>
      </c>
    </row>
    <row r="47" spans="1:11" ht="13.5" customHeight="1" x14ac:dyDescent="0.2">
      <c r="A47" s="2" t="s">
        <v>23</v>
      </c>
      <c r="B47" s="76">
        <v>45512</v>
      </c>
      <c r="C47" s="55">
        <v>2017</v>
      </c>
      <c r="D47" s="114">
        <v>45658</v>
      </c>
      <c r="E47" s="114">
        <v>45687</v>
      </c>
      <c r="F47" s="11">
        <f t="shared" si="0"/>
        <v>30</v>
      </c>
      <c r="G47" s="12">
        <v>235</v>
      </c>
      <c r="H47" s="13">
        <v>1</v>
      </c>
      <c r="I47" s="19">
        <f t="shared" si="1"/>
        <v>235</v>
      </c>
      <c r="J47" s="32" t="s">
        <v>676</v>
      </c>
      <c r="K47" s="13" t="s">
        <v>629</v>
      </c>
    </row>
    <row r="48" spans="1:11" ht="13.5" customHeight="1" x14ac:dyDescent="0.2">
      <c r="A48" s="2" t="s">
        <v>23</v>
      </c>
      <c r="B48" s="76">
        <v>45512</v>
      </c>
      <c r="C48" s="55">
        <v>2311</v>
      </c>
      <c r="D48" s="114">
        <v>45658</v>
      </c>
      <c r="E48" s="114">
        <v>45687</v>
      </c>
      <c r="F48" s="11">
        <f t="shared" si="0"/>
        <v>30</v>
      </c>
      <c r="G48" s="12">
        <v>235</v>
      </c>
      <c r="H48" s="13">
        <v>1</v>
      </c>
      <c r="I48" s="19">
        <f t="shared" si="1"/>
        <v>235</v>
      </c>
      <c r="J48" s="32" t="s">
        <v>677</v>
      </c>
      <c r="K48" s="13" t="s">
        <v>629</v>
      </c>
    </row>
    <row r="49" spans="1:11" ht="13.5" customHeight="1" x14ac:dyDescent="0.2">
      <c r="A49" s="2" t="s">
        <v>23</v>
      </c>
      <c r="B49" s="76">
        <v>45512</v>
      </c>
      <c r="C49" s="55">
        <v>2013</v>
      </c>
      <c r="D49" s="114">
        <v>45658</v>
      </c>
      <c r="E49" s="114">
        <v>45687</v>
      </c>
      <c r="F49" s="11">
        <f t="shared" si="0"/>
        <v>30</v>
      </c>
      <c r="G49" s="12">
        <v>235</v>
      </c>
      <c r="H49" s="13">
        <v>1</v>
      </c>
      <c r="I49" s="19">
        <f t="shared" si="1"/>
        <v>235</v>
      </c>
      <c r="J49" s="32" t="s">
        <v>658</v>
      </c>
      <c r="K49" s="13" t="s">
        <v>629</v>
      </c>
    </row>
    <row r="50" spans="1:11" ht="13.5" customHeight="1" x14ac:dyDescent="0.2">
      <c r="A50" s="2" t="s">
        <v>23</v>
      </c>
      <c r="B50" s="76">
        <v>45570</v>
      </c>
      <c r="C50" s="102">
        <v>14612</v>
      </c>
      <c r="D50" s="114">
        <v>45658</v>
      </c>
      <c r="E50" s="114">
        <v>45687</v>
      </c>
      <c r="F50" s="11">
        <f t="shared" si="0"/>
        <v>30</v>
      </c>
      <c r="G50" s="12">
        <v>235</v>
      </c>
      <c r="H50" s="13">
        <v>1</v>
      </c>
      <c r="I50" s="19">
        <f t="shared" si="1"/>
        <v>235</v>
      </c>
      <c r="J50" s="32" t="s">
        <v>742</v>
      </c>
      <c r="K50" s="13" t="s">
        <v>743</v>
      </c>
    </row>
    <row r="51" spans="1:11" ht="13.5" customHeight="1" x14ac:dyDescent="0.2">
      <c r="A51" s="2" t="s">
        <v>24</v>
      </c>
      <c r="B51" s="76">
        <v>45512</v>
      </c>
      <c r="C51" s="55">
        <v>789</v>
      </c>
      <c r="D51" s="114">
        <v>45658</v>
      </c>
      <c r="E51" s="114">
        <v>45687</v>
      </c>
      <c r="F51" s="11">
        <f t="shared" si="0"/>
        <v>30</v>
      </c>
      <c r="G51" s="12">
        <v>238</v>
      </c>
      <c r="H51" s="13">
        <v>1</v>
      </c>
      <c r="I51" s="19">
        <f t="shared" si="1"/>
        <v>238</v>
      </c>
      <c r="J51" s="32" t="s">
        <v>640</v>
      </c>
      <c r="K51" s="13" t="s">
        <v>629</v>
      </c>
    </row>
    <row r="52" spans="1:11" ht="13.5" customHeight="1" x14ac:dyDescent="0.2">
      <c r="A52" s="2" t="s">
        <v>24</v>
      </c>
      <c r="B52" s="76">
        <v>45512</v>
      </c>
      <c r="C52" s="55">
        <v>2310</v>
      </c>
      <c r="D52" s="114">
        <v>45658</v>
      </c>
      <c r="E52" s="114">
        <v>45687</v>
      </c>
      <c r="F52" s="11">
        <f t="shared" si="0"/>
        <v>30</v>
      </c>
      <c r="G52" s="12">
        <v>238</v>
      </c>
      <c r="H52" s="13">
        <v>1</v>
      </c>
      <c r="I52" s="19">
        <f t="shared" si="1"/>
        <v>238</v>
      </c>
      <c r="J52" s="32" t="s">
        <v>641</v>
      </c>
      <c r="K52" s="13" t="s">
        <v>629</v>
      </c>
    </row>
    <row r="53" spans="1:11" ht="13.5" customHeight="1" x14ac:dyDescent="0.2">
      <c r="A53" s="2" t="s">
        <v>24</v>
      </c>
      <c r="B53" s="76">
        <v>45512</v>
      </c>
      <c r="C53" s="55">
        <v>2136</v>
      </c>
      <c r="D53" s="114">
        <v>45658</v>
      </c>
      <c r="E53" s="114">
        <v>45687</v>
      </c>
      <c r="F53" s="11">
        <f t="shared" si="0"/>
        <v>30</v>
      </c>
      <c r="G53" s="12">
        <v>238</v>
      </c>
      <c r="H53" s="13">
        <v>1</v>
      </c>
      <c r="I53" s="19">
        <f t="shared" si="1"/>
        <v>238</v>
      </c>
      <c r="J53" s="32" t="s">
        <v>642</v>
      </c>
      <c r="K53" s="13" t="s">
        <v>629</v>
      </c>
    </row>
    <row r="54" spans="1:11" ht="13.5" customHeight="1" x14ac:dyDescent="0.2">
      <c r="A54" s="2" t="s">
        <v>24</v>
      </c>
      <c r="B54" s="76">
        <v>45512</v>
      </c>
      <c r="C54" s="55">
        <v>2142</v>
      </c>
      <c r="D54" s="114">
        <v>45658</v>
      </c>
      <c r="E54" s="114">
        <v>45687</v>
      </c>
      <c r="F54" s="11">
        <f t="shared" si="0"/>
        <v>30</v>
      </c>
      <c r="G54" s="12">
        <v>238</v>
      </c>
      <c r="H54" s="13">
        <v>1</v>
      </c>
      <c r="I54" s="19">
        <f t="shared" si="1"/>
        <v>238</v>
      </c>
      <c r="J54" s="32" t="s">
        <v>643</v>
      </c>
      <c r="K54" s="13" t="s">
        <v>629</v>
      </c>
    </row>
    <row r="55" spans="1:11" ht="13.5" customHeight="1" x14ac:dyDescent="0.2">
      <c r="A55" s="2" t="s">
        <v>24</v>
      </c>
      <c r="B55" s="76">
        <v>45512</v>
      </c>
      <c r="C55" s="55">
        <v>2154</v>
      </c>
      <c r="D55" s="114">
        <v>45658</v>
      </c>
      <c r="E55" s="114">
        <v>45687</v>
      </c>
      <c r="F55" s="11">
        <f t="shared" si="0"/>
        <v>30</v>
      </c>
      <c r="G55" s="12">
        <v>238</v>
      </c>
      <c r="H55" s="13">
        <v>1</v>
      </c>
      <c r="I55" s="19">
        <f t="shared" si="1"/>
        <v>238</v>
      </c>
      <c r="J55" s="32" t="s">
        <v>643</v>
      </c>
      <c r="K55" s="13" t="s">
        <v>629</v>
      </c>
    </row>
    <row r="56" spans="1:11" ht="13.5" customHeight="1" x14ac:dyDescent="0.2">
      <c r="A56" s="2" t="s">
        <v>24</v>
      </c>
      <c r="B56" s="76">
        <v>45512</v>
      </c>
      <c r="C56" s="55">
        <v>2158</v>
      </c>
      <c r="D56" s="114">
        <v>45658</v>
      </c>
      <c r="E56" s="114">
        <v>45687</v>
      </c>
      <c r="F56" s="11">
        <f t="shared" si="0"/>
        <v>30</v>
      </c>
      <c r="G56" s="12">
        <v>238</v>
      </c>
      <c r="H56" s="13">
        <v>1</v>
      </c>
      <c r="I56" s="19">
        <f t="shared" si="1"/>
        <v>238</v>
      </c>
      <c r="J56" s="32" t="s">
        <v>644</v>
      </c>
      <c r="K56" s="13" t="s">
        <v>629</v>
      </c>
    </row>
    <row r="57" spans="1:11" ht="13.5" customHeight="1" x14ac:dyDescent="0.2">
      <c r="A57" s="2" t="s">
        <v>24</v>
      </c>
      <c r="B57" s="76">
        <v>45626</v>
      </c>
      <c r="C57" s="55">
        <v>16494</v>
      </c>
      <c r="D57" s="114">
        <v>45658</v>
      </c>
      <c r="E57" s="114">
        <v>45687</v>
      </c>
      <c r="F57" s="11">
        <f t="shared" si="0"/>
        <v>30</v>
      </c>
      <c r="G57" s="12">
        <v>238</v>
      </c>
      <c r="H57" s="13">
        <v>1</v>
      </c>
      <c r="I57" s="19">
        <f t="shared" si="1"/>
        <v>238</v>
      </c>
      <c r="J57" s="32" t="s">
        <v>963</v>
      </c>
      <c r="K57" s="13">
        <v>72087</v>
      </c>
    </row>
    <row r="58" spans="1:11" ht="13.5" customHeight="1" x14ac:dyDescent="0.2">
      <c r="A58" s="2" t="s">
        <v>32</v>
      </c>
      <c r="B58" s="76">
        <v>45512</v>
      </c>
      <c r="C58" s="55">
        <v>2172</v>
      </c>
      <c r="D58" s="114">
        <v>45658</v>
      </c>
      <c r="E58" s="114">
        <v>45687</v>
      </c>
      <c r="F58" s="11">
        <f>(E58-D58)+1</f>
        <v>30</v>
      </c>
      <c r="G58" s="12">
        <v>447</v>
      </c>
      <c r="H58" s="13">
        <v>1</v>
      </c>
      <c r="I58" s="19">
        <f>G58/30*H58*F58</f>
        <v>447</v>
      </c>
      <c r="J58" s="32" t="s">
        <v>660</v>
      </c>
      <c r="K58" s="13" t="s">
        <v>629</v>
      </c>
    </row>
    <row r="59" spans="1:11" ht="13.5" customHeight="1" x14ac:dyDescent="0.2">
      <c r="A59" s="2" t="s">
        <v>32</v>
      </c>
      <c r="B59" s="76">
        <v>45512</v>
      </c>
      <c r="C59" s="55">
        <v>2176</v>
      </c>
      <c r="D59" s="114">
        <v>45658</v>
      </c>
      <c r="E59" s="114">
        <v>45687</v>
      </c>
      <c r="F59" s="11">
        <f>(E59-D59)+1</f>
        <v>30</v>
      </c>
      <c r="G59" s="12">
        <v>447</v>
      </c>
      <c r="H59" s="13">
        <v>1</v>
      </c>
      <c r="I59" s="19">
        <f>G59/30*H59*F59</f>
        <v>447</v>
      </c>
      <c r="J59" s="32" t="s">
        <v>661</v>
      </c>
      <c r="K59" s="13" t="s">
        <v>629</v>
      </c>
    </row>
    <row r="60" spans="1:11" ht="13.5" customHeight="1" x14ac:dyDescent="0.2">
      <c r="A60" s="2" t="s">
        <v>36</v>
      </c>
      <c r="B60" s="76">
        <v>45575</v>
      </c>
      <c r="C60" s="102">
        <v>16296</v>
      </c>
      <c r="D60" s="114">
        <v>45658</v>
      </c>
      <c r="E60" s="114">
        <v>45687</v>
      </c>
      <c r="F60" s="11">
        <f>(E60-D60)+1</f>
        <v>30</v>
      </c>
      <c r="G60" s="12">
        <v>442.75</v>
      </c>
      <c r="H60" s="13">
        <v>1</v>
      </c>
      <c r="I60" s="19">
        <f>G60/30*H60*F60</f>
        <v>442.75</v>
      </c>
      <c r="J60" s="32" t="s">
        <v>703</v>
      </c>
      <c r="K60" s="13" t="s">
        <v>702</v>
      </c>
    </row>
    <row r="61" spans="1:11" ht="13.5" customHeight="1" x14ac:dyDescent="0.2">
      <c r="A61" s="2" t="s">
        <v>37</v>
      </c>
      <c r="B61" s="76">
        <v>45512</v>
      </c>
      <c r="C61" s="55">
        <v>2156</v>
      </c>
      <c r="D61" s="114">
        <v>45658</v>
      </c>
      <c r="E61" s="114">
        <v>45687</v>
      </c>
      <c r="F61" s="11">
        <f t="shared" si="0"/>
        <v>30</v>
      </c>
      <c r="G61" s="12">
        <v>430</v>
      </c>
      <c r="H61" s="13">
        <v>1</v>
      </c>
      <c r="I61" s="19">
        <f t="shared" si="1"/>
        <v>430</v>
      </c>
      <c r="J61" s="32" t="s">
        <v>645</v>
      </c>
      <c r="K61" s="13" t="s">
        <v>629</v>
      </c>
    </row>
    <row r="62" spans="1:11" ht="13.5" customHeight="1" x14ac:dyDescent="0.2">
      <c r="A62" s="2" t="s">
        <v>37</v>
      </c>
      <c r="B62" s="76">
        <v>45512</v>
      </c>
      <c r="C62" s="55">
        <v>1934</v>
      </c>
      <c r="D62" s="114">
        <v>45658</v>
      </c>
      <c r="E62" s="114">
        <v>45687</v>
      </c>
      <c r="F62" s="11">
        <f t="shared" si="0"/>
        <v>30</v>
      </c>
      <c r="G62" s="12">
        <v>430</v>
      </c>
      <c r="H62" s="13">
        <v>1</v>
      </c>
      <c r="I62" s="19">
        <f t="shared" si="1"/>
        <v>430</v>
      </c>
      <c r="J62" s="32" t="s">
        <v>646</v>
      </c>
      <c r="K62" s="13" t="s">
        <v>629</v>
      </c>
    </row>
    <row r="63" spans="1:11" ht="13.5" customHeight="1" x14ac:dyDescent="0.2">
      <c r="A63" s="2" t="s">
        <v>37</v>
      </c>
      <c r="B63" s="76">
        <v>45512</v>
      </c>
      <c r="C63" s="55">
        <v>1963</v>
      </c>
      <c r="D63" s="114">
        <v>45658</v>
      </c>
      <c r="E63" s="114">
        <v>45687</v>
      </c>
      <c r="F63" s="11">
        <f t="shared" si="0"/>
        <v>30</v>
      </c>
      <c r="G63" s="12">
        <v>430</v>
      </c>
      <c r="H63" s="13">
        <v>1</v>
      </c>
      <c r="I63" s="19">
        <f t="shared" si="1"/>
        <v>430</v>
      </c>
      <c r="J63" s="32" t="s">
        <v>647</v>
      </c>
      <c r="K63" s="13" t="s">
        <v>629</v>
      </c>
    </row>
    <row r="64" spans="1:11" ht="13.5" customHeight="1" x14ac:dyDescent="0.2">
      <c r="A64" s="2" t="s">
        <v>37</v>
      </c>
      <c r="B64" s="76">
        <v>45512</v>
      </c>
      <c r="C64" s="55">
        <v>2152</v>
      </c>
      <c r="D64" s="114">
        <v>45658</v>
      </c>
      <c r="E64" s="114">
        <v>45687</v>
      </c>
      <c r="F64" s="11">
        <f t="shared" si="0"/>
        <v>30</v>
      </c>
      <c r="G64" s="12">
        <v>430</v>
      </c>
      <c r="H64" s="13">
        <v>1</v>
      </c>
      <c r="I64" s="19">
        <f t="shared" si="1"/>
        <v>430</v>
      </c>
      <c r="J64" s="32" t="s">
        <v>648</v>
      </c>
      <c r="K64" s="13" t="s">
        <v>629</v>
      </c>
    </row>
    <row r="65" spans="1:12" ht="13.5" customHeight="1" x14ac:dyDescent="0.2">
      <c r="A65" s="2" t="s">
        <v>37</v>
      </c>
      <c r="B65" s="76">
        <v>45512</v>
      </c>
      <c r="C65" s="55">
        <v>2148</v>
      </c>
      <c r="D65" s="114">
        <v>45658</v>
      </c>
      <c r="E65" s="114">
        <v>45687</v>
      </c>
      <c r="F65" s="11">
        <f t="shared" si="0"/>
        <v>30</v>
      </c>
      <c r="G65" s="12">
        <v>430</v>
      </c>
      <c r="H65" s="13">
        <v>1</v>
      </c>
      <c r="I65" s="19">
        <f t="shared" si="1"/>
        <v>430</v>
      </c>
      <c r="J65" s="32" t="s">
        <v>640</v>
      </c>
      <c r="K65" s="13" t="s">
        <v>629</v>
      </c>
    </row>
    <row r="66" spans="1:12" ht="13.5" customHeight="1" x14ac:dyDescent="0.2">
      <c r="A66" s="2" t="s">
        <v>37</v>
      </c>
      <c r="B66" s="76">
        <v>45512</v>
      </c>
      <c r="C66" s="55">
        <v>1965</v>
      </c>
      <c r="D66" s="114">
        <v>45658</v>
      </c>
      <c r="E66" s="114">
        <v>45687</v>
      </c>
      <c r="F66" s="11">
        <f t="shared" si="0"/>
        <v>30</v>
      </c>
      <c r="G66" s="12">
        <v>430</v>
      </c>
      <c r="H66" s="13">
        <v>1</v>
      </c>
      <c r="I66" s="19">
        <f t="shared" si="1"/>
        <v>430</v>
      </c>
      <c r="J66" s="32" t="s">
        <v>649</v>
      </c>
      <c r="K66" s="13" t="s">
        <v>629</v>
      </c>
    </row>
    <row r="67" spans="1:12" ht="13.5" customHeight="1" x14ac:dyDescent="0.2">
      <c r="A67" s="2" t="s">
        <v>37</v>
      </c>
      <c r="B67" s="76">
        <v>45512</v>
      </c>
      <c r="C67" s="55">
        <v>2144</v>
      </c>
      <c r="D67" s="114">
        <v>45658</v>
      </c>
      <c r="E67" s="114">
        <v>45687</v>
      </c>
      <c r="F67" s="11">
        <f t="shared" si="0"/>
        <v>30</v>
      </c>
      <c r="G67" s="12">
        <v>430</v>
      </c>
      <c r="H67" s="13">
        <v>1</v>
      </c>
      <c r="I67" s="19">
        <f t="shared" si="1"/>
        <v>430</v>
      </c>
      <c r="J67" s="32" t="s">
        <v>650</v>
      </c>
      <c r="K67" s="13" t="s">
        <v>629</v>
      </c>
    </row>
    <row r="68" spans="1:12" ht="13.5" customHeight="1" x14ac:dyDescent="0.2">
      <c r="A68" s="2" t="s">
        <v>37</v>
      </c>
      <c r="B68" s="76">
        <v>45512</v>
      </c>
      <c r="C68" s="55">
        <v>1949</v>
      </c>
      <c r="D68" s="114">
        <v>45658</v>
      </c>
      <c r="E68" s="114">
        <v>45687</v>
      </c>
      <c r="F68" s="11">
        <f t="shared" si="0"/>
        <v>30</v>
      </c>
      <c r="G68" s="12">
        <v>430</v>
      </c>
      <c r="H68" s="13">
        <v>1</v>
      </c>
      <c r="I68" s="19">
        <f t="shared" si="1"/>
        <v>430</v>
      </c>
      <c r="J68" s="32" t="s">
        <v>651</v>
      </c>
      <c r="K68" s="13" t="s">
        <v>629</v>
      </c>
    </row>
    <row r="69" spans="1:12" ht="13.5" customHeight="1" x14ac:dyDescent="0.2">
      <c r="A69" s="2" t="s">
        <v>37</v>
      </c>
      <c r="B69" s="76">
        <v>45512</v>
      </c>
      <c r="C69" s="55">
        <v>2140</v>
      </c>
      <c r="D69" s="114">
        <v>45658</v>
      </c>
      <c r="E69" s="114">
        <v>45687</v>
      </c>
      <c r="F69" s="11">
        <f t="shared" si="0"/>
        <v>30</v>
      </c>
      <c r="G69" s="12">
        <v>430</v>
      </c>
      <c r="H69" s="13">
        <v>1</v>
      </c>
      <c r="I69" s="19">
        <f t="shared" si="1"/>
        <v>430</v>
      </c>
      <c r="J69" s="32" t="s">
        <v>651</v>
      </c>
      <c r="K69" s="13" t="s">
        <v>629</v>
      </c>
    </row>
    <row r="70" spans="1:12" ht="13.5" customHeight="1" x14ac:dyDescent="0.2">
      <c r="A70" s="2" t="s">
        <v>37</v>
      </c>
      <c r="B70" s="76">
        <v>45512</v>
      </c>
      <c r="C70" s="55">
        <v>1951</v>
      </c>
      <c r="D70" s="114">
        <v>45658</v>
      </c>
      <c r="E70" s="114">
        <v>45687</v>
      </c>
      <c r="F70" s="11">
        <f t="shared" si="0"/>
        <v>30</v>
      </c>
      <c r="G70" s="12">
        <v>430</v>
      </c>
      <c r="H70" s="13">
        <v>1</v>
      </c>
      <c r="I70" s="19">
        <f t="shared" si="1"/>
        <v>430</v>
      </c>
      <c r="J70" s="32" t="s">
        <v>652</v>
      </c>
      <c r="K70" s="13" t="s">
        <v>629</v>
      </c>
    </row>
    <row r="71" spans="1:12" ht="13.5" customHeight="1" x14ac:dyDescent="0.2">
      <c r="A71" s="2" t="s">
        <v>37</v>
      </c>
      <c r="B71" s="76">
        <v>45605</v>
      </c>
      <c r="C71" s="55">
        <v>16701</v>
      </c>
      <c r="D71" s="114">
        <v>45658</v>
      </c>
      <c r="E71" s="114">
        <v>45687</v>
      </c>
      <c r="F71" s="11">
        <f t="shared" si="0"/>
        <v>30</v>
      </c>
      <c r="G71" s="12">
        <v>430</v>
      </c>
      <c r="H71" s="13">
        <v>1</v>
      </c>
      <c r="I71" s="19">
        <f t="shared" si="1"/>
        <v>430</v>
      </c>
      <c r="J71" s="32" t="s">
        <v>964</v>
      </c>
      <c r="K71" s="13">
        <v>71144</v>
      </c>
      <c r="L71" s="318" t="s">
        <v>965</v>
      </c>
    </row>
    <row r="72" spans="1:12" ht="13.5" customHeight="1" x14ac:dyDescent="0.2">
      <c r="A72" s="2" t="s">
        <v>37</v>
      </c>
      <c r="B72" s="76">
        <v>45605</v>
      </c>
      <c r="C72" s="55">
        <v>16703</v>
      </c>
      <c r="D72" s="114">
        <v>45658</v>
      </c>
      <c r="E72" s="114">
        <v>45687</v>
      </c>
      <c r="F72" s="11">
        <f t="shared" si="0"/>
        <v>30</v>
      </c>
      <c r="G72" s="12">
        <v>430</v>
      </c>
      <c r="H72" s="13">
        <v>1</v>
      </c>
      <c r="I72" s="19">
        <f t="shared" si="1"/>
        <v>430</v>
      </c>
      <c r="J72" s="32" t="s">
        <v>966</v>
      </c>
      <c r="K72" s="13">
        <v>71079</v>
      </c>
      <c r="L72" s="319"/>
    </row>
    <row r="73" spans="1:12" ht="13.5" customHeight="1" x14ac:dyDescent="0.2">
      <c r="A73" s="2" t="s">
        <v>37</v>
      </c>
      <c r="B73" s="76">
        <v>45605</v>
      </c>
      <c r="C73" s="55">
        <v>16704</v>
      </c>
      <c r="D73" s="114">
        <v>45658</v>
      </c>
      <c r="E73" s="114">
        <v>45687</v>
      </c>
      <c r="F73" s="11">
        <f t="shared" si="0"/>
        <v>30</v>
      </c>
      <c r="G73" s="12">
        <v>430</v>
      </c>
      <c r="H73" s="13">
        <v>1</v>
      </c>
      <c r="I73" s="19">
        <f t="shared" si="1"/>
        <v>430</v>
      </c>
      <c r="J73" s="32" t="s">
        <v>967</v>
      </c>
      <c r="K73" s="13" t="s">
        <v>968</v>
      </c>
      <c r="L73" s="320"/>
    </row>
    <row r="74" spans="1:12" ht="13.5" customHeight="1" x14ac:dyDescent="0.2">
      <c r="A74" s="2" t="s">
        <v>38</v>
      </c>
      <c r="B74" s="76">
        <v>45512</v>
      </c>
      <c r="C74" s="55">
        <v>2128</v>
      </c>
      <c r="D74" s="114">
        <v>45658</v>
      </c>
      <c r="E74" s="114">
        <v>45687</v>
      </c>
      <c r="F74" s="11">
        <f t="shared" si="0"/>
        <v>30</v>
      </c>
      <c r="G74" s="12">
        <v>478</v>
      </c>
      <c r="H74" s="13">
        <v>1</v>
      </c>
      <c r="I74" s="19">
        <f t="shared" si="1"/>
        <v>478</v>
      </c>
      <c r="J74" s="32" t="s">
        <v>653</v>
      </c>
      <c r="K74" s="13" t="s">
        <v>629</v>
      </c>
    </row>
    <row r="75" spans="1:12" ht="13.5" customHeight="1" x14ac:dyDescent="0.2">
      <c r="A75" s="2" t="s">
        <v>38</v>
      </c>
      <c r="B75" s="76">
        <v>45512</v>
      </c>
      <c r="C75" s="55">
        <v>2130</v>
      </c>
      <c r="D75" s="114">
        <v>45658</v>
      </c>
      <c r="E75" s="114">
        <v>45687</v>
      </c>
      <c r="F75" s="11">
        <f t="shared" si="0"/>
        <v>30</v>
      </c>
      <c r="G75" s="12">
        <v>478</v>
      </c>
      <c r="H75" s="13">
        <v>1</v>
      </c>
      <c r="I75" s="19">
        <f t="shared" si="1"/>
        <v>478</v>
      </c>
      <c r="J75" s="32" t="s">
        <v>654</v>
      </c>
      <c r="K75" s="13" t="s">
        <v>629</v>
      </c>
    </row>
    <row r="76" spans="1:12" ht="13.5" customHeight="1" x14ac:dyDescent="0.2">
      <c r="A76" s="2" t="s">
        <v>38</v>
      </c>
      <c r="B76" s="76">
        <v>45512</v>
      </c>
      <c r="C76" s="55">
        <v>1954</v>
      </c>
      <c r="D76" s="114">
        <v>45658</v>
      </c>
      <c r="E76" s="114">
        <v>45687</v>
      </c>
      <c r="F76" s="11">
        <f t="shared" si="0"/>
        <v>30</v>
      </c>
      <c r="G76" s="12">
        <v>478</v>
      </c>
      <c r="H76" s="13">
        <v>1</v>
      </c>
      <c r="I76" s="19">
        <f t="shared" si="1"/>
        <v>478</v>
      </c>
      <c r="J76" s="32" t="s">
        <v>655</v>
      </c>
      <c r="K76" s="13" t="s">
        <v>629</v>
      </c>
    </row>
    <row r="77" spans="1:12" ht="13.5" customHeight="1" x14ac:dyDescent="0.2">
      <c r="A77" s="2" t="s">
        <v>38</v>
      </c>
      <c r="B77" s="76">
        <v>45512</v>
      </c>
      <c r="C77" s="55">
        <v>2174</v>
      </c>
      <c r="D77" s="114">
        <v>45658</v>
      </c>
      <c r="E77" s="114">
        <v>45687</v>
      </c>
      <c r="F77" s="11">
        <f t="shared" si="0"/>
        <v>30</v>
      </c>
      <c r="G77" s="12">
        <v>478</v>
      </c>
      <c r="H77" s="13">
        <v>1</v>
      </c>
      <c r="I77" s="19">
        <f t="shared" si="1"/>
        <v>478</v>
      </c>
      <c r="J77" s="32" t="s">
        <v>655</v>
      </c>
      <c r="K77" s="13" t="s">
        <v>629</v>
      </c>
    </row>
    <row r="78" spans="1:12" ht="13.5" customHeight="1" x14ac:dyDescent="0.2">
      <c r="A78" s="2" t="s">
        <v>38</v>
      </c>
      <c r="B78" s="76">
        <v>45512</v>
      </c>
      <c r="C78" s="55">
        <v>2131</v>
      </c>
      <c r="D78" s="114">
        <v>45658</v>
      </c>
      <c r="E78" s="114">
        <v>45687</v>
      </c>
      <c r="F78" s="11">
        <f t="shared" si="0"/>
        <v>30</v>
      </c>
      <c r="G78" s="12">
        <v>478</v>
      </c>
      <c r="H78" s="13">
        <v>1</v>
      </c>
      <c r="I78" s="19">
        <f t="shared" si="1"/>
        <v>478</v>
      </c>
      <c r="J78" s="32" t="s">
        <v>655</v>
      </c>
      <c r="K78" s="13" t="s">
        <v>629</v>
      </c>
    </row>
    <row r="79" spans="1:12" ht="13.5" customHeight="1" x14ac:dyDescent="0.2">
      <c r="A79" s="2" t="s">
        <v>38</v>
      </c>
      <c r="B79" s="76">
        <v>45512</v>
      </c>
      <c r="C79" s="55">
        <v>1962</v>
      </c>
      <c r="D79" s="114">
        <v>45658</v>
      </c>
      <c r="E79" s="114">
        <v>45687</v>
      </c>
      <c r="F79" s="11">
        <f t="shared" si="0"/>
        <v>30</v>
      </c>
      <c r="G79" s="12">
        <v>478</v>
      </c>
      <c r="H79" s="13">
        <v>1</v>
      </c>
      <c r="I79" s="19">
        <f t="shared" si="1"/>
        <v>478</v>
      </c>
      <c r="J79" s="32" t="s">
        <v>656</v>
      </c>
      <c r="K79" s="13" t="s">
        <v>629</v>
      </c>
    </row>
    <row r="80" spans="1:12" ht="13.5" customHeight="1" x14ac:dyDescent="0.2">
      <c r="A80" s="2" t="s">
        <v>38</v>
      </c>
      <c r="B80" s="76">
        <v>45512</v>
      </c>
      <c r="C80" s="55">
        <v>2134</v>
      </c>
      <c r="D80" s="114">
        <v>45658</v>
      </c>
      <c r="E80" s="114">
        <v>45687</v>
      </c>
      <c r="F80" s="11">
        <f t="shared" si="0"/>
        <v>30</v>
      </c>
      <c r="G80" s="12">
        <v>478</v>
      </c>
      <c r="H80" s="13">
        <v>1</v>
      </c>
      <c r="I80" s="19">
        <f t="shared" si="1"/>
        <v>478</v>
      </c>
      <c r="J80" s="32" t="s">
        <v>657</v>
      </c>
      <c r="K80" s="13" t="s">
        <v>629</v>
      </c>
    </row>
    <row r="81" spans="1:11" ht="13.5" customHeight="1" x14ac:dyDescent="0.2">
      <c r="A81" s="2" t="s">
        <v>38</v>
      </c>
      <c r="B81" s="76">
        <v>45512</v>
      </c>
      <c r="C81" s="55">
        <v>2138</v>
      </c>
      <c r="D81" s="114">
        <v>45658</v>
      </c>
      <c r="E81" s="114">
        <v>45687</v>
      </c>
      <c r="F81" s="11">
        <f t="shared" si="0"/>
        <v>30</v>
      </c>
      <c r="G81" s="12">
        <v>478</v>
      </c>
      <c r="H81" s="13">
        <v>1</v>
      </c>
      <c r="I81" s="19">
        <f t="shared" si="1"/>
        <v>478</v>
      </c>
      <c r="J81" s="32" t="s">
        <v>658</v>
      </c>
      <c r="K81" s="13" t="s">
        <v>629</v>
      </c>
    </row>
    <row r="82" spans="1:11" ht="13.5" customHeight="1" x14ac:dyDescent="0.2">
      <c r="A82" s="2" t="s">
        <v>38</v>
      </c>
      <c r="B82" s="76">
        <v>45512</v>
      </c>
      <c r="C82" s="55">
        <v>2164</v>
      </c>
      <c r="D82" s="114">
        <v>45658</v>
      </c>
      <c r="E82" s="114">
        <v>45687</v>
      </c>
      <c r="F82" s="11">
        <f t="shared" si="0"/>
        <v>30</v>
      </c>
      <c r="G82" s="12">
        <v>478</v>
      </c>
      <c r="H82" s="13">
        <v>1</v>
      </c>
      <c r="I82" s="19">
        <f t="shared" si="1"/>
        <v>478</v>
      </c>
      <c r="J82" s="32" t="s">
        <v>659</v>
      </c>
      <c r="K82" s="13" t="s">
        <v>700</v>
      </c>
    </row>
    <row r="83" spans="1:11" ht="13.5" customHeight="1" x14ac:dyDescent="0.2">
      <c r="A83" s="2" t="s">
        <v>39</v>
      </c>
      <c r="B83" s="76">
        <v>45512</v>
      </c>
      <c r="C83" s="55">
        <v>1939</v>
      </c>
      <c r="D83" s="114">
        <v>45658</v>
      </c>
      <c r="E83" s="114">
        <v>45687</v>
      </c>
      <c r="F83" s="11">
        <f t="shared" si="0"/>
        <v>30</v>
      </c>
      <c r="G83" s="12">
        <v>577</v>
      </c>
      <c r="H83" s="13">
        <v>1</v>
      </c>
      <c r="I83" s="19">
        <f t="shared" si="1"/>
        <v>577</v>
      </c>
      <c r="J83" s="32" t="s">
        <v>647</v>
      </c>
      <c r="K83" s="13" t="s">
        <v>629</v>
      </c>
    </row>
    <row r="84" spans="1:11" ht="13.5" customHeight="1" x14ac:dyDescent="0.2">
      <c r="A84" s="2" t="s">
        <v>39</v>
      </c>
      <c r="B84" s="76">
        <v>45512</v>
      </c>
      <c r="C84" s="55">
        <v>2150</v>
      </c>
      <c r="D84" s="114">
        <v>45658</v>
      </c>
      <c r="E84" s="114">
        <v>45687</v>
      </c>
      <c r="F84" s="11">
        <f t="shared" si="0"/>
        <v>30</v>
      </c>
      <c r="G84" s="12">
        <v>577</v>
      </c>
      <c r="H84" s="13">
        <v>1</v>
      </c>
      <c r="I84" s="19">
        <f t="shared" si="1"/>
        <v>577</v>
      </c>
      <c r="J84" s="32" t="s">
        <v>662</v>
      </c>
      <c r="K84" s="13" t="s">
        <v>629</v>
      </c>
    </row>
    <row r="85" spans="1:11" ht="13.5" customHeight="1" x14ac:dyDescent="0.2">
      <c r="A85" s="2" t="s">
        <v>39</v>
      </c>
      <c r="B85" s="76">
        <v>45512</v>
      </c>
      <c r="C85" s="55">
        <v>1947</v>
      </c>
      <c r="D85" s="114">
        <v>45658</v>
      </c>
      <c r="E85" s="114">
        <v>45687</v>
      </c>
      <c r="F85" s="11">
        <f t="shared" si="0"/>
        <v>30</v>
      </c>
      <c r="G85" s="12">
        <v>577</v>
      </c>
      <c r="H85" s="13">
        <v>1</v>
      </c>
      <c r="I85" s="19">
        <f t="shared" si="1"/>
        <v>577</v>
      </c>
      <c r="J85" s="32" t="s">
        <v>641</v>
      </c>
      <c r="K85" s="13" t="s">
        <v>629</v>
      </c>
    </row>
    <row r="86" spans="1:11" ht="13.5" customHeight="1" x14ac:dyDescent="0.2">
      <c r="A86" s="2" t="s">
        <v>39</v>
      </c>
      <c r="B86" s="76">
        <v>45512</v>
      </c>
      <c r="C86" s="55">
        <v>1946</v>
      </c>
      <c r="D86" s="114">
        <v>45658</v>
      </c>
      <c r="E86" s="114">
        <v>45687</v>
      </c>
      <c r="F86" s="11">
        <f t="shared" si="0"/>
        <v>30</v>
      </c>
      <c r="G86" s="12">
        <v>577</v>
      </c>
      <c r="H86" s="13">
        <v>1</v>
      </c>
      <c r="I86" s="19">
        <f t="shared" si="1"/>
        <v>577</v>
      </c>
      <c r="J86" s="32" t="s">
        <v>663</v>
      </c>
      <c r="K86" s="13" t="s">
        <v>629</v>
      </c>
    </row>
    <row r="87" spans="1:11" ht="13.5" customHeight="1" x14ac:dyDescent="0.2">
      <c r="A87" s="2" t="s">
        <v>40</v>
      </c>
      <c r="B87" s="76">
        <v>45512</v>
      </c>
      <c r="C87" s="55">
        <v>2165</v>
      </c>
      <c r="D87" s="114">
        <v>45658</v>
      </c>
      <c r="E87" s="114">
        <v>45687</v>
      </c>
      <c r="F87" s="11">
        <f t="shared" ref="F87:F94" si="2">(E87-D87)+1</f>
        <v>30</v>
      </c>
      <c r="G87" s="12">
        <v>645</v>
      </c>
      <c r="H87" s="13">
        <v>1</v>
      </c>
      <c r="I87" s="19">
        <f t="shared" ref="I87:I94" si="3">G87/30*H87*F87</f>
        <v>645</v>
      </c>
      <c r="J87" s="32" t="s">
        <v>656</v>
      </c>
      <c r="K87" s="13" t="s">
        <v>701</v>
      </c>
    </row>
    <row r="88" spans="1:11" ht="13.5" customHeight="1" x14ac:dyDescent="0.2">
      <c r="A88" s="2" t="s">
        <v>40</v>
      </c>
      <c r="B88" s="76">
        <v>45512</v>
      </c>
      <c r="C88" s="55">
        <v>1933</v>
      </c>
      <c r="D88" s="114">
        <v>45658</v>
      </c>
      <c r="E88" s="114">
        <v>45687</v>
      </c>
      <c r="F88" s="11">
        <f t="shared" si="2"/>
        <v>30</v>
      </c>
      <c r="G88" s="12">
        <v>645</v>
      </c>
      <c r="H88" s="13">
        <v>1</v>
      </c>
      <c r="I88" s="19">
        <f t="shared" si="3"/>
        <v>645</v>
      </c>
      <c r="J88" s="32" t="s">
        <v>664</v>
      </c>
      <c r="K88" s="13" t="s">
        <v>629</v>
      </c>
    </row>
    <row r="89" spans="1:11" ht="13.5" customHeight="1" x14ac:dyDescent="0.2">
      <c r="A89" s="2" t="s">
        <v>40</v>
      </c>
      <c r="B89" s="76">
        <v>45512</v>
      </c>
      <c r="C89" s="55">
        <v>2146</v>
      </c>
      <c r="D89" s="114">
        <v>45658</v>
      </c>
      <c r="E89" s="114">
        <v>45687</v>
      </c>
      <c r="F89" s="11">
        <f t="shared" si="2"/>
        <v>30</v>
      </c>
      <c r="G89" s="12">
        <v>645</v>
      </c>
      <c r="H89" s="13">
        <v>1</v>
      </c>
      <c r="I89" s="19">
        <f t="shared" si="3"/>
        <v>645</v>
      </c>
      <c r="J89" s="32" t="s">
        <v>665</v>
      </c>
      <c r="K89" s="13" t="s">
        <v>629</v>
      </c>
    </row>
    <row r="90" spans="1:11" ht="13.5" customHeight="1" x14ac:dyDescent="0.2">
      <c r="A90" s="2" t="s">
        <v>40</v>
      </c>
      <c r="B90" s="76">
        <v>45512</v>
      </c>
      <c r="C90" s="55">
        <v>1953</v>
      </c>
      <c r="D90" s="114">
        <v>45658</v>
      </c>
      <c r="E90" s="114">
        <v>45687</v>
      </c>
      <c r="F90" s="11">
        <f t="shared" si="2"/>
        <v>30</v>
      </c>
      <c r="G90" s="12">
        <v>645</v>
      </c>
      <c r="H90" s="13">
        <v>1</v>
      </c>
      <c r="I90" s="19">
        <f t="shared" si="3"/>
        <v>645</v>
      </c>
      <c r="J90" s="32" t="s">
        <v>651</v>
      </c>
      <c r="K90" s="13" t="s">
        <v>629</v>
      </c>
    </row>
    <row r="91" spans="1:11" ht="13.5" customHeight="1" x14ac:dyDescent="0.2">
      <c r="A91" s="2" t="s">
        <v>40</v>
      </c>
      <c r="B91" s="76">
        <v>45512</v>
      </c>
      <c r="C91" s="55">
        <v>195</v>
      </c>
      <c r="D91" s="114">
        <v>45658</v>
      </c>
      <c r="E91" s="114">
        <v>45687</v>
      </c>
      <c r="F91" s="11">
        <f t="shared" si="2"/>
        <v>30</v>
      </c>
      <c r="G91" s="12">
        <v>645</v>
      </c>
      <c r="H91" s="13">
        <v>1</v>
      </c>
      <c r="I91" s="19">
        <f t="shared" si="3"/>
        <v>645</v>
      </c>
      <c r="J91" s="32" t="s">
        <v>666</v>
      </c>
      <c r="K91" s="13" t="s">
        <v>629</v>
      </c>
    </row>
    <row r="92" spans="1:11" ht="13.5" customHeight="1" x14ac:dyDescent="0.2">
      <c r="A92" s="2" t="s">
        <v>40</v>
      </c>
      <c r="B92" s="76">
        <v>45512</v>
      </c>
      <c r="C92" s="55">
        <v>2171</v>
      </c>
      <c r="D92" s="114">
        <v>45658</v>
      </c>
      <c r="E92" s="114">
        <v>45687</v>
      </c>
      <c r="F92" s="11">
        <f t="shared" si="2"/>
        <v>30</v>
      </c>
      <c r="G92" s="12">
        <v>645</v>
      </c>
      <c r="H92" s="13">
        <v>1</v>
      </c>
      <c r="I92" s="19">
        <f t="shared" si="3"/>
        <v>645</v>
      </c>
      <c r="J92" s="32" t="s">
        <v>656</v>
      </c>
      <c r="K92" s="13" t="s">
        <v>629</v>
      </c>
    </row>
    <row r="93" spans="1:11" ht="13.5" customHeight="1" x14ac:dyDescent="0.2">
      <c r="A93" s="2" t="s">
        <v>24</v>
      </c>
      <c r="B93" s="76">
        <v>45626</v>
      </c>
      <c r="C93" s="228">
        <v>16457</v>
      </c>
      <c r="D93" s="114">
        <v>45658</v>
      </c>
      <c r="E93" s="114">
        <v>45687</v>
      </c>
      <c r="F93" s="11">
        <f t="shared" si="2"/>
        <v>30</v>
      </c>
      <c r="G93" s="12">
        <v>238</v>
      </c>
      <c r="H93" s="13">
        <v>1</v>
      </c>
      <c r="I93" s="19">
        <f t="shared" si="3"/>
        <v>238</v>
      </c>
      <c r="J93" s="32" t="s">
        <v>970</v>
      </c>
      <c r="K93" s="13">
        <v>72087</v>
      </c>
    </row>
    <row r="94" spans="1:11" ht="13.5" customHeight="1" x14ac:dyDescent="0.2">
      <c r="A94" s="2" t="s">
        <v>24</v>
      </c>
      <c r="B94" s="76">
        <v>45633</v>
      </c>
      <c r="C94" s="177">
        <v>16504</v>
      </c>
      <c r="D94" s="114">
        <v>45658</v>
      </c>
      <c r="E94" s="114">
        <v>45687</v>
      </c>
      <c r="F94" s="11">
        <f t="shared" si="2"/>
        <v>30</v>
      </c>
      <c r="G94" s="12">
        <v>238</v>
      </c>
      <c r="H94" s="13">
        <v>1</v>
      </c>
      <c r="I94" s="19">
        <f t="shared" si="3"/>
        <v>238</v>
      </c>
      <c r="J94" s="32" t="s">
        <v>969</v>
      </c>
      <c r="K94" s="13">
        <v>72606</v>
      </c>
    </row>
    <row r="95" spans="1:11" ht="13.5" customHeight="1" x14ac:dyDescent="0.25">
      <c r="A95" s="14"/>
      <c r="B95" s="20"/>
      <c r="C95" s="136"/>
      <c r="D95" s="20"/>
      <c r="E95" s="20"/>
      <c r="F95" s="11"/>
      <c r="G95" s="12"/>
      <c r="H95" s="13"/>
      <c r="I95" s="19"/>
      <c r="J95" s="32"/>
      <c r="K95" s="13"/>
    </row>
    <row r="96" spans="1:11" ht="13.5" customHeight="1" x14ac:dyDescent="0.25">
      <c r="A96" s="21" t="s">
        <v>220</v>
      </c>
      <c r="B96" s="26"/>
      <c r="C96" s="26"/>
      <c r="D96" s="23"/>
      <c r="E96" s="23"/>
      <c r="F96" s="24"/>
      <c r="G96" s="23"/>
      <c r="H96" s="22">
        <f>SUM(H15:H95)</f>
        <v>80</v>
      </c>
      <c r="I96" s="112">
        <f>SUM(I15:I95)</f>
        <v>27656.75</v>
      </c>
      <c r="J96" s="33"/>
      <c r="K96" s="116"/>
    </row>
    <row r="97" spans="1:11" ht="13.5" customHeight="1" x14ac:dyDescent="0.25">
      <c r="D97" s="8"/>
      <c r="E97" s="8"/>
      <c r="F97" s="9"/>
      <c r="G97" s="10"/>
      <c r="I97" s="10"/>
      <c r="J97" s="4"/>
    </row>
    <row r="98" spans="1:11" ht="13.5" customHeight="1" x14ac:dyDescent="0.2">
      <c r="A98" s="2" t="s">
        <v>22</v>
      </c>
      <c r="B98" s="76">
        <v>45537</v>
      </c>
      <c r="C98" s="55">
        <v>14424</v>
      </c>
      <c r="D98" s="114">
        <v>45658</v>
      </c>
      <c r="E98" s="114">
        <v>45687</v>
      </c>
      <c r="F98" s="11">
        <f t="shared" ref="F98:F102" si="4">(E98-D98)+1</f>
        <v>30</v>
      </c>
      <c r="G98" s="12">
        <v>147</v>
      </c>
      <c r="H98" s="13">
        <v>1</v>
      </c>
      <c r="I98" s="19">
        <f t="shared" ref="I98:I105" si="5">G98/30*H98*F98</f>
        <v>147</v>
      </c>
      <c r="J98" s="32" t="s">
        <v>213</v>
      </c>
      <c r="K98" s="13" t="s">
        <v>567</v>
      </c>
    </row>
    <row r="99" spans="1:11" ht="13.5" customHeight="1" x14ac:dyDescent="0.2">
      <c r="A99" s="2" t="s">
        <v>22</v>
      </c>
      <c r="B99" s="76">
        <v>45537</v>
      </c>
      <c r="C99" s="55">
        <v>14425</v>
      </c>
      <c r="D99" s="114">
        <v>45658</v>
      </c>
      <c r="E99" s="114">
        <v>45687</v>
      </c>
      <c r="F99" s="11">
        <f t="shared" si="4"/>
        <v>30</v>
      </c>
      <c r="G99" s="12">
        <v>147</v>
      </c>
      <c r="H99" s="13">
        <v>1</v>
      </c>
      <c r="I99" s="19">
        <f t="shared" si="5"/>
        <v>147</v>
      </c>
      <c r="J99" s="32" t="s">
        <v>214</v>
      </c>
      <c r="K99" s="13" t="s">
        <v>567</v>
      </c>
    </row>
    <row r="100" spans="1:11" ht="13.5" customHeight="1" x14ac:dyDescent="0.2">
      <c r="A100" s="2" t="s">
        <v>22</v>
      </c>
      <c r="B100" s="76">
        <v>45537</v>
      </c>
      <c r="C100" s="55">
        <v>14423</v>
      </c>
      <c r="D100" s="114">
        <v>45658</v>
      </c>
      <c r="E100" s="114">
        <v>45687</v>
      </c>
      <c r="F100" s="11">
        <f t="shared" si="4"/>
        <v>30</v>
      </c>
      <c r="G100" s="12">
        <v>147</v>
      </c>
      <c r="H100" s="13">
        <v>1</v>
      </c>
      <c r="I100" s="19">
        <f t="shared" si="5"/>
        <v>147</v>
      </c>
      <c r="J100" s="32" t="s">
        <v>218</v>
      </c>
      <c r="K100" s="13" t="s">
        <v>567</v>
      </c>
    </row>
    <row r="101" spans="1:11" ht="13.5" customHeight="1" x14ac:dyDescent="0.2">
      <c r="A101" s="2" t="s">
        <v>22</v>
      </c>
      <c r="B101" s="76">
        <v>45544</v>
      </c>
      <c r="C101" s="55">
        <v>14427</v>
      </c>
      <c r="D101" s="114">
        <v>45658</v>
      </c>
      <c r="E101" s="114">
        <v>45687</v>
      </c>
      <c r="F101" s="11">
        <f t="shared" si="4"/>
        <v>30</v>
      </c>
      <c r="G101" s="12">
        <v>147</v>
      </c>
      <c r="H101" s="13">
        <v>1</v>
      </c>
      <c r="I101" s="19">
        <f t="shared" si="5"/>
        <v>147</v>
      </c>
      <c r="J101" s="32" t="s">
        <v>286</v>
      </c>
      <c r="K101" s="13" t="s">
        <v>567</v>
      </c>
    </row>
    <row r="102" spans="1:11" ht="13.5" customHeight="1" x14ac:dyDescent="0.2">
      <c r="A102" s="2" t="s">
        <v>22</v>
      </c>
      <c r="B102" s="76">
        <v>45544</v>
      </c>
      <c r="C102" s="55">
        <v>14426</v>
      </c>
      <c r="D102" s="114">
        <v>45658</v>
      </c>
      <c r="E102" s="114">
        <v>45687</v>
      </c>
      <c r="F102" s="11">
        <f t="shared" si="4"/>
        <v>30</v>
      </c>
      <c r="G102" s="12">
        <v>147</v>
      </c>
      <c r="H102" s="13">
        <v>1</v>
      </c>
      <c r="I102" s="19">
        <f t="shared" si="5"/>
        <v>147</v>
      </c>
      <c r="J102" s="32" t="s">
        <v>286</v>
      </c>
      <c r="K102" s="13" t="s">
        <v>567</v>
      </c>
    </row>
    <row r="103" spans="1:11" ht="13.5" customHeight="1" x14ac:dyDescent="0.2">
      <c r="A103" s="2" t="s">
        <v>23</v>
      </c>
      <c r="B103" s="76">
        <v>45537</v>
      </c>
      <c r="C103" s="55">
        <v>14664</v>
      </c>
      <c r="D103" s="114">
        <v>45658</v>
      </c>
      <c r="E103" s="114">
        <v>45687</v>
      </c>
      <c r="F103" s="11">
        <f>(E103-D103)+1</f>
        <v>30</v>
      </c>
      <c r="G103" s="12">
        <v>235</v>
      </c>
      <c r="H103" s="13">
        <v>1</v>
      </c>
      <c r="I103" s="19">
        <f>G103/30*H103*F103</f>
        <v>235</v>
      </c>
      <c r="J103" s="32" t="s">
        <v>221</v>
      </c>
      <c r="K103" s="13" t="s">
        <v>568</v>
      </c>
    </row>
    <row r="104" spans="1:11" ht="13.5" customHeight="1" x14ac:dyDescent="0.2">
      <c r="A104" s="2" t="s">
        <v>23</v>
      </c>
      <c r="B104" s="76">
        <v>45537</v>
      </c>
      <c r="C104" s="55">
        <v>14665</v>
      </c>
      <c r="D104" s="114">
        <v>45658</v>
      </c>
      <c r="E104" s="114">
        <v>45687</v>
      </c>
      <c r="F104" s="11">
        <f>(E104-D104)+1</f>
        <v>30</v>
      </c>
      <c r="G104" s="12">
        <v>235</v>
      </c>
      <c r="H104" s="13">
        <v>1</v>
      </c>
      <c r="I104" s="19">
        <f>G104/30*H104*F104</f>
        <v>235</v>
      </c>
      <c r="J104" s="32" t="s">
        <v>222</v>
      </c>
      <c r="K104" s="13" t="s">
        <v>568</v>
      </c>
    </row>
    <row r="105" spans="1:11" ht="13.5" customHeight="1" x14ac:dyDescent="0.25">
      <c r="A105" s="14"/>
      <c r="B105" s="20"/>
      <c r="C105" s="136"/>
      <c r="D105" s="20"/>
      <c r="E105" s="20"/>
      <c r="F105" s="11"/>
      <c r="G105" s="12"/>
      <c r="H105" s="13"/>
      <c r="I105" s="19">
        <f t="shared" si="5"/>
        <v>0</v>
      </c>
      <c r="J105" s="32"/>
      <c r="K105" s="13"/>
    </row>
    <row r="106" spans="1:11" ht="13.5" customHeight="1" x14ac:dyDescent="0.25">
      <c r="A106" s="21" t="s">
        <v>287</v>
      </c>
      <c r="B106" s="26"/>
      <c r="C106" s="26"/>
      <c r="D106" s="23"/>
      <c r="E106" s="23"/>
      <c r="F106" s="24"/>
      <c r="G106" s="23"/>
      <c r="H106" s="22">
        <f>SUM(H98:H105)</f>
        <v>7</v>
      </c>
      <c r="I106" s="112">
        <f>SUM(I98:I105)</f>
        <v>1205</v>
      </c>
      <c r="J106" s="33"/>
      <c r="K106" s="116"/>
    </row>
    <row r="107" spans="1:11" ht="13.5" customHeight="1" x14ac:dyDescent="0.25">
      <c r="D107" s="8"/>
      <c r="E107" s="8"/>
      <c r="F107" s="9"/>
      <c r="G107" s="10"/>
      <c r="I107" s="10"/>
      <c r="J107" s="4"/>
    </row>
    <row r="108" spans="1:11" ht="13.5" customHeight="1" x14ac:dyDescent="0.25">
      <c r="D108" s="8"/>
      <c r="E108" s="8"/>
      <c r="F108" s="9"/>
      <c r="G108" s="10"/>
      <c r="H108" s="50">
        <f>H106+H96</f>
        <v>87</v>
      </c>
      <c r="I108" s="25">
        <f>I106+I96</f>
        <v>28861.75</v>
      </c>
      <c r="J108" s="16"/>
    </row>
    <row r="109" spans="1:11" ht="13.5" customHeight="1" x14ac:dyDescent="0.25">
      <c r="D109" s="8"/>
      <c r="E109" s="8"/>
      <c r="F109" s="9"/>
      <c r="G109" s="10"/>
      <c r="I109" s="10"/>
      <c r="J109" s="16"/>
    </row>
    <row r="110" spans="1:11" ht="13.5" customHeight="1" x14ac:dyDescent="0.25">
      <c r="D110" s="8"/>
      <c r="E110" s="8"/>
      <c r="F110" s="9"/>
      <c r="G110" s="10"/>
      <c r="I110" s="10"/>
      <c r="J110" s="7"/>
    </row>
    <row r="111" spans="1:11" ht="13.5" customHeight="1" x14ac:dyDescent="0.25">
      <c r="A111" s="289" t="s">
        <v>124</v>
      </c>
      <c r="B111" s="289"/>
      <c r="C111" s="289"/>
      <c r="D111" s="289"/>
      <c r="E111" s="289"/>
      <c r="F111" s="289"/>
      <c r="G111" s="289"/>
      <c r="H111" s="289"/>
      <c r="I111" s="289"/>
      <c r="J111" s="7"/>
    </row>
    <row r="112" spans="1:11" ht="13.5" customHeight="1" x14ac:dyDescent="0.25">
      <c r="J112" s="7"/>
    </row>
    <row r="113" spans="1:12" ht="13.5" customHeight="1" x14ac:dyDescent="0.2">
      <c r="A113" s="27" t="s">
        <v>125</v>
      </c>
      <c r="B113" s="7"/>
      <c r="F113" s="71"/>
      <c r="G113" s="10"/>
      <c r="I113" s="72"/>
      <c r="J113" s="7"/>
    </row>
    <row r="114" spans="1:12" ht="60" customHeight="1" x14ac:dyDescent="0.25">
      <c r="A114" s="291"/>
      <c r="B114" s="275"/>
      <c r="C114" s="292"/>
      <c r="D114" s="290"/>
      <c r="E114" s="290"/>
      <c r="F114" s="290"/>
      <c r="G114" s="290"/>
      <c r="H114" s="290"/>
      <c r="I114" s="290"/>
      <c r="J114" s="7"/>
    </row>
    <row r="115" spans="1:12" s="15" customFormat="1" ht="13.5" customHeight="1" x14ac:dyDescent="0.25">
      <c r="A115" s="274" t="s">
        <v>126</v>
      </c>
      <c r="B115" s="274"/>
      <c r="C115" s="274"/>
      <c r="D115" s="274" t="s">
        <v>127</v>
      </c>
      <c r="E115" s="274"/>
      <c r="F115" s="274"/>
      <c r="G115" s="274"/>
      <c r="H115" s="274"/>
      <c r="I115" s="274"/>
      <c r="J115" s="7"/>
      <c r="L115" s="7"/>
    </row>
    <row r="116" spans="1:12" s="15" customFormat="1" ht="13.5" customHeight="1" x14ac:dyDescent="0.25">
      <c r="A116" s="7"/>
      <c r="C116" s="7"/>
      <c r="D116" s="8"/>
      <c r="E116" s="8"/>
      <c r="F116" s="9"/>
      <c r="G116" s="10"/>
      <c r="H116" s="7"/>
      <c r="I116" s="10"/>
      <c r="J116" s="7"/>
      <c r="L116" s="7"/>
    </row>
    <row r="117" spans="1:12" s="15" customFormat="1" ht="13.5" customHeight="1" x14ac:dyDescent="0.25">
      <c r="A117" s="7"/>
      <c r="C117" s="7"/>
      <c r="D117" s="8"/>
      <c r="E117" s="8"/>
      <c r="F117" s="9"/>
      <c r="G117" s="10"/>
      <c r="H117" s="7"/>
      <c r="I117" s="10"/>
      <c r="J117" s="7"/>
      <c r="L117" s="7"/>
    </row>
    <row r="118" spans="1:12" s="15" customFormat="1" ht="13.5" customHeight="1" x14ac:dyDescent="0.25">
      <c r="A118" s="7"/>
      <c r="C118" s="7"/>
      <c r="D118" s="8"/>
      <c r="E118" s="8"/>
      <c r="F118" s="9"/>
      <c r="G118" s="10"/>
      <c r="H118" s="7"/>
      <c r="I118" s="10"/>
      <c r="J118" s="7"/>
      <c r="L118" s="7"/>
    </row>
    <row r="119" spans="1:12" s="15" customFormat="1" ht="13.5" customHeight="1" x14ac:dyDescent="0.2">
      <c r="A119" s="266" t="s">
        <v>29</v>
      </c>
      <c r="B119" s="266"/>
      <c r="C119" s="266"/>
      <c r="D119" s="266"/>
      <c r="E119" s="266"/>
      <c r="F119" s="266"/>
      <c r="G119" s="51"/>
      <c r="H119" s="7"/>
      <c r="I119" s="10"/>
      <c r="J119" s="16"/>
      <c r="L119" s="7"/>
    </row>
    <row r="120" spans="1:12" s="15" customFormat="1" ht="13.5" customHeight="1" x14ac:dyDescent="0.2">
      <c r="A120" s="267" t="s">
        <v>45</v>
      </c>
      <c r="B120" s="267"/>
      <c r="C120" s="267"/>
      <c r="D120" s="267"/>
      <c r="E120" s="283" t="s">
        <v>5</v>
      </c>
      <c r="F120" s="282" t="s">
        <v>6</v>
      </c>
      <c r="G120" s="52"/>
      <c r="H120" s="7"/>
      <c r="I120" s="10"/>
      <c r="J120" s="16"/>
      <c r="L120" s="7"/>
    </row>
    <row r="121" spans="1:12" s="15" customFormat="1" ht="13.5" customHeight="1" x14ac:dyDescent="0.2">
      <c r="A121" s="34" t="s">
        <v>0</v>
      </c>
      <c r="B121" s="34" t="s">
        <v>3</v>
      </c>
      <c r="C121" s="34" t="s">
        <v>2</v>
      </c>
      <c r="D121" s="34" t="s">
        <v>4</v>
      </c>
      <c r="E121" s="284"/>
      <c r="F121" s="282"/>
      <c r="G121" s="53"/>
      <c r="H121" s="7"/>
      <c r="I121" s="7"/>
      <c r="L121" s="7"/>
    </row>
    <row r="122" spans="1:12" s="15" customFormat="1" ht="13.5" customHeight="1" x14ac:dyDescent="0.2">
      <c r="A122" s="2" t="s">
        <v>18</v>
      </c>
      <c r="B122" s="39"/>
      <c r="C122" s="35">
        <v>37</v>
      </c>
      <c r="D122" s="35">
        <v>0</v>
      </c>
      <c r="E122" s="13">
        <f>COUNTIFS($A$12:$A$110,"Cond Ar Janela 7.500 BTU/h")</f>
        <v>0</v>
      </c>
      <c r="F122" s="40">
        <f>B122-E122</f>
        <v>0</v>
      </c>
      <c r="G122" s="1"/>
      <c r="H122" s="7"/>
      <c r="I122" s="7"/>
      <c r="L122" s="7"/>
    </row>
    <row r="123" spans="1:12" s="15" customFormat="1" ht="13.5" customHeight="1" x14ac:dyDescent="0.2">
      <c r="A123" s="2" t="s">
        <v>19</v>
      </c>
      <c r="B123" s="39"/>
      <c r="C123" s="3">
        <v>210</v>
      </c>
      <c r="D123" s="3">
        <f t="shared" ref="D123:D132" si="6">B123*C123</f>
        <v>0</v>
      </c>
      <c r="E123" s="13">
        <f>COUNTIFS($A$12:$A$110,"Cond Ar Janela 10.000 BTU/h")</f>
        <v>0</v>
      </c>
      <c r="F123" s="40">
        <f t="shared" ref="F123:F144" si="7">B123-E123</f>
        <v>0</v>
      </c>
      <c r="G123" s="1"/>
      <c r="H123" s="7"/>
      <c r="I123" s="7"/>
      <c r="L123" s="7"/>
    </row>
    <row r="124" spans="1:12" s="15" customFormat="1" ht="13.5" customHeight="1" x14ac:dyDescent="0.2">
      <c r="A124" s="2" t="s">
        <v>20</v>
      </c>
      <c r="B124" s="39"/>
      <c r="C124" s="3">
        <v>208</v>
      </c>
      <c r="D124" s="3">
        <f t="shared" si="6"/>
        <v>0</v>
      </c>
      <c r="E124" s="13">
        <f>COUNTIFS($A$12:$A$110,"Cond Ar Janela 18.000 BTU/h")</f>
        <v>0</v>
      </c>
      <c r="F124" s="40">
        <f t="shared" si="7"/>
        <v>0</v>
      </c>
      <c r="G124" s="1"/>
      <c r="H124" s="7"/>
      <c r="I124" s="7"/>
      <c r="L124" s="7"/>
    </row>
    <row r="125" spans="1:12" s="15" customFormat="1" ht="13.5" customHeight="1" x14ac:dyDescent="0.2">
      <c r="A125" s="2" t="s">
        <v>21</v>
      </c>
      <c r="B125" s="39"/>
      <c r="C125" s="3">
        <v>57</v>
      </c>
      <c r="D125" s="3">
        <f t="shared" si="6"/>
        <v>0</v>
      </c>
      <c r="E125" s="13">
        <f>COUNTIFS($A$12:$A$110,"Cond Ar Janela 21.000 BTU/h")</f>
        <v>0</v>
      </c>
      <c r="F125" s="40">
        <f t="shared" si="7"/>
        <v>0</v>
      </c>
      <c r="G125" s="1"/>
      <c r="H125" s="7"/>
      <c r="I125" s="7"/>
      <c r="L125" s="7"/>
    </row>
    <row r="126" spans="1:12" s="15" customFormat="1" ht="13.5" customHeight="1" x14ac:dyDescent="0.2">
      <c r="A126" s="2" t="s">
        <v>22</v>
      </c>
      <c r="B126" s="39">
        <v>21</v>
      </c>
      <c r="C126" s="3">
        <v>147</v>
      </c>
      <c r="D126" s="3">
        <f t="shared" si="6"/>
        <v>3087</v>
      </c>
      <c r="E126" s="13">
        <f>COUNTIFS($A$12:$A$110,"Cond Ar Split 9.000 BTU/h Hi Wall")</f>
        <v>9</v>
      </c>
      <c r="F126" s="40">
        <f t="shared" si="7"/>
        <v>12</v>
      </c>
      <c r="G126" s="1"/>
      <c r="H126" s="7"/>
      <c r="I126" s="7"/>
      <c r="L126" s="7"/>
    </row>
    <row r="127" spans="1:12" s="15" customFormat="1" ht="13.5" customHeight="1" x14ac:dyDescent="0.2">
      <c r="A127" s="2" t="s">
        <v>23</v>
      </c>
      <c r="B127" s="39">
        <v>38</v>
      </c>
      <c r="C127" s="3">
        <v>235</v>
      </c>
      <c r="D127" s="3">
        <f t="shared" si="6"/>
        <v>8930</v>
      </c>
      <c r="E127" s="13">
        <f>COUNTIFS($A$12:$A$110,"Cond Ar Split 12.000 BTU/h Hi Wall")</f>
        <v>34</v>
      </c>
      <c r="F127" s="40">
        <f t="shared" si="7"/>
        <v>4</v>
      </c>
      <c r="G127" s="1"/>
      <c r="H127" s="7"/>
      <c r="I127" s="7"/>
      <c r="L127" s="7"/>
    </row>
    <row r="128" spans="1:12" s="15" customFormat="1" ht="13.5" customHeight="1" x14ac:dyDescent="0.2">
      <c r="A128" s="2" t="s">
        <v>24</v>
      </c>
      <c r="B128" s="39">
        <v>15</v>
      </c>
      <c r="C128" s="3">
        <v>238</v>
      </c>
      <c r="D128" s="3">
        <f t="shared" si="6"/>
        <v>3570</v>
      </c>
      <c r="E128" s="13">
        <f>COUNTIFS($A$12:$A$110,"Cond Ar Split 18.000 BTU/h Hi Wall")</f>
        <v>9</v>
      </c>
      <c r="F128" s="40">
        <f t="shared" si="7"/>
        <v>6</v>
      </c>
      <c r="G128" s="1"/>
      <c r="H128" s="7"/>
      <c r="I128" s="7"/>
      <c r="L128" s="7"/>
    </row>
    <row r="129" spans="1:12" s="15" customFormat="1" ht="13.5" customHeight="1" x14ac:dyDescent="0.2">
      <c r="A129" s="2" t="s">
        <v>25</v>
      </c>
      <c r="B129" s="39"/>
      <c r="C129" s="3">
        <v>242</v>
      </c>
      <c r="D129" s="3">
        <f t="shared" si="6"/>
        <v>0</v>
      </c>
      <c r="E129" s="13">
        <f>COUNTIFS($A$12:$A$110,"Cond Ar Split 22.000 BTU/h Hi Wall")</f>
        <v>0</v>
      </c>
      <c r="F129" s="40">
        <f t="shared" si="7"/>
        <v>0</v>
      </c>
      <c r="G129" s="1"/>
      <c r="H129" s="7"/>
      <c r="I129" s="7"/>
      <c r="L129" s="7"/>
    </row>
    <row r="130" spans="1:12" s="15" customFormat="1" ht="13.5" customHeight="1" x14ac:dyDescent="0.2">
      <c r="A130" s="2" t="s">
        <v>26</v>
      </c>
      <c r="B130" s="39">
        <v>7</v>
      </c>
      <c r="C130" s="3">
        <v>260</v>
      </c>
      <c r="D130" s="3">
        <f t="shared" si="6"/>
        <v>1820</v>
      </c>
      <c r="E130" s="13">
        <f>COUNTIFS($A$12:$A$110,"Cond Ar Split 24.000 BTU/h Hi Wall")</f>
        <v>0</v>
      </c>
      <c r="F130" s="40">
        <f t="shared" si="7"/>
        <v>7</v>
      </c>
      <c r="G130" s="1"/>
      <c r="H130" s="7"/>
      <c r="I130" s="7"/>
      <c r="L130" s="7"/>
    </row>
    <row r="131" spans="1:12" s="15" customFormat="1" ht="13.5" customHeight="1" x14ac:dyDescent="0.2">
      <c r="A131" s="2" t="s">
        <v>27</v>
      </c>
      <c r="B131" s="39">
        <v>3</v>
      </c>
      <c r="C131" s="3">
        <v>347</v>
      </c>
      <c r="D131" s="3">
        <f t="shared" si="6"/>
        <v>1041</v>
      </c>
      <c r="E131" s="13">
        <f>COUNTIFS($A$12:$A$110,"Cond Ar Split 30.000 BTU/h Hi Wall")</f>
        <v>0</v>
      </c>
      <c r="F131" s="40">
        <f t="shared" si="7"/>
        <v>3</v>
      </c>
      <c r="G131" s="1"/>
      <c r="H131" s="7"/>
      <c r="I131" s="7"/>
      <c r="L131" s="7"/>
    </row>
    <row r="132" spans="1:12" s="15" customFormat="1" ht="13.5" customHeight="1" x14ac:dyDescent="0.2">
      <c r="A132" s="2" t="s">
        <v>30</v>
      </c>
      <c r="B132" s="39">
        <v>1</v>
      </c>
      <c r="C132" s="3">
        <v>367</v>
      </c>
      <c r="D132" s="3">
        <f t="shared" si="6"/>
        <v>367</v>
      </c>
      <c r="E132" s="13">
        <f>COUNTIFS($A$12:$A$110,"Cond Ar Split 24.000 BTU/h Piso/Teto")</f>
        <v>0</v>
      </c>
      <c r="F132" s="40">
        <f t="shared" si="7"/>
        <v>1</v>
      </c>
      <c r="G132" s="1"/>
      <c r="H132" s="7"/>
      <c r="I132" s="7"/>
      <c r="L132" s="7"/>
    </row>
    <row r="133" spans="1:12" s="15" customFormat="1" ht="13.5" customHeight="1" x14ac:dyDescent="0.2">
      <c r="A133" s="2" t="s">
        <v>31</v>
      </c>
      <c r="B133" s="39">
        <v>2</v>
      </c>
      <c r="C133" s="3">
        <v>367</v>
      </c>
      <c r="D133" s="3">
        <f>B133*C133</f>
        <v>734</v>
      </c>
      <c r="E133" s="13">
        <f>COUNTIFS($A$12:$A$110,"Cond Ar Split 30.000 BTU/h Piso/Teto")</f>
        <v>0</v>
      </c>
      <c r="F133" s="40">
        <f t="shared" si="7"/>
        <v>2</v>
      </c>
      <c r="G133" s="1"/>
      <c r="H133" s="7"/>
      <c r="I133" s="7"/>
      <c r="L133" s="7"/>
    </row>
    <row r="134" spans="1:12" s="15" customFormat="1" ht="13.5" customHeight="1" x14ac:dyDescent="0.2">
      <c r="A134" s="2" t="s">
        <v>32</v>
      </c>
      <c r="B134" s="39">
        <v>2</v>
      </c>
      <c r="C134" s="3">
        <v>447</v>
      </c>
      <c r="D134" s="3">
        <f>B134*C134</f>
        <v>894</v>
      </c>
      <c r="E134" s="13">
        <f>COUNTIFS($A$12:$A$110,"Cond Ar Split 36.000 BTU/h Piso/Teto")</f>
        <v>2</v>
      </c>
      <c r="F134" s="40">
        <f t="shared" si="7"/>
        <v>0</v>
      </c>
      <c r="G134" s="1"/>
      <c r="H134" s="7"/>
      <c r="I134" s="7"/>
      <c r="L134" s="7"/>
    </row>
    <row r="135" spans="1:12" s="15" customFormat="1" ht="13.5" customHeight="1" x14ac:dyDescent="0.2">
      <c r="A135" s="2" t="s">
        <v>33</v>
      </c>
      <c r="B135" s="39"/>
      <c r="C135" s="3">
        <v>497</v>
      </c>
      <c r="D135" s="3">
        <f>B135*C135</f>
        <v>0</v>
      </c>
      <c r="E135" s="13">
        <f>COUNTIFS($A$12:$A$110,"Cond Ar Split 48.000 BTU/h Piso/Teto")</f>
        <v>0</v>
      </c>
      <c r="F135" s="40">
        <f t="shared" si="7"/>
        <v>0</v>
      </c>
      <c r="G135" s="1"/>
      <c r="H135" s="7"/>
      <c r="I135" s="7"/>
      <c r="L135" s="7"/>
    </row>
    <row r="136" spans="1:12" s="15" customFormat="1" ht="13.5" customHeight="1" x14ac:dyDescent="0.2">
      <c r="A136" s="2" t="s">
        <v>34</v>
      </c>
      <c r="B136" s="39"/>
      <c r="C136" s="3">
        <v>597</v>
      </c>
      <c r="D136" s="3">
        <f t="shared" ref="D136:D144" si="8">B136*C136</f>
        <v>0</v>
      </c>
      <c r="E136" s="13">
        <f>COUNTIFS($A$12:$A$110,"Cond Ar Split 60.000 BTU/h Piso/Teto")</f>
        <v>0</v>
      </c>
      <c r="F136" s="40">
        <f t="shared" si="7"/>
        <v>0</v>
      </c>
      <c r="G136" s="1"/>
      <c r="H136" s="7"/>
      <c r="I136" s="7"/>
      <c r="L136" s="7"/>
    </row>
    <row r="137" spans="1:12" s="15" customFormat="1" ht="13.5" customHeight="1" x14ac:dyDescent="0.2">
      <c r="A137" s="2" t="s">
        <v>35</v>
      </c>
      <c r="B137" s="39"/>
      <c r="C137" s="3">
        <v>395</v>
      </c>
      <c r="D137" s="3">
        <f t="shared" si="8"/>
        <v>0</v>
      </c>
      <c r="E137" s="13">
        <f>COUNTIFS($A$12:$A$110,"Cond Ar Split 18.000 BTU/h Cassete")</f>
        <v>0</v>
      </c>
      <c r="F137" s="40">
        <f t="shared" si="7"/>
        <v>0</v>
      </c>
      <c r="G137" s="1"/>
      <c r="H137" s="7"/>
      <c r="I137" s="7"/>
    </row>
    <row r="138" spans="1:12" s="15" customFormat="1" ht="13.5" customHeight="1" x14ac:dyDescent="0.2">
      <c r="A138" s="2" t="s">
        <v>36</v>
      </c>
      <c r="B138" s="39">
        <v>2</v>
      </c>
      <c r="C138" s="3">
        <v>442.75</v>
      </c>
      <c r="D138" s="3">
        <f t="shared" si="8"/>
        <v>885.5</v>
      </c>
      <c r="E138" s="13">
        <f>COUNTIFS($A$12:$A$110,"Cond Ar Split 24.000 BTU/h Cassete")</f>
        <v>1</v>
      </c>
      <c r="F138" s="40">
        <f t="shared" si="7"/>
        <v>1</v>
      </c>
      <c r="G138" s="1"/>
      <c r="H138" s="7"/>
      <c r="I138" s="7"/>
    </row>
    <row r="139" spans="1:12" s="15" customFormat="1" ht="13.5" customHeight="1" x14ac:dyDescent="0.2">
      <c r="A139" s="2" t="s">
        <v>37</v>
      </c>
      <c r="B139" s="39">
        <v>16</v>
      </c>
      <c r="C139" s="3">
        <v>430</v>
      </c>
      <c r="D139" s="3">
        <f t="shared" si="8"/>
        <v>6880</v>
      </c>
      <c r="E139" s="13">
        <f>COUNTIFS($A$12:$A$110,"Cond Ar Split 30.000 BTU/h Cassete")</f>
        <v>13</v>
      </c>
      <c r="F139" s="40">
        <f t="shared" si="7"/>
        <v>3</v>
      </c>
      <c r="G139" s="1"/>
      <c r="H139" s="7"/>
      <c r="I139" s="7"/>
    </row>
    <row r="140" spans="1:12" s="15" customFormat="1" ht="13.5" customHeight="1" x14ac:dyDescent="0.2">
      <c r="A140" s="2" t="s">
        <v>38</v>
      </c>
      <c r="B140" s="39">
        <v>9</v>
      </c>
      <c r="C140" s="3">
        <v>478</v>
      </c>
      <c r="D140" s="3">
        <f t="shared" si="8"/>
        <v>4302</v>
      </c>
      <c r="E140" s="13">
        <f>COUNTIFS($A$12:$A$110,"Cond Ar Split 36.000 BTU/h Cassete")</f>
        <v>9</v>
      </c>
      <c r="F140" s="40">
        <f t="shared" si="7"/>
        <v>0</v>
      </c>
      <c r="G140" s="1"/>
      <c r="H140" s="17"/>
      <c r="I140" s="7"/>
    </row>
    <row r="141" spans="1:12" s="15" customFormat="1" ht="13.5" customHeight="1" x14ac:dyDescent="0.2">
      <c r="A141" s="2" t="s">
        <v>39</v>
      </c>
      <c r="B141" s="39">
        <v>4</v>
      </c>
      <c r="C141" s="3">
        <v>577</v>
      </c>
      <c r="D141" s="3">
        <f t="shared" si="8"/>
        <v>2308</v>
      </c>
      <c r="E141" s="13">
        <f>COUNTIFS($A$12:$A$110,"Cond Ar Split 48.000 BTU/h Cassete")</f>
        <v>4</v>
      </c>
      <c r="F141" s="40">
        <f t="shared" si="7"/>
        <v>0</v>
      </c>
      <c r="G141" s="1"/>
      <c r="H141" s="7"/>
      <c r="I141" s="7"/>
    </row>
    <row r="142" spans="1:12" s="15" customFormat="1" ht="13.5" customHeight="1" x14ac:dyDescent="0.2">
      <c r="A142" s="2" t="s">
        <v>40</v>
      </c>
      <c r="B142" s="39">
        <v>6</v>
      </c>
      <c r="C142" s="3">
        <v>645</v>
      </c>
      <c r="D142" s="3">
        <f t="shared" si="8"/>
        <v>3870</v>
      </c>
      <c r="E142" s="13">
        <f>COUNTIFS($A$12:$A$110,"Cond Ar Split 60.000 BTU/h Cassete")</f>
        <v>6</v>
      </c>
      <c r="F142" s="40">
        <f t="shared" si="7"/>
        <v>0</v>
      </c>
      <c r="G142" s="1"/>
      <c r="H142" s="7"/>
      <c r="I142" s="7"/>
    </row>
    <row r="143" spans="1:12" s="15" customFormat="1" ht="13.5" customHeight="1" x14ac:dyDescent="0.2">
      <c r="A143" s="2" t="s">
        <v>41</v>
      </c>
      <c r="B143" s="39"/>
      <c r="C143" s="3">
        <v>147</v>
      </c>
      <c r="D143" s="3">
        <f t="shared" si="8"/>
        <v>0</v>
      </c>
      <c r="E143" s="13">
        <f>COUNTIFS($A$12:$A$110,"Cond Ar Tri Split 36.000 BTU/h (3x12.000)")</f>
        <v>0</v>
      </c>
      <c r="F143" s="40">
        <f t="shared" si="7"/>
        <v>0</v>
      </c>
      <c r="G143" s="1"/>
      <c r="H143" s="7"/>
      <c r="I143" s="7"/>
    </row>
    <row r="144" spans="1:12" s="15" customFormat="1" ht="13.5" customHeight="1" x14ac:dyDescent="0.2">
      <c r="A144" s="2" t="s">
        <v>42</v>
      </c>
      <c r="B144" s="39">
        <v>2</v>
      </c>
      <c r="C144" s="3">
        <v>100</v>
      </c>
      <c r="D144" s="3">
        <f t="shared" si="8"/>
        <v>200</v>
      </c>
      <c r="E144" s="13">
        <f>COUNTIFS($A$12:$A$110,"Cond Ar Portátil 12.000 BTU/h")</f>
        <v>0</v>
      </c>
      <c r="F144" s="40">
        <f t="shared" si="7"/>
        <v>2</v>
      </c>
      <c r="G144" s="1"/>
      <c r="H144" s="7"/>
      <c r="I144" s="7"/>
    </row>
    <row r="145" spans="1:10" s="15" customFormat="1" ht="13.5" customHeight="1" x14ac:dyDescent="0.2">
      <c r="A145" s="36" t="s">
        <v>7</v>
      </c>
      <c r="B145" s="22">
        <f>SUM(B122:B144)</f>
        <v>128</v>
      </c>
      <c r="C145" s="38"/>
      <c r="D145" s="37">
        <f>SUM(D122:D144)</f>
        <v>38888.5</v>
      </c>
      <c r="E145" s="22">
        <f>SUM(E122:E144)</f>
        <v>87</v>
      </c>
      <c r="F145" s="41">
        <f>SUM(F122:F144)</f>
        <v>41</v>
      </c>
      <c r="G145" s="54"/>
      <c r="H145" s="7"/>
      <c r="I145" s="7"/>
    </row>
    <row r="149" spans="1:10" s="15" customFormat="1" ht="13.5" customHeight="1" x14ac:dyDescent="0.25">
      <c r="A149" s="7"/>
      <c r="C149" s="7"/>
      <c r="D149" s="7"/>
      <c r="E149" s="7"/>
      <c r="F149" s="17"/>
      <c r="G149" s="7"/>
      <c r="H149" s="7"/>
      <c r="I149" s="7"/>
      <c r="J149" s="16"/>
    </row>
  </sheetData>
  <mergeCells count="28">
    <mergeCell ref="A120:D120"/>
    <mergeCell ref="E120:E121"/>
    <mergeCell ref="F120:F121"/>
    <mergeCell ref="A10:I10"/>
    <mergeCell ref="C11:E11"/>
    <mergeCell ref="G11:I11"/>
    <mergeCell ref="D13:E13"/>
    <mergeCell ref="A114:C114"/>
    <mergeCell ref="D114:I114"/>
    <mergeCell ref="A115:C115"/>
    <mergeCell ref="D115:I115"/>
    <mergeCell ref="A119:F119"/>
    <mergeCell ref="L71:L73"/>
    <mergeCell ref="A111:I111"/>
    <mergeCell ref="A6:I6"/>
    <mergeCell ref="A7:I7"/>
    <mergeCell ref="A8:I8"/>
    <mergeCell ref="A9:B9"/>
    <mergeCell ref="C9:F9"/>
    <mergeCell ref="G9:I9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1">
    <pageSetUpPr fitToPage="1"/>
  </sheetPr>
  <dimension ref="A1:I22"/>
  <sheetViews>
    <sheetView showGridLines="0" workbookViewId="0">
      <pane ySplit="11" topLeftCell="A12" activePane="bottomLeft" state="frozen"/>
      <selection activeCell="J116" sqref="J116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223</v>
      </c>
      <c r="B8" s="297"/>
      <c r="C8" s="297"/>
      <c r="D8" s="297"/>
      <c r="E8" s="297"/>
      <c r="F8" s="298"/>
    </row>
    <row r="9" spans="1:6" ht="13.5" customHeight="1" x14ac:dyDescent="0.25">
      <c r="A9" s="60" t="s">
        <v>217</v>
      </c>
      <c r="B9" s="270" t="s">
        <v>216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55"/>
      <c r="D12" s="103"/>
      <c r="E12" s="11"/>
      <c r="F12" s="109"/>
    </row>
    <row r="13" spans="1:6" ht="13.5" customHeight="1" x14ac:dyDescent="0.2">
      <c r="A13" s="299"/>
      <c r="B13" s="300"/>
      <c r="C13" s="155"/>
      <c r="D13" s="104"/>
      <c r="E13" s="11"/>
      <c r="F13" s="109"/>
    </row>
    <row r="14" spans="1:6" ht="13.5" customHeight="1" x14ac:dyDescent="0.2">
      <c r="A14" s="313"/>
      <c r="B14" s="321"/>
      <c r="C14" s="102"/>
      <c r="D14" s="104"/>
      <c r="E14" s="82"/>
      <c r="F14" s="109"/>
    </row>
    <row r="15" spans="1:6" ht="13.5" customHeight="1" x14ac:dyDescent="0.25">
      <c r="A15" s="271" t="s">
        <v>210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22:C22"/>
    <mergeCell ref="A13:B13"/>
    <mergeCell ref="A14:B14"/>
    <mergeCell ref="A15:B15"/>
    <mergeCell ref="A18:F18"/>
    <mergeCell ref="A21:C21"/>
    <mergeCell ref="D21:F21"/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2">
    <pageSetUpPr fitToPage="1"/>
  </sheetPr>
  <dimension ref="A1:K79"/>
  <sheetViews>
    <sheetView showGridLines="0" workbookViewId="0">
      <pane ySplit="13" topLeftCell="A38" activePane="bottomLeft" state="frozen"/>
      <selection activeCell="A10" sqref="A10:I10"/>
      <selection pane="bottomLeft" activeCell="A10" sqref="A10:I10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33" style="15" customWidth="1"/>
    <col min="11" max="11" width="10.28515625" style="15" customWidth="1"/>
    <col min="12" max="12" width="10" style="7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212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229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233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230</v>
      </c>
      <c r="B9" s="270"/>
      <c r="C9" s="271" t="s">
        <v>234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20</v>
      </c>
      <c r="B15" s="20">
        <v>45638</v>
      </c>
      <c r="C15" s="55">
        <v>17164</v>
      </c>
      <c r="D15" s="20">
        <v>45658</v>
      </c>
      <c r="E15" s="20">
        <v>45687</v>
      </c>
      <c r="F15" s="11">
        <f t="shared" ref="F15:F34" si="0">(E15-D15)+1</f>
        <v>30</v>
      </c>
      <c r="G15" s="12">
        <v>208</v>
      </c>
      <c r="H15" s="13">
        <v>1</v>
      </c>
      <c r="I15" s="19">
        <f>G15/30*H15*F15</f>
        <v>208</v>
      </c>
      <c r="J15" s="14" t="s">
        <v>288</v>
      </c>
      <c r="K15" s="13">
        <v>66633</v>
      </c>
    </row>
    <row r="16" spans="1:11" ht="13.5" customHeight="1" x14ac:dyDescent="0.2">
      <c r="A16" s="2" t="s">
        <v>20</v>
      </c>
      <c r="B16" s="20">
        <v>45638</v>
      </c>
      <c r="C16" s="55">
        <v>16619</v>
      </c>
      <c r="D16" s="20">
        <v>45658</v>
      </c>
      <c r="E16" s="20">
        <v>45687</v>
      </c>
      <c r="F16" s="11">
        <f t="shared" si="0"/>
        <v>30</v>
      </c>
      <c r="G16" s="12">
        <v>208</v>
      </c>
      <c r="H16" s="13">
        <v>1</v>
      </c>
      <c r="I16" s="19">
        <f t="shared" ref="I16:I34" si="1">G16/30*H16*F16</f>
        <v>208</v>
      </c>
      <c r="J16" s="14"/>
      <c r="K16" s="13"/>
    </row>
    <row r="17" spans="1:11" ht="13.5" customHeight="1" x14ac:dyDescent="0.2">
      <c r="A17" s="2" t="s">
        <v>20</v>
      </c>
      <c r="B17" s="20">
        <v>45659</v>
      </c>
      <c r="C17" s="135">
        <v>12160</v>
      </c>
      <c r="D17" s="20">
        <v>45659</v>
      </c>
      <c r="E17" s="20">
        <v>45687</v>
      </c>
      <c r="F17" s="11">
        <f t="shared" si="0"/>
        <v>29</v>
      </c>
      <c r="G17" s="12">
        <v>208</v>
      </c>
      <c r="H17" s="13">
        <v>1</v>
      </c>
      <c r="I17" s="19">
        <f t="shared" si="1"/>
        <v>201.06666666666666</v>
      </c>
      <c r="J17" s="14" t="s">
        <v>1000</v>
      </c>
      <c r="K17" s="13"/>
    </row>
    <row r="18" spans="1:11" ht="13.5" customHeight="1" x14ac:dyDescent="0.2">
      <c r="A18" s="2" t="s">
        <v>20</v>
      </c>
      <c r="B18" s="20">
        <v>45659</v>
      </c>
      <c r="C18" s="135">
        <v>12161</v>
      </c>
      <c r="D18" s="20">
        <v>45659</v>
      </c>
      <c r="E18" s="20">
        <v>45687</v>
      </c>
      <c r="F18" s="11">
        <f t="shared" si="0"/>
        <v>29</v>
      </c>
      <c r="G18" s="12">
        <v>208</v>
      </c>
      <c r="H18" s="13">
        <v>1</v>
      </c>
      <c r="I18" s="19">
        <f t="shared" si="1"/>
        <v>201.06666666666666</v>
      </c>
      <c r="J18" s="14" t="s">
        <v>1000</v>
      </c>
      <c r="K18" s="13"/>
    </row>
    <row r="19" spans="1:11" ht="13.5" customHeight="1" x14ac:dyDescent="0.2">
      <c r="A19" s="2" t="s">
        <v>20</v>
      </c>
      <c r="B19" s="20">
        <v>45659</v>
      </c>
      <c r="C19" s="135">
        <v>7297</v>
      </c>
      <c r="D19" s="20">
        <v>45659</v>
      </c>
      <c r="E19" s="20">
        <v>45687</v>
      </c>
      <c r="F19" s="11">
        <f t="shared" si="0"/>
        <v>29</v>
      </c>
      <c r="G19" s="12">
        <v>208</v>
      </c>
      <c r="H19" s="13">
        <v>1</v>
      </c>
      <c r="I19" s="19">
        <f t="shared" si="1"/>
        <v>201.06666666666666</v>
      </c>
      <c r="J19" s="14" t="s">
        <v>1001</v>
      </c>
      <c r="K19" s="13"/>
    </row>
    <row r="20" spans="1:11" ht="13.5" customHeight="1" x14ac:dyDescent="0.2">
      <c r="A20" s="2" t="s">
        <v>20</v>
      </c>
      <c r="B20" s="20">
        <v>45671</v>
      </c>
      <c r="C20" s="135">
        <v>17548</v>
      </c>
      <c r="D20" s="20">
        <v>45671</v>
      </c>
      <c r="E20" s="20">
        <v>45687</v>
      </c>
      <c r="F20" s="11">
        <f t="shared" si="0"/>
        <v>17</v>
      </c>
      <c r="G20" s="12">
        <v>208</v>
      </c>
      <c r="H20" s="13">
        <v>1</v>
      </c>
      <c r="I20" s="19">
        <f t="shared" si="1"/>
        <v>117.86666666666667</v>
      </c>
      <c r="J20" s="14" t="s">
        <v>1003</v>
      </c>
      <c r="K20" s="13"/>
    </row>
    <row r="21" spans="1:11" ht="13.5" customHeight="1" x14ac:dyDescent="0.2">
      <c r="A21" s="2" t="s">
        <v>21</v>
      </c>
      <c r="B21" s="20">
        <v>45520</v>
      </c>
      <c r="C21" s="55">
        <v>13880</v>
      </c>
      <c r="D21" s="20">
        <v>45658</v>
      </c>
      <c r="E21" s="20">
        <v>45687</v>
      </c>
      <c r="F21" s="11">
        <f t="shared" si="0"/>
        <v>30</v>
      </c>
      <c r="G21" s="12">
        <v>57</v>
      </c>
      <c r="H21" s="13">
        <v>1</v>
      </c>
      <c r="I21" s="19">
        <f t="shared" si="1"/>
        <v>57</v>
      </c>
      <c r="J21" s="14" t="s">
        <v>998</v>
      </c>
      <c r="K21" s="13"/>
    </row>
    <row r="22" spans="1:11" ht="13.5" customHeight="1" x14ac:dyDescent="0.2">
      <c r="A22" s="2" t="s">
        <v>21</v>
      </c>
      <c r="B22" s="20">
        <v>45659</v>
      </c>
      <c r="C22" s="135">
        <v>13886</v>
      </c>
      <c r="D22" s="20">
        <v>45659</v>
      </c>
      <c r="E22" s="20">
        <v>45687</v>
      </c>
      <c r="F22" s="11">
        <f t="shared" si="0"/>
        <v>29</v>
      </c>
      <c r="G22" s="12">
        <v>57</v>
      </c>
      <c r="H22" s="13">
        <v>1</v>
      </c>
      <c r="I22" s="19">
        <f t="shared" si="1"/>
        <v>55.099999999999994</v>
      </c>
      <c r="J22" s="14" t="s">
        <v>997</v>
      </c>
      <c r="K22" s="13"/>
    </row>
    <row r="23" spans="1:11" ht="13.5" customHeight="1" x14ac:dyDescent="0.2">
      <c r="A23" s="2" t="s">
        <v>21</v>
      </c>
      <c r="B23" s="20">
        <v>45659</v>
      </c>
      <c r="C23" s="135">
        <v>13857</v>
      </c>
      <c r="D23" s="20">
        <v>45659</v>
      </c>
      <c r="E23" s="20">
        <v>45687</v>
      </c>
      <c r="F23" s="11">
        <f t="shared" si="0"/>
        <v>29</v>
      </c>
      <c r="G23" s="12">
        <v>57</v>
      </c>
      <c r="H23" s="13">
        <v>1</v>
      </c>
      <c r="I23" s="19">
        <f t="shared" si="1"/>
        <v>55.099999999999994</v>
      </c>
      <c r="J23" s="14" t="s">
        <v>998</v>
      </c>
      <c r="K23" s="13"/>
    </row>
    <row r="24" spans="1:11" ht="13.5" customHeight="1" x14ac:dyDescent="0.2">
      <c r="A24" s="2" t="s">
        <v>21</v>
      </c>
      <c r="B24" s="20">
        <v>45659</v>
      </c>
      <c r="C24" s="135">
        <v>8275</v>
      </c>
      <c r="D24" s="20">
        <v>45659</v>
      </c>
      <c r="E24" s="20">
        <v>45687</v>
      </c>
      <c r="F24" s="11">
        <f t="shared" si="0"/>
        <v>29</v>
      </c>
      <c r="G24" s="12">
        <v>57</v>
      </c>
      <c r="H24" s="13">
        <v>1</v>
      </c>
      <c r="I24" s="19">
        <f t="shared" si="1"/>
        <v>55.099999999999994</v>
      </c>
      <c r="J24" s="14" t="s">
        <v>998</v>
      </c>
      <c r="K24" s="13"/>
    </row>
    <row r="25" spans="1:11" ht="13.5" customHeight="1" x14ac:dyDescent="0.2">
      <c r="A25" s="2" t="s">
        <v>21</v>
      </c>
      <c r="B25" s="20">
        <v>45659</v>
      </c>
      <c r="C25" s="135">
        <v>6491</v>
      </c>
      <c r="D25" s="20">
        <v>45659</v>
      </c>
      <c r="E25" s="20">
        <v>45687</v>
      </c>
      <c r="F25" s="11">
        <f t="shared" si="0"/>
        <v>29</v>
      </c>
      <c r="G25" s="12">
        <v>57</v>
      </c>
      <c r="H25" s="13">
        <v>1</v>
      </c>
      <c r="I25" s="19">
        <f t="shared" si="1"/>
        <v>55.099999999999994</v>
      </c>
      <c r="J25" s="14" t="s">
        <v>998</v>
      </c>
      <c r="K25" s="13"/>
    </row>
    <row r="26" spans="1:11" ht="13.5" customHeight="1" x14ac:dyDescent="0.2">
      <c r="A26" s="2" t="s">
        <v>21</v>
      </c>
      <c r="B26" s="20">
        <v>45659</v>
      </c>
      <c r="C26" s="135">
        <v>13888</v>
      </c>
      <c r="D26" s="20">
        <v>45659</v>
      </c>
      <c r="E26" s="20">
        <v>45687</v>
      </c>
      <c r="F26" s="11">
        <f t="shared" si="0"/>
        <v>29</v>
      </c>
      <c r="G26" s="12">
        <v>57</v>
      </c>
      <c r="H26" s="13">
        <v>1</v>
      </c>
      <c r="I26" s="19">
        <f t="shared" si="1"/>
        <v>55.099999999999994</v>
      </c>
      <c r="J26" s="14" t="s">
        <v>998</v>
      </c>
      <c r="K26" s="13"/>
    </row>
    <row r="27" spans="1:11" ht="13.5" customHeight="1" x14ac:dyDescent="0.2">
      <c r="A27" s="2" t="s">
        <v>21</v>
      </c>
      <c r="B27" s="20">
        <v>45659</v>
      </c>
      <c r="C27" s="135">
        <v>13862</v>
      </c>
      <c r="D27" s="20">
        <v>45659</v>
      </c>
      <c r="E27" s="20">
        <v>45687</v>
      </c>
      <c r="F27" s="11">
        <f t="shared" si="0"/>
        <v>29</v>
      </c>
      <c r="G27" s="12">
        <v>57</v>
      </c>
      <c r="H27" s="13">
        <v>1</v>
      </c>
      <c r="I27" s="19">
        <f t="shared" si="1"/>
        <v>55.099999999999994</v>
      </c>
      <c r="J27" s="14" t="s">
        <v>998</v>
      </c>
      <c r="K27" s="13"/>
    </row>
    <row r="28" spans="1:11" ht="13.5" customHeight="1" x14ac:dyDescent="0.2">
      <c r="A28" s="2" t="s">
        <v>21</v>
      </c>
      <c r="B28" s="20">
        <v>45659</v>
      </c>
      <c r="C28" s="135">
        <v>13865</v>
      </c>
      <c r="D28" s="20">
        <v>45659</v>
      </c>
      <c r="E28" s="20">
        <v>45687</v>
      </c>
      <c r="F28" s="11">
        <f t="shared" si="0"/>
        <v>29</v>
      </c>
      <c r="G28" s="12">
        <v>57</v>
      </c>
      <c r="H28" s="13">
        <v>1</v>
      </c>
      <c r="I28" s="19">
        <f t="shared" si="1"/>
        <v>55.099999999999994</v>
      </c>
      <c r="J28" s="14" t="s">
        <v>999</v>
      </c>
      <c r="K28" s="13"/>
    </row>
    <row r="29" spans="1:11" ht="13.5" customHeight="1" x14ac:dyDescent="0.2">
      <c r="A29" s="2" t="s">
        <v>21</v>
      </c>
      <c r="B29" s="20">
        <v>45659</v>
      </c>
      <c r="C29" s="135">
        <v>6845</v>
      </c>
      <c r="D29" s="20">
        <v>45659</v>
      </c>
      <c r="E29" s="20">
        <v>45687</v>
      </c>
      <c r="F29" s="11">
        <f t="shared" si="0"/>
        <v>29</v>
      </c>
      <c r="G29" s="12">
        <v>57</v>
      </c>
      <c r="H29" s="13">
        <v>1</v>
      </c>
      <c r="I29" s="19">
        <f t="shared" si="1"/>
        <v>55.099999999999994</v>
      </c>
      <c r="J29" s="14" t="s">
        <v>999</v>
      </c>
      <c r="K29" s="13"/>
    </row>
    <row r="30" spans="1:11" ht="13.5" customHeight="1" x14ac:dyDescent="0.2">
      <c r="A30" s="2" t="s">
        <v>21</v>
      </c>
      <c r="B30" s="20">
        <v>45659</v>
      </c>
      <c r="C30" s="135">
        <v>6684</v>
      </c>
      <c r="D30" s="20">
        <v>45659</v>
      </c>
      <c r="E30" s="20">
        <v>45687</v>
      </c>
      <c r="F30" s="11">
        <f t="shared" si="0"/>
        <v>29</v>
      </c>
      <c r="G30" s="12">
        <v>57</v>
      </c>
      <c r="H30" s="13">
        <v>1</v>
      </c>
      <c r="I30" s="19">
        <f t="shared" si="1"/>
        <v>55.099999999999994</v>
      </c>
      <c r="J30" s="14" t="s">
        <v>218</v>
      </c>
      <c r="K30" s="13"/>
    </row>
    <row r="31" spans="1:11" ht="13.5" customHeight="1" x14ac:dyDescent="0.2">
      <c r="A31" s="2" t="s">
        <v>21</v>
      </c>
      <c r="B31" s="20">
        <v>45659</v>
      </c>
      <c r="C31" s="135">
        <v>4471</v>
      </c>
      <c r="D31" s="20">
        <v>45659</v>
      </c>
      <c r="E31" s="20">
        <v>45687</v>
      </c>
      <c r="F31" s="11">
        <f t="shared" si="0"/>
        <v>29</v>
      </c>
      <c r="G31" s="12">
        <v>57</v>
      </c>
      <c r="H31" s="13">
        <v>1</v>
      </c>
      <c r="I31" s="19">
        <f t="shared" si="1"/>
        <v>55.099999999999994</v>
      </c>
      <c r="J31" s="14" t="s">
        <v>218</v>
      </c>
      <c r="K31" s="13"/>
    </row>
    <row r="32" spans="1:11" ht="13.5" customHeight="1" x14ac:dyDescent="0.2">
      <c r="A32" s="2" t="s">
        <v>32</v>
      </c>
      <c r="B32" s="20">
        <v>45583</v>
      </c>
      <c r="C32" s="55">
        <v>16076</v>
      </c>
      <c r="D32" s="20">
        <v>45658</v>
      </c>
      <c r="E32" s="20">
        <v>45687</v>
      </c>
      <c r="F32" s="11">
        <f t="shared" si="0"/>
        <v>30</v>
      </c>
      <c r="G32" s="12">
        <v>447</v>
      </c>
      <c r="H32" s="13">
        <v>1</v>
      </c>
      <c r="I32" s="19">
        <f t="shared" si="1"/>
        <v>447</v>
      </c>
      <c r="J32" s="14" t="s">
        <v>764</v>
      </c>
      <c r="K32" s="13">
        <v>70218</v>
      </c>
    </row>
    <row r="33" spans="1:11" ht="13.5" customHeight="1" x14ac:dyDescent="0.2">
      <c r="A33" s="2" t="s">
        <v>32</v>
      </c>
      <c r="B33" s="20">
        <v>45604</v>
      </c>
      <c r="C33" s="13">
        <v>6008</v>
      </c>
      <c r="D33" s="20">
        <v>45658</v>
      </c>
      <c r="E33" s="20">
        <v>45687</v>
      </c>
      <c r="F33" s="11">
        <f t="shared" si="0"/>
        <v>30</v>
      </c>
      <c r="G33" s="12">
        <v>447</v>
      </c>
      <c r="H33" s="13">
        <v>1</v>
      </c>
      <c r="I33" s="19">
        <f t="shared" si="1"/>
        <v>447</v>
      </c>
      <c r="J33" s="14" t="s">
        <v>836</v>
      </c>
      <c r="K33" s="13">
        <v>71257</v>
      </c>
    </row>
    <row r="34" spans="1:11" ht="13.5" customHeight="1" x14ac:dyDescent="0.2">
      <c r="A34" s="2" t="s">
        <v>34</v>
      </c>
      <c r="B34" s="20">
        <v>45539</v>
      </c>
      <c r="C34" s="55">
        <v>10363</v>
      </c>
      <c r="D34" s="20">
        <v>45658</v>
      </c>
      <c r="E34" s="20">
        <v>45687</v>
      </c>
      <c r="F34" s="11">
        <f t="shared" si="0"/>
        <v>30</v>
      </c>
      <c r="G34" s="12">
        <v>597</v>
      </c>
      <c r="H34" s="13">
        <v>1</v>
      </c>
      <c r="I34" s="19">
        <f t="shared" si="1"/>
        <v>597</v>
      </c>
      <c r="J34" s="14" t="s">
        <v>320</v>
      </c>
      <c r="K34" s="13">
        <v>67570</v>
      </c>
    </row>
    <row r="35" spans="1:11" ht="13.5" customHeight="1" x14ac:dyDescent="0.25">
      <c r="A35" s="14"/>
      <c r="B35" s="76"/>
      <c r="C35" s="14"/>
      <c r="D35" s="20"/>
      <c r="E35" s="20"/>
      <c r="F35" s="11"/>
      <c r="G35" s="12"/>
      <c r="H35" s="13"/>
      <c r="I35" s="19">
        <f t="shared" ref="I35" si="2">G35/30*H35*F35</f>
        <v>0</v>
      </c>
      <c r="J35" s="32"/>
      <c r="K35" s="13"/>
    </row>
    <row r="36" spans="1:11" ht="13.5" customHeight="1" x14ac:dyDescent="0.25">
      <c r="A36" s="21" t="s">
        <v>227</v>
      </c>
      <c r="B36" s="26"/>
      <c r="C36" s="26"/>
      <c r="D36" s="23"/>
      <c r="E36" s="23"/>
      <c r="F36" s="24"/>
      <c r="G36" s="23"/>
      <c r="H36" s="22">
        <f>SUM(H15:H35)</f>
        <v>20</v>
      </c>
      <c r="I36" s="112">
        <f>SUM(I15:I35)</f>
        <v>3236.0666666666657</v>
      </c>
      <c r="J36" s="33"/>
      <c r="K36" s="116"/>
    </row>
    <row r="37" spans="1:11" ht="13.5" customHeight="1" x14ac:dyDescent="0.25">
      <c r="D37" s="8"/>
      <c r="E37" s="8"/>
      <c r="F37" s="9"/>
      <c r="G37" s="10"/>
      <c r="I37" s="10"/>
      <c r="J37" s="4"/>
    </row>
    <row r="38" spans="1:11" ht="13.5" customHeight="1" x14ac:dyDescent="0.25">
      <c r="D38" s="8"/>
      <c r="E38" s="8"/>
      <c r="F38" s="9"/>
      <c r="G38" s="10"/>
      <c r="H38" s="50">
        <f>H36</f>
        <v>20</v>
      </c>
      <c r="I38" s="25">
        <f>I36</f>
        <v>3236.0666666666657</v>
      </c>
      <c r="J38" s="16"/>
    </row>
    <row r="39" spans="1:11" ht="13.5" customHeight="1" x14ac:dyDescent="0.25">
      <c r="D39" s="8"/>
      <c r="E39" s="8"/>
      <c r="F39" s="9"/>
      <c r="G39" s="10"/>
      <c r="I39" s="10"/>
      <c r="J39" s="16"/>
    </row>
    <row r="40" spans="1:11" ht="13.5" customHeight="1" x14ac:dyDescent="0.25">
      <c r="D40" s="8"/>
      <c r="E40" s="8"/>
      <c r="F40" s="9"/>
      <c r="G40" s="10"/>
      <c r="I40" s="10"/>
      <c r="J40" s="7"/>
    </row>
    <row r="41" spans="1:11" ht="13.5" customHeight="1" x14ac:dyDescent="0.25">
      <c r="A41" s="289" t="s">
        <v>124</v>
      </c>
      <c r="B41" s="289"/>
      <c r="C41" s="289"/>
      <c r="D41" s="289"/>
      <c r="E41" s="289"/>
      <c r="F41" s="289"/>
      <c r="G41" s="289"/>
      <c r="H41" s="289"/>
      <c r="I41" s="289"/>
      <c r="J41" s="7"/>
    </row>
    <row r="42" spans="1:11" ht="13.5" customHeight="1" x14ac:dyDescent="0.25">
      <c r="J42" s="7"/>
    </row>
    <row r="43" spans="1:11" ht="13.5" customHeight="1" x14ac:dyDescent="0.2">
      <c r="A43" s="27" t="s">
        <v>125</v>
      </c>
      <c r="B43" s="7"/>
      <c r="F43" s="71"/>
      <c r="G43" s="10"/>
      <c r="I43" s="72"/>
      <c r="J43" s="7"/>
    </row>
    <row r="44" spans="1:11" ht="60" customHeight="1" x14ac:dyDescent="0.25">
      <c r="A44" s="291"/>
      <c r="B44" s="275"/>
      <c r="C44" s="292"/>
      <c r="D44" s="290"/>
      <c r="E44" s="290"/>
      <c r="F44" s="290"/>
      <c r="G44" s="290"/>
      <c r="H44" s="290"/>
      <c r="I44" s="290"/>
      <c r="J44" s="7"/>
    </row>
    <row r="45" spans="1:11" ht="13.5" customHeight="1" x14ac:dyDescent="0.25">
      <c r="A45" s="274" t="s">
        <v>126</v>
      </c>
      <c r="B45" s="274"/>
      <c r="C45" s="274"/>
      <c r="D45" s="274" t="s">
        <v>127</v>
      </c>
      <c r="E45" s="274"/>
      <c r="F45" s="274"/>
      <c r="G45" s="274"/>
      <c r="H45" s="274"/>
      <c r="I45" s="274"/>
      <c r="J45" s="7"/>
    </row>
    <row r="46" spans="1:11" ht="13.5" customHeight="1" x14ac:dyDescent="0.25">
      <c r="D46" s="8"/>
      <c r="E46" s="8"/>
      <c r="F46" s="9"/>
      <c r="G46" s="10"/>
      <c r="I46" s="10"/>
      <c r="J46" s="7"/>
    </row>
    <row r="47" spans="1:11" ht="13.5" customHeight="1" x14ac:dyDescent="0.25">
      <c r="D47" s="8"/>
      <c r="E47" s="8"/>
      <c r="F47" s="9"/>
      <c r="G47" s="10"/>
      <c r="I47" s="10"/>
      <c r="J47" s="7"/>
    </row>
    <row r="48" spans="1:11" ht="13.5" customHeight="1" x14ac:dyDescent="0.25">
      <c r="D48" s="8"/>
      <c r="E48" s="8"/>
      <c r="F48" s="9"/>
      <c r="G48" s="10"/>
      <c r="I48" s="10"/>
      <c r="J48" s="7"/>
    </row>
    <row r="49" spans="1:10" ht="13.5" customHeight="1" x14ac:dyDescent="0.2">
      <c r="A49" s="266" t="s">
        <v>29</v>
      </c>
      <c r="B49" s="266"/>
      <c r="C49" s="266"/>
      <c r="D49" s="266"/>
      <c r="E49" s="266"/>
      <c r="F49" s="266"/>
      <c r="G49" s="51"/>
      <c r="I49" s="10"/>
      <c r="J49" s="16"/>
    </row>
    <row r="50" spans="1:10" ht="13.5" customHeight="1" x14ac:dyDescent="0.2">
      <c r="A50" s="267" t="s">
        <v>45</v>
      </c>
      <c r="B50" s="267"/>
      <c r="C50" s="267"/>
      <c r="D50" s="267"/>
      <c r="E50" s="283" t="s">
        <v>5</v>
      </c>
      <c r="F50" s="282" t="s">
        <v>6</v>
      </c>
      <c r="G50" s="52"/>
      <c r="I50" s="10"/>
      <c r="J50" s="16"/>
    </row>
    <row r="51" spans="1:10" ht="13.5" customHeight="1" x14ac:dyDescent="0.2">
      <c r="A51" s="34" t="s">
        <v>0</v>
      </c>
      <c r="B51" s="34" t="s">
        <v>3</v>
      </c>
      <c r="C51" s="34" t="s">
        <v>2</v>
      </c>
      <c r="D51" s="34" t="s">
        <v>4</v>
      </c>
      <c r="E51" s="284"/>
      <c r="F51" s="282"/>
      <c r="G51" s="53"/>
    </row>
    <row r="52" spans="1:10" ht="13.5" customHeight="1" x14ac:dyDescent="0.2">
      <c r="A52" s="2" t="s">
        <v>18</v>
      </c>
      <c r="B52" s="39"/>
      <c r="C52" s="35">
        <v>37</v>
      </c>
      <c r="D52" s="35">
        <v>0</v>
      </c>
      <c r="E52" s="13">
        <f>COUNTIFS($A$12:$A$40,"Cond Ar Janela 7.500 BTU/h")</f>
        <v>0</v>
      </c>
      <c r="F52" s="40">
        <f>B52-E52</f>
        <v>0</v>
      </c>
      <c r="G52" s="1"/>
    </row>
    <row r="53" spans="1:10" ht="13.5" customHeight="1" x14ac:dyDescent="0.2">
      <c r="A53" s="2" t="s">
        <v>19</v>
      </c>
      <c r="B53" s="39"/>
      <c r="C53" s="3">
        <v>210</v>
      </c>
      <c r="D53" s="3">
        <f t="shared" ref="D53:D62" si="3">B53*C53</f>
        <v>0</v>
      </c>
      <c r="E53" s="13">
        <f>COUNTIFS($A$12:$A$40,"Cond Ar Janela 10.000 BTU/h")</f>
        <v>0</v>
      </c>
      <c r="F53" s="40">
        <f t="shared" ref="F53:F74" si="4">B53-E53</f>
        <v>0</v>
      </c>
      <c r="G53" s="1"/>
    </row>
    <row r="54" spans="1:10" ht="13.5" customHeight="1" x14ac:dyDescent="0.2">
      <c r="A54" s="2" t="s">
        <v>20</v>
      </c>
      <c r="B54" s="39">
        <v>18</v>
      </c>
      <c r="C54" s="3">
        <v>208</v>
      </c>
      <c r="D54" s="3">
        <f t="shared" si="3"/>
        <v>3744</v>
      </c>
      <c r="E54" s="13">
        <f>COUNTIFS($A$12:$A$40,"Cond Ar Janela 18.000 BTU/h")</f>
        <v>6</v>
      </c>
      <c r="F54" s="40">
        <f t="shared" si="4"/>
        <v>12</v>
      </c>
      <c r="G54" s="1"/>
    </row>
    <row r="55" spans="1:10" ht="13.5" customHeight="1" x14ac:dyDescent="0.2">
      <c r="A55" s="2" t="s">
        <v>21</v>
      </c>
      <c r="B55" s="39">
        <v>14</v>
      </c>
      <c r="C55" s="3">
        <v>57</v>
      </c>
      <c r="D55" s="3">
        <f t="shared" si="3"/>
        <v>798</v>
      </c>
      <c r="E55" s="13">
        <f>COUNTIFS($A$12:$A$40,"Cond Ar Janela 21.000 BTU/h")</f>
        <v>11</v>
      </c>
      <c r="F55" s="40">
        <f t="shared" si="4"/>
        <v>3</v>
      </c>
      <c r="G55" s="1"/>
    </row>
    <row r="56" spans="1:10" ht="13.5" customHeight="1" x14ac:dyDescent="0.2">
      <c r="A56" s="2" t="s">
        <v>22</v>
      </c>
      <c r="B56" s="39"/>
      <c r="C56" s="3">
        <v>147</v>
      </c>
      <c r="D56" s="3">
        <f t="shared" si="3"/>
        <v>0</v>
      </c>
      <c r="E56" s="13">
        <f>COUNTIFS($A$12:$A$40,"Cond Ar Split 9.000 BTU/h Hi Wall")</f>
        <v>0</v>
      </c>
      <c r="F56" s="40">
        <f t="shared" si="4"/>
        <v>0</v>
      </c>
      <c r="G56" s="1"/>
    </row>
    <row r="57" spans="1:10" ht="13.5" customHeight="1" x14ac:dyDescent="0.2">
      <c r="A57" s="2" t="s">
        <v>23</v>
      </c>
      <c r="B57" s="39"/>
      <c r="C57" s="3">
        <v>235</v>
      </c>
      <c r="D57" s="3">
        <f t="shared" si="3"/>
        <v>0</v>
      </c>
      <c r="E57" s="13">
        <f>COUNTIFS($A$12:$A$40,"Cond Ar Split 12.000 BTU/h Hi Wall")</f>
        <v>0</v>
      </c>
      <c r="F57" s="40">
        <f t="shared" si="4"/>
        <v>0</v>
      </c>
      <c r="G57" s="1"/>
    </row>
    <row r="58" spans="1:10" ht="13.5" customHeight="1" x14ac:dyDescent="0.2">
      <c r="A58" s="2" t="s">
        <v>24</v>
      </c>
      <c r="B58" s="39"/>
      <c r="C58" s="3">
        <v>238</v>
      </c>
      <c r="D58" s="3">
        <f t="shared" si="3"/>
        <v>0</v>
      </c>
      <c r="E58" s="13">
        <f>COUNTIFS($A$12:$A$40,"Cond Ar Split 18.000 BTU/h Hi Wall")</f>
        <v>0</v>
      </c>
      <c r="F58" s="40">
        <f t="shared" si="4"/>
        <v>0</v>
      </c>
      <c r="G58" s="1"/>
    </row>
    <row r="59" spans="1:10" ht="13.5" customHeight="1" x14ac:dyDescent="0.2">
      <c r="A59" s="2" t="s">
        <v>25</v>
      </c>
      <c r="B59" s="39"/>
      <c r="C59" s="3">
        <v>242</v>
      </c>
      <c r="D59" s="3">
        <f t="shared" si="3"/>
        <v>0</v>
      </c>
      <c r="E59" s="13">
        <f>COUNTIFS($A$12:$A$40,"Cond Ar Split 22.000 BTU/h Hi Wall")</f>
        <v>0</v>
      </c>
      <c r="F59" s="40">
        <f t="shared" si="4"/>
        <v>0</v>
      </c>
      <c r="G59" s="1"/>
    </row>
    <row r="60" spans="1:10" ht="13.5" customHeight="1" x14ac:dyDescent="0.2">
      <c r="A60" s="2" t="s">
        <v>26</v>
      </c>
      <c r="B60" s="39"/>
      <c r="C60" s="3">
        <v>260</v>
      </c>
      <c r="D60" s="3">
        <f t="shared" si="3"/>
        <v>0</v>
      </c>
      <c r="E60" s="13">
        <f>COUNTIFS($A$12:$A$40,"Cond Ar Split 24.000 BTU/h Hi Wall")</f>
        <v>0</v>
      </c>
      <c r="F60" s="40">
        <f t="shared" si="4"/>
        <v>0</v>
      </c>
      <c r="G60" s="1"/>
    </row>
    <row r="61" spans="1:10" ht="13.5" customHeight="1" x14ac:dyDescent="0.2">
      <c r="A61" s="2" t="s">
        <v>27</v>
      </c>
      <c r="B61" s="39"/>
      <c r="C61" s="3">
        <v>347</v>
      </c>
      <c r="D61" s="3">
        <f t="shared" si="3"/>
        <v>0</v>
      </c>
      <c r="E61" s="13">
        <f>COUNTIFS($A$12:$A$40,"Cond Ar Split 30.000 BTU/h Hi Wall")</f>
        <v>0</v>
      </c>
      <c r="F61" s="40">
        <f t="shared" si="4"/>
        <v>0</v>
      </c>
      <c r="G61" s="1"/>
    </row>
    <row r="62" spans="1:10" ht="13.5" customHeight="1" x14ac:dyDescent="0.2">
      <c r="A62" s="2" t="s">
        <v>30</v>
      </c>
      <c r="B62" s="39"/>
      <c r="C62" s="3">
        <v>367</v>
      </c>
      <c r="D62" s="3">
        <f t="shared" si="3"/>
        <v>0</v>
      </c>
      <c r="E62" s="13">
        <f>COUNTIFS($A$12:$A$40,"Cond Ar Split 24.000 BTU/h Piso/Teto")</f>
        <v>0</v>
      </c>
      <c r="F62" s="40">
        <f t="shared" si="4"/>
        <v>0</v>
      </c>
      <c r="G62" s="1"/>
    </row>
    <row r="63" spans="1:10" ht="13.5" customHeight="1" x14ac:dyDescent="0.2">
      <c r="A63" s="2" t="s">
        <v>31</v>
      </c>
      <c r="B63" s="39"/>
      <c r="C63" s="3">
        <v>367</v>
      </c>
      <c r="D63" s="3">
        <f>B63*C63</f>
        <v>0</v>
      </c>
      <c r="E63" s="13">
        <f>COUNTIFS($A$12:$A$40,"Cond Ar Split 30.000 BTU/h Piso/Teto")</f>
        <v>0</v>
      </c>
      <c r="F63" s="40">
        <f t="shared" si="4"/>
        <v>0</v>
      </c>
      <c r="G63" s="1"/>
    </row>
    <row r="64" spans="1:10" ht="13.5" customHeight="1" x14ac:dyDescent="0.2">
      <c r="A64" s="2" t="s">
        <v>32</v>
      </c>
      <c r="B64" s="39">
        <v>2</v>
      </c>
      <c r="C64" s="3">
        <v>447</v>
      </c>
      <c r="D64" s="3">
        <f>B64*C64</f>
        <v>894</v>
      </c>
      <c r="E64" s="13">
        <f>COUNTIFS($A$12:$A$40,"Cond Ar Split 36.000 BTU/h Piso/Teto")</f>
        <v>2</v>
      </c>
      <c r="F64" s="40">
        <f t="shared" si="4"/>
        <v>0</v>
      </c>
      <c r="G64" s="1"/>
    </row>
    <row r="65" spans="1:10" ht="13.5" customHeight="1" x14ac:dyDescent="0.2">
      <c r="A65" s="2" t="s">
        <v>33</v>
      </c>
      <c r="B65" s="39">
        <v>1</v>
      </c>
      <c r="C65" s="3">
        <v>497</v>
      </c>
      <c r="D65" s="3">
        <f>B65*C65</f>
        <v>497</v>
      </c>
      <c r="E65" s="13">
        <f>COUNTIFS($A$12:$A$40,"Cond Ar Split 48.000 BTU/h Piso/Teto")</f>
        <v>0</v>
      </c>
      <c r="F65" s="40">
        <f t="shared" si="4"/>
        <v>1</v>
      </c>
      <c r="G65" s="1"/>
    </row>
    <row r="66" spans="1:10" ht="13.5" customHeight="1" x14ac:dyDescent="0.2">
      <c r="A66" s="2" t="s">
        <v>34</v>
      </c>
      <c r="B66" s="39">
        <v>3</v>
      </c>
      <c r="C66" s="3">
        <v>597</v>
      </c>
      <c r="D66" s="3">
        <f t="shared" ref="D66:D74" si="5">B66*C66</f>
        <v>1791</v>
      </c>
      <c r="E66" s="13">
        <f>COUNTIFS($A$12:$A$40,"Cond Ar Split 60.000 BTU/h Piso/Teto")</f>
        <v>1</v>
      </c>
      <c r="F66" s="40">
        <f t="shared" si="4"/>
        <v>2</v>
      </c>
      <c r="G66" s="1"/>
    </row>
    <row r="67" spans="1:10" ht="13.5" customHeight="1" x14ac:dyDescent="0.2">
      <c r="A67" s="2" t="s">
        <v>35</v>
      </c>
      <c r="B67" s="39"/>
      <c r="C67" s="3">
        <v>395</v>
      </c>
      <c r="D67" s="3">
        <f t="shared" si="5"/>
        <v>0</v>
      </c>
      <c r="E67" s="13">
        <f>COUNTIFS($A$12:$A$40,"Cond Ar Split 18.000 BTU/h Cassete")</f>
        <v>0</v>
      </c>
      <c r="F67" s="40">
        <f t="shared" si="4"/>
        <v>0</v>
      </c>
      <c r="G67" s="1"/>
    </row>
    <row r="68" spans="1:10" ht="13.5" customHeight="1" x14ac:dyDescent="0.2">
      <c r="A68" s="2" t="s">
        <v>36</v>
      </c>
      <c r="B68" s="39"/>
      <c r="C68" s="3">
        <v>442.75</v>
      </c>
      <c r="D68" s="3">
        <f t="shared" si="5"/>
        <v>0</v>
      </c>
      <c r="E68" s="13">
        <f>COUNTIFS($A$12:$A$40,"Cond Ar Split 24.000 BTU/h Cassete")</f>
        <v>0</v>
      </c>
      <c r="F68" s="40">
        <f t="shared" si="4"/>
        <v>0</v>
      </c>
      <c r="G68" s="1"/>
    </row>
    <row r="69" spans="1:10" ht="13.5" customHeight="1" x14ac:dyDescent="0.2">
      <c r="A69" s="2" t="s">
        <v>37</v>
      </c>
      <c r="B69" s="39"/>
      <c r="C69" s="3">
        <v>430</v>
      </c>
      <c r="D69" s="3">
        <f t="shared" si="5"/>
        <v>0</v>
      </c>
      <c r="E69" s="13">
        <f>COUNTIFS($A$12:$A$40,"Cond Ar Split 30.000 BTU/h Cassete")</f>
        <v>0</v>
      </c>
      <c r="F69" s="40">
        <f t="shared" si="4"/>
        <v>0</v>
      </c>
      <c r="G69" s="1"/>
    </row>
    <row r="70" spans="1:10" ht="13.5" customHeight="1" x14ac:dyDescent="0.2">
      <c r="A70" s="2" t="s">
        <v>38</v>
      </c>
      <c r="B70" s="39"/>
      <c r="C70" s="3">
        <v>478</v>
      </c>
      <c r="D70" s="3">
        <f t="shared" si="5"/>
        <v>0</v>
      </c>
      <c r="E70" s="13">
        <f>COUNTIFS($A$12:$A$40,"Cond Ar Split 36.000 BTU/h Cassete")</f>
        <v>0</v>
      </c>
      <c r="F70" s="40">
        <f t="shared" si="4"/>
        <v>0</v>
      </c>
      <c r="G70" s="1"/>
    </row>
    <row r="71" spans="1:10" ht="13.5" customHeight="1" x14ac:dyDescent="0.2">
      <c r="A71" s="2" t="s">
        <v>39</v>
      </c>
      <c r="B71" s="39"/>
      <c r="C71" s="3">
        <v>577</v>
      </c>
      <c r="D71" s="3">
        <f t="shared" si="5"/>
        <v>0</v>
      </c>
      <c r="E71" s="13">
        <f>COUNTIFS($A$12:$A$40,"Cond Ar Split 48.000 BTU/h Cassete")</f>
        <v>0</v>
      </c>
      <c r="F71" s="40">
        <f t="shared" si="4"/>
        <v>0</v>
      </c>
      <c r="G71" s="1"/>
    </row>
    <row r="72" spans="1:10" ht="13.5" customHeight="1" x14ac:dyDescent="0.2">
      <c r="A72" s="2" t="s">
        <v>40</v>
      </c>
      <c r="B72" s="39"/>
      <c r="C72" s="3">
        <v>645</v>
      </c>
      <c r="D72" s="3">
        <f t="shared" si="5"/>
        <v>0</v>
      </c>
      <c r="E72" s="13">
        <f>COUNTIFS($A$12:$A$40,"Cond Ar Split 60.000 BTU/h Cassete")</f>
        <v>0</v>
      </c>
      <c r="F72" s="40">
        <f t="shared" si="4"/>
        <v>0</v>
      </c>
      <c r="G72" s="1"/>
    </row>
    <row r="73" spans="1:10" ht="13.5" customHeight="1" x14ac:dyDescent="0.2">
      <c r="A73" s="2" t="s">
        <v>41</v>
      </c>
      <c r="B73" s="39"/>
      <c r="C73" s="3">
        <v>147</v>
      </c>
      <c r="D73" s="3">
        <f t="shared" si="5"/>
        <v>0</v>
      </c>
      <c r="E73" s="13">
        <f>COUNTIFS($A$12:$A$40,"Cond Ar Tri Split 36.000 BTU/h (3x12.000)")</f>
        <v>0</v>
      </c>
      <c r="F73" s="40">
        <f t="shared" si="4"/>
        <v>0</v>
      </c>
      <c r="G73" s="1"/>
    </row>
    <row r="74" spans="1:10" ht="13.5" customHeight="1" x14ac:dyDescent="0.2">
      <c r="A74" s="2" t="s">
        <v>42</v>
      </c>
      <c r="B74" s="39"/>
      <c r="C74" s="3">
        <v>100</v>
      </c>
      <c r="D74" s="3">
        <f t="shared" si="5"/>
        <v>0</v>
      </c>
      <c r="E74" s="13">
        <f>COUNTIFS($A$12:$A$40,"Cond Ar Portátil 12.000 BTU/h")</f>
        <v>0</v>
      </c>
      <c r="F74" s="40">
        <f t="shared" si="4"/>
        <v>0</v>
      </c>
      <c r="G74" s="1"/>
    </row>
    <row r="75" spans="1:10" ht="13.5" customHeight="1" x14ac:dyDescent="0.2">
      <c r="A75" s="36" t="s">
        <v>7</v>
      </c>
      <c r="B75" s="22">
        <f>SUM(B52:B74)</f>
        <v>38</v>
      </c>
      <c r="C75" s="38"/>
      <c r="D75" s="37">
        <f>SUM(D52:D74)</f>
        <v>7724</v>
      </c>
      <c r="E75" s="22">
        <f>SUM(E52:E74)</f>
        <v>20</v>
      </c>
      <c r="F75" s="41">
        <f>SUM(F52:F74)</f>
        <v>18</v>
      </c>
      <c r="G75" s="54"/>
    </row>
    <row r="79" spans="1:10" ht="13.5" customHeight="1" x14ac:dyDescent="0.25">
      <c r="F79" s="17"/>
      <c r="J79" s="16"/>
    </row>
  </sheetData>
  <mergeCells count="27">
    <mergeCell ref="A45:C45"/>
    <mergeCell ref="D45:I45"/>
    <mergeCell ref="A49:F49"/>
    <mergeCell ref="A50:D50"/>
    <mergeCell ref="E50:E51"/>
    <mergeCell ref="F50:F51"/>
    <mergeCell ref="A44:C44"/>
    <mergeCell ref="D44:I44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41:I41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3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3">
    <pageSetUpPr fitToPage="1"/>
  </sheetPr>
  <dimension ref="A1:I40"/>
  <sheetViews>
    <sheetView showGridLines="0" workbookViewId="0">
      <pane ySplit="11" topLeftCell="A12" activePane="bottomLeft" state="frozen"/>
      <selection activeCell="A10" sqref="A10:I10"/>
      <selection pane="bottomLeft" activeCell="A10" sqref="A10:I10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3.28515625" style="7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212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14" t="s">
        <v>231</v>
      </c>
    </row>
    <row r="7" spans="1:6" ht="15" customHeight="1" thickBot="1" x14ac:dyDescent="0.3">
      <c r="A7" s="268" t="s">
        <v>232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233</v>
      </c>
      <c r="B8" s="297"/>
      <c r="C8" s="297"/>
      <c r="D8" s="297"/>
      <c r="E8" s="297"/>
      <c r="F8" s="298"/>
    </row>
    <row r="9" spans="1:6" ht="13.5" customHeight="1" x14ac:dyDescent="0.25">
      <c r="A9" s="60" t="s">
        <v>230</v>
      </c>
      <c r="B9" s="270" t="s">
        <v>234</v>
      </c>
      <c r="C9" s="270"/>
      <c r="D9" s="270"/>
      <c r="E9" s="271" t="s">
        <v>1004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 t="s">
        <v>20</v>
      </c>
      <c r="B12" s="300"/>
      <c r="C12" s="101">
        <v>4</v>
      </c>
      <c r="D12" s="103">
        <v>208</v>
      </c>
      <c r="E12" s="11">
        <v>29</v>
      </c>
      <c r="F12" s="109">
        <f t="shared" ref="F12:F17" si="0">D12/30*C12*E12</f>
        <v>804.26666666666665</v>
      </c>
    </row>
    <row r="13" spans="1:6" ht="13.5" customHeight="1" x14ac:dyDescent="0.2">
      <c r="A13" s="299" t="s">
        <v>21</v>
      </c>
      <c r="B13" s="300"/>
      <c r="C13" s="155">
        <v>10</v>
      </c>
      <c r="D13" s="104">
        <v>57</v>
      </c>
      <c r="E13" s="82">
        <v>29</v>
      </c>
      <c r="F13" s="109">
        <f t="shared" si="0"/>
        <v>551</v>
      </c>
    </row>
    <row r="14" spans="1:6" ht="13.5" customHeight="1" x14ac:dyDescent="0.2">
      <c r="A14" s="175"/>
      <c r="B14" s="176"/>
      <c r="C14" s="155"/>
      <c r="D14" s="104"/>
      <c r="E14" s="82"/>
      <c r="F14" s="109">
        <f t="shared" si="0"/>
        <v>0</v>
      </c>
    </row>
    <row r="15" spans="1:6" ht="13.5" customHeight="1" x14ac:dyDescent="0.2">
      <c r="A15" s="175"/>
      <c r="B15" s="176"/>
      <c r="C15" s="155"/>
      <c r="D15" s="104"/>
      <c r="E15" s="82"/>
      <c r="F15" s="109">
        <f t="shared" si="0"/>
        <v>0</v>
      </c>
    </row>
    <row r="16" spans="1:6" ht="13.5" customHeight="1" x14ac:dyDescent="0.2">
      <c r="A16" s="175"/>
      <c r="B16" s="176"/>
      <c r="C16" s="155"/>
      <c r="D16" s="104"/>
      <c r="E16" s="82"/>
      <c r="F16" s="109">
        <f t="shared" si="0"/>
        <v>0</v>
      </c>
    </row>
    <row r="17" spans="1:6" ht="13.5" customHeight="1" x14ac:dyDescent="0.2">
      <c r="A17" s="175"/>
      <c r="B17" s="176"/>
      <c r="C17" s="155"/>
      <c r="D17" s="104"/>
      <c r="E17" s="82"/>
      <c r="F17" s="109">
        <f t="shared" si="0"/>
        <v>0</v>
      </c>
    </row>
    <row r="18" spans="1:6" ht="13.5" customHeight="1" x14ac:dyDescent="0.2">
      <c r="A18" s="313"/>
      <c r="B18" s="321"/>
      <c r="C18" s="102"/>
      <c r="D18" s="104"/>
      <c r="E18" s="82"/>
      <c r="F18" s="109">
        <f t="shared" ref="F18" si="1">D18/30*C18*E18</f>
        <v>0</v>
      </c>
    </row>
    <row r="19" spans="1:6" ht="13.5" customHeight="1" x14ac:dyDescent="0.25">
      <c r="A19" s="271" t="s">
        <v>765</v>
      </c>
      <c r="B19" s="273"/>
      <c r="C19" s="58">
        <f>SUM(C12:C18)</f>
        <v>14</v>
      </c>
      <c r="D19" s="57"/>
      <c r="E19" s="57"/>
      <c r="F19" s="73">
        <f>SUM(F12:F18)</f>
        <v>1355.2666666666667</v>
      </c>
    </row>
    <row r="20" spans="1:6" ht="13.5" customHeight="1" x14ac:dyDescent="0.25">
      <c r="A20" s="105"/>
      <c r="B20" s="105"/>
      <c r="C20" s="105"/>
      <c r="D20" s="106"/>
      <c r="E20" s="107"/>
      <c r="F20" s="108"/>
    </row>
    <row r="21" spans="1:6" ht="13.5" customHeight="1" x14ac:dyDescent="0.25">
      <c r="D21" s="250"/>
      <c r="E21" s="9"/>
      <c r="F21" s="251"/>
    </row>
    <row r="22" spans="1:6" ht="13.5" customHeight="1" x14ac:dyDescent="0.25">
      <c r="D22" s="250"/>
      <c r="E22" s="9"/>
      <c r="F22" s="251"/>
    </row>
    <row r="23" spans="1:6" ht="13.5" customHeight="1" x14ac:dyDescent="0.25">
      <c r="D23" s="250"/>
      <c r="E23" s="9"/>
      <c r="F23" s="251"/>
    </row>
    <row r="24" spans="1:6" ht="13.5" customHeight="1" x14ac:dyDescent="0.25">
      <c r="D24" s="250"/>
      <c r="E24" s="9"/>
      <c r="F24" s="251"/>
    </row>
    <row r="25" spans="1:6" ht="13.5" customHeight="1" x14ac:dyDescent="0.25">
      <c r="D25" s="250"/>
      <c r="E25" s="9"/>
      <c r="F25" s="251"/>
    </row>
    <row r="26" spans="1:6" ht="13.5" customHeight="1" x14ac:dyDescent="0.25">
      <c r="D26" s="250"/>
      <c r="E26" s="9"/>
      <c r="F26" s="251"/>
    </row>
    <row r="27" spans="1:6" ht="13.5" customHeight="1" x14ac:dyDescent="0.25">
      <c r="D27" s="250"/>
      <c r="E27" s="9"/>
      <c r="F27" s="251"/>
    </row>
    <row r="28" spans="1:6" ht="13.5" customHeight="1" x14ac:dyDescent="0.25">
      <c r="D28" s="250"/>
      <c r="E28" s="9"/>
      <c r="F28" s="251"/>
    </row>
    <row r="29" spans="1:6" ht="13.5" customHeight="1" x14ac:dyDescent="0.25">
      <c r="D29" s="250"/>
      <c r="E29" s="9"/>
      <c r="F29" s="251"/>
    </row>
    <row r="30" spans="1:6" ht="13.5" customHeight="1" x14ac:dyDescent="0.25">
      <c r="D30" s="250"/>
      <c r="E30" s="9"/>
      <c r="F30" s="251"/>
    </row>
    <row r="31" spans="1:6" ht="13.5" customHeight="1" x14ac:dyDescent="0.25">
      <c r="D31" s="250"/>
      <c r="E31" s="9"/>
      <c r="F31" s="251"/>
    </row>
    <row r="32" spans="1:6" ht="13.5" customHeight="1" x14ac:dyDescent="0.25">
      <c r="D32" s="250"/>
      <c r="E32" s="9"/>
      <c r="F32" s="251"/>
    </row>
    <row r="33" spans="1:9" ht="13.5" customHeight="1" x14ac:dyDescent="0.25">
      <c r="D33" s="250"/>
      <c r="E33" s="9"/>
      <c r="F33" s="251"/>
    </row>
    <row r="34" spans="1:9" ht="13.5" customHeight="1" x14ac:dyDescent="0.25">
      <c r="D34" s="250"/>
      <c r="E34" s="9"/>
      <c r="F34" s="251"/>
    </row>
    <row r="36" spans="1:9" ht="13.5" customHeight="1" x14ac:dyDescent="0.25">
      <c r="A36" s="289" t="s">
        <v>124</v>
      </c>
      <c r="B36" s="289"/>
      <c r="C36" s="289"/>
      <c r="D36" s="289"/>
      <c r="E36" s="289"/>
      <c r="F36" s="289"/>
      <c r="G36" s="74"/>
      <c r="H36" s="74"/>
      <c r="I36" s="74"/>
    </row>
    <row r="38" spans="1:9" ht="13.5" customHeight="1" x14ac:dyDescent="0.2">
      <c r="A38" s="27" t="s">
        <v>125</v>
      </c>
      <c r="B38" s="27"/>
      <c r="F38" s="110"/>
      <c r="G38" s="10"/>
      <c r="I38" s="111"/>
    </row>
    <row r="39" spans="1:9" ht="60" customHeight="1" x14ac:dyDescent="0.25">
      <c r="A39" s="291"/>
      <c r="B39" s="275"/>
      <c r="C39" s="292"/>
      <c r="D39" s="290"/>
      <c r="E39" s="290"/>
      <c r="F39" s="290"/>
    </row>
    <row r="40" spans="1:9" ht="13.5" customHeight="1" x14ac:dyDescent="0.25">
      <c r="A40" s="274" t="s">
        <v>126</v>
      </c>
      <c r="B40" s="274"/>
      <c r="C40" s="274"/>
      <c r="D40" s="75"/>
      <c r="E40" s="75" t="s">
        <v>127</v>
      </c>
      <c r="F40" s="75"/>
      <c r="G40" s="27"/>
      <c r="H40" s="27"/>
      <c r="I40" s="27"/>
    </row>
  </sheetData>
  <mergeCells count="19"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  <mergeCell ref="A13:B13"/>
    <mergeCell ref="A40:C40"/>
    <mergeCell ref="A18:B18"/>
    <mergeCell ref="A19:B19"/>
    <mergeCell ref="A36:F36"/>
    <mergeCell ref="A39:C39"/>
    <mergeCell ref="D39:F39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9" orientation="portrait" r:id="rId1"/>
  <headerFooter alignWithMargins="0">
    <oddFooter>&amp;L&amp;F/&amp;A&amp;C&amp;D&amp;R&amp;P/&amp;N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4"/>
  <dimension ref="A1:O230"/>
  <sheetViews>
    <sheetView showGridLines="0" workbookViewId="0">
      <pane ySplit="13" topLeftCell="A187" activePane="bottomLeft" state="frozen"/>
      <selection activeCell="N190" sqref="N190"/>
      <selection pane="bottomLeft" activeCell="N190" sqref="N190"/>
    </sheetView>
  </sheetViews>
  <sheetFormatPr defaultRowHeight="13.5" customHeight="1" x14ac:dyDescent="0.25"/>
  <cols>
    <col min="1" max="1" width="40.140625" style="7" bestFit="1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38.7109375" style="15" bestFit="1" customWidth="1"/>
    <col min="11" max="11" width="10.425781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680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194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196</v>
      </c>
      <c r="B9" s="270"/>
      <c r="C9" s="271" t="s">
        <v>195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45572</v>
      </c>
      <c r="C15" s="177">
        <v>16165</v>
      </c>
      <c r="D15" s="20">
        <v>45658</v>
      </c>
      <c r="E15" s="20">
        <v>45687</v>
      </c>
      <c r="F15" s="11">
        <f>(E15-D15)+1</f>
        <v>30</v>
      </c>
      <c r="G15" s="154">
        <v>235</v>
      </c>
      <c r="H15" s="13">
        <v>1</v>
      </c>
      <c r="I15" s="19">
        <f>G15/30*H15*F15</f>
        <v>235</v>
      </c>
      <c r="J15" s="32" t="s">
        <v>252</v>
      </c>
      <c r="K15" s="13">
        <v>70170</v>
      </c>
    </row>
    <row r="16" spans="1:11" ht="13.5" customHeight="1" x14ac:dyDescent="0.2">
      <c r="A16" s="2" t="s">
        <v>23</v>
      </c>
      <c r="B16" s="76">
        <v>45566</v>
      </c>
      <c r="C16" s="177">
        <v>14681</v>
      </c>
      <c r="D16" s="20">
        <v>45658</v>
      </c>
      <c r="E16" s="20">
        <v>45687</v>
      </c>
      <c r="F16" s="11">
        <f t="shared" ref="F16:F17" si="0">(E16-D16)+1</f>
        <v>30</v>
      </c>
      <c r="G16" s="12">
        <v>235</v>
      </c>
      <c r="H16" s="13">
        <v>1</v>
      </c>
      <c r="I16" s="19">
        <f t="shared" ref="I16:I26" si="1">G16/30*H16*F16</f>
        <v>235</v>
      </c>
      <c r="J16" s="32" t="s">
        <v>253</v>
      </c>
      <c r="K16" s="13">
        <v>68817</v>
      </c>
    </row>
    <row r="17" spans="1:15" ht="13.5" customHeight="1" x14ac:dyDescent="0.2">
      <c r="A17" s="2" t="s">
        <v>23</v>
      </c>
      <c r="B17" s="76">
        <v>45566</v>
      </c>
      <c r="C17" s="177">
        <v>14163</v>
      </c>
      <c r="D17" s="20">
        <v>45658</v>
      </c>
      <c r="E17" s="20">
        <v>45687</v>
      </c>
      <c r="F17" s="11">
        <f t="shared" si="0"/>
        <v>30</v>
      </c>
      <c r="G17" s="12">
        <v>235</v>
      </c>
      <c r="H17" s="13">
        <v>1</v>
      </c>
      <c r="I17" s="19">
        <f t="shared" si="1"/>
        <v>235</v>
      </c>
      <c r="J17" s="32" t="s">
        <v>583</v>
      </c>
      <c r="K17" s="13">
        <v>68817</v>
      </c>
      <c r="O17" s="165"/>
    </row>
    <row r="18" spans="1:15" ht="13.5" customHeight="1" x14ac:dyDescent="0.2">
      <c r="A18" s="2" t="s">
        <v>23</v>
      </c>
      <c r="B18" s="76">
        <v>45524</v>
      </c>
      <c r="C18" s="55">
        <v>14097</v>
      </c>
      <c r="D18" s="20">
        <v>45658</v>
      </c>
      <c r="E18" s="20">
        <v>45687</v>
      </c>
      <c r="F18" s="11">
        <f>(E18-D18)+1</f>
        <v>30</v>
      </c>
      <c r="G18" s="12">
        <v>235</v>
      </c>
      <c r="H18" s="13">
        <v>1</v>
      </c>
      <c r="I18" s="19">
        <f t="shared" si="1"/>
        <v>235</v>
      </c>
      <c r="J18" s="32" t="s">
        <v>201</v>
      </c>
      <c r="K18" s="13">
        <v>66830</v>
      </c>
    </row>
    <row r="19" spans="1:15" ht="13.5" customHeight="1" x14ac:dyDescent="0.2">
      <c r="A19" s="2" t="s">
        <v>24</v>
      </c>
      <c r="B19" s="76">
        <v>45602</v>
      </c>
      <c r="C19" s="55">
        <v>16509</v>
      </c>
      <c r="D19" s="20">
        <v>45658</v>
      </c>
      <c r="E19" s="20">
        <v>45687</v>
      </c>
      <c r="F19" s="11">
        <f>(E19-D19)+1</f>
        <v>30</v>
      </c>
      <c r="G19" s="12">
        <v>238</v>
      </c>
      <c r="H19" s="13">
        <v>1</v>
      </c>
      <c r="I19" s="19">
        <f t="shared" si="1"/>
        <v>238</v>
      </c>
      <c r="J19" s="32" t="s">
        <v>364</v>
      </c>
      <c r="K19" s="13">
        <v>70957</v>
      </c>
    </row>
    <row r="20" spans="1:15" ht="13.5" customHeight="1" x14ac:dyDescent="0.2">
      <c r="A20" s="2" t="s">
        <v>24</v>
      </c>
      <c r="B20" s="76">
        <v>45512</v>
      </c>
      <c r="C20" s="163">
        <v>13666</v>
      </c>
      <c r="D20" s="20">
        <v>45658</v>
      </c>
      <c r="E20" s="20">
        <v>45687</v>
      </c>
      <c r="F20" s="11">
        <f t="shared" ref="F20:F25" si="2">(E20-D20)+1</f>
        <v>30</v>
      </c>
      <c r="G20" s="12">
        <v>238</v>
      </c>
      <c r="H20" s="13">
        <v>1</v>
      </c>
      <c r="I20" s="19">
        <f t="shared" si="1"/>
        <v>238</v>
      </c>
      <c r="J20" s="32" t="s">
        <v>200</v>
      </c>
      <c r="K20" s="13">
        <v>65462</v>
      </c>
    </row>
    <row r="21" spans="1:15" ht="13.5" customHeight="1" x14ac:dyDescent="0.2">
      <c r="A21" s="2" t="s">
        <v>32</v>
      </c>
      <c r="B21" s="76">
        <v>45566</v>
      </c>
      <c r="C21" s="177">
        <v>1777</v>
      </c>
      <c r="D21" s="20">
        <v>45658</v>
      </c>
      <c r="E21" s="20">
        <v>45687</v>
      </c>
      <c r="F21" s="11">
        <f t="shared" si="2"/>
        <v>30</v>
      </c>
      <c r="G21" s="12">
        <v>447</v>
      </c>
      <c r="H21" s="13">
        <v>1</v>
      </c>
      <c r="I21" s="19">
        <f t="shared" si="1"/>
        <v>447</v>
      </c>
      <c r="J21" s="32" t="s">
        <v>367</v>
      </c>
      <c r="K21" s="13">
        <v>68817</v>
      </c>
    </row>
    <row r="22" spans="1:15" ht="13.5" customHeight="1" x14ac:dyDescent="0.2">
      <c r="A22" s="2" t="s">
        <v>32</v>
      </c>
      <c r="B22" s="221">
        <v>45566</v>
      </c>
      <c r="C22" s="102">
        <v>1282</v>
      </c>
      <c r="D22" s="20">
        <v>45658</v>
      </c>
      <c r="E22" s="20">
        <v>45687</v>
      </c>
      <c r="F22" s="11">
        <f t="shared" si="2"/>
        <v>30</v>
      </c>
      <c r="G22" s="12">
        <v>447</v>
      </c>
      <c r="H22" s="13">
        <v>1</v>
      </c>
      <c r="I22" s="19">
        <f t="shared" si="1"/>
        <v>447</v>
      </c>
      <c r="J22" s="32" t="s">
        <v>367</v>
      </c>
      <c r="K22" s="13">
        <v>68817</v>
      </c>
    </row>
    <row r="23" spans="1:15" ht="13.5" customHeight="1" x14ac:dyDescent="0.2">
      <c r="A23" s="2" t="s">
        <v>33</v>
      </c>
      <c r="B23" s="221">
        <v>45572</v>
      </c>
      <c r="C23" s="177">
        <v>16029</v>
      </c>
      <c r="D23" s="20">
        <v>45658</v>
      </c>
      <c r="E23" s="20">
        <v>45687</v>
      </c>
      <c r="F23" s="11">
        <f t="shared" si="2"/>
        <v>30</v>
      </c>
      <c r="G23" s="12">
        <v>597</v>
      </c>
      <c r="H23" s="13">
        <v>1</v>
      </c>
      <c r="I23" s="19">
        <v>497</v>
      </c>
      <c r="J23" s="32" t="s">
        <v>364</v>
      </c>
      <c r="K23" s="13">
        <v>68823</v>
      </c>
      <c r="L23" s="7" t="s">
        <v>853</v>
      </c>
    </row>
    <row r="24" spans="1:15" ht="13.5" customHeight="1" x14ac:dyDescent="0.2">
      <c r="A24" s="2" t="s">
        <v>34</v>
      </c>
      <c r="B24" s="221">
        <v>45572</v>
      </c>
      <c r="C24" s="177">
        <v>16026</v>
      </c>
      <c r="D24" s="20">
        <v>45658</v>
      </c>
      <c r="E24" s="20">
        <v>45687</v>
      </c>
      <c r="F24" s="11">
        <f t="shared" si="2"/>
        <v>30</v>
      </c>
      <c r="G24" s="12">
        <v>597</v>
      </c>
      <c r="H24" s="13">
        <v>1</v>
      </c>
      <c r="I24" s="19">
        <f t="shared" si="1"/>
        <v>597</v>
      </c>
      <c r="J24" s="32" t="s">
        <v>364</v>
      </c>
      <c r="K24" s="13">
        <v>68823</v>
      </c>
    </row>
    <row r="25" spans="1:15" ht="13.5" customHeight="1" x14ac:dyDescent="0.2">
      <c r="A25" s="2" t="s">
        <v>34</v>
      </c>
      <c r="B25" s="221">
        <v>45572</v>
      </c>
      <c r="C25" s="177">
        <v>16028</v>
      </c>
      <c r="D25" s="20">
        <v>45658</v>
      </c>
      <c r="E25" s="20">
        <v>45687</v>
      </c>
      <c r="F25" s="11">
        <f t="shared" si="2"/>
        <v>30</v>
      </c>
      <c r="G25" s="12">
        <v>597</v>
      </c>
      <c r="H25" s="13">
        <v>1</v>
      </c>
      <c r="I25" s="19">
        <f t="shared" si="1"/>
        <v>597</v>
      </c>
      <c r="J25" s="32" t="s">
        <v>364</v>
      </c>
      <c r="K25" s="13">
        <v>68823</v>
      </c>
    </row>
    <row r="26" spans="1:15" ht="13.5" customHeight="1" x14ac:dyDescent="0.25">
      <c r="A26" s="14"/>
      <c r="B26" s="20"/>
      <c r="C26" s="13"/>
      <c r="D26" s="20"/>
      <c r="E26" s="20"/>
      <c r="F26" s="11"/>
      <c r="G26" s="12"/>
      <c r="H26" s="13"/>
      <c r="I26" s="19">
        <f t="shared" si="1"/>
        <v>0</v>
      </c>
      <c r="J26" s="32"/>
      <c r="K26" s="13"/>
    </row>
    <row r="27" spans="1:15" ht="13.5" customHeight="1" x14ac:dyDescent="0.25">
      <c r="A27" s="21" t="s">
        <v>228</v>
      </c>
      <c r="B27" s="26"/>
      <c r="C27" s="26"/>
      <c r="D27" s="23"/>
      <c r="E27" s="23"/>
      <c r="F27" s="24"/>
      <c r="G27" s="23"/>
      <c r="H27" s="22">
        <f>SUM(H15:H26)</f>
        <v>11</v>
      </c>
      <c r="I27" s="112">
        <f>SUM(I15:I26)</f>
        <v>4001</v>
      </c>
      <c r="J27" s="33"/>
      <c r="K27" s="116"/>
    </row>
    <row r="28" spans="1:15" ht="13.5" customHeight="1" x14ac:dyDescent="0.25">
      <c r="A28" s="322"/>
      <c r="B28" s="323"/>
      <c r="C28" s="323"/>
      <c r="D28" s="323"/>
      <c r="E28" s="323"/>
      <c r="F28" s="323"/>
      <c r="G28" s="323"/>
      <c r="H28" s="323"/>
      <c r="I28" s="323"/>
      <c r="J28" s="323"/>
      <c r="K28" s="323"/>
    </row>
    <row r="29" spans="1:15" ht="13.5" customHeight="1" x14ac:dyDescent="0.2">
      <c r="A29" s="2" t="s">
        <v>23</v>
      </c>
      <c r="B29" s="76">
        <v>45560</v>
      </c>
      <c r="C29" s="55">
        <v>14682</v>
      </c>
      <c r="D29" s="20">
        <v>45658</v>
      </c>
      <c r="E29" s="20">
        <v>45687</v>
      </c>
      <c r="F29" s="11">
        <f t="shared" ref="F29:F36" si="3">(E29-D29)+1</f>
        <v>30</v>
      </c>
      <c r="G29" s="12">
        <v>235</v>
      </c>
      <c r="H29" s="13">
        <v>1</v>
      </c>
      <c r="I29" s="19">
        <f>G29/30*H29*F29</f>
        <v>235</v>
      </c>
      <c r="J29" s="32" t="s">
        <v>354</v>
      </c>
      <c r="K29" s="13">
        <v>68803</v>
      </c>
    </row>
    <row r="30" spans="1:15" ht="13.5" customHeight="1" x14ac:dyDescent="0.2">
      <c r="A30" s="2" t="s">
        <v>23</v>
      </c>
      <c r="B30" s="76">
        <v>45560</v>
      </c>
      <c r="C30" s="55">
        <v>14635</v>
      </c>
      <c r="D30" s="20">
        <v>45658</v>
      </c>
      <c r="E30" s="20">
        <v>45687</v>
      </c>
      <c r="F30" s="11">
        <f t="shared" si="3"/>
        <v>30</v>
      </c>
      <c r="G30" s="12">
        <v>235</v>
      </c>
      <c r="H30" s="13">
        <v>1</v>
      </c>
      <c r="I30" s="19">
        <f t="shared" ref="I30:I42" si="4">G30/30*H30*F30</f>
        <v>235</v>
      </c>
      <c r="J30" s="32" t="s">
        <v>355</v>
      </c>
      <c r="K30" s="13">
        <v>68803</v>
      </c>
    </row>
    <row r="31" spans="1:15" ht="13.5" customHeight="1" x14ac:dyDescent="0.2">
      <c r="A31" s="2" t="s">
        <v>23</v>
      </c>
      <c r="B31" s="76">
        <v>45560</v>
      </c>
      <c r="C31" s="163" t="s">
        <v>357</v>
      </c>
      <c r="D31" s="20">
        <v>45658</v>
      </c>
      <c r="E31" s="20">
        <v>45687</v>
      </c>
      <c r="F31" s="11">
        <f t="shared" si="3"/>
        <v>30</v>
      </c>
      <c r="G31" s="12">
        <v>235</v>
      </c>
      <c r="H31" s="13">
        <v>1</v>
      </c>
      <c r="I31" s="19">
        <f t="shared" si="4"/>
        <v>235</v>
      </c>
      <c r="J31" s="32" t="s">
        <v>356</v>
      </c>
      <c r="K31" s="13">
        <v>68803</v>
      </c>
    </row>
    <row r="32" spans="1:15" ht="13.5" customHeight="1" x14ac:dyDescent="0.2">
      <c r="A32" s="2" t="s">
        <v>23</v>
      </c>
      <c r="B32" s="76">
        <v>45561</v>
      </c>
      <c r="C32" s="55">
        <v>14620</v>
      </c>
      <c r="D32" s="20">
        <v>45658</v>
      </c>
      <c r="E32" s="20">
        <v>45687</v>
      </c>
      <c r="F32" s="11">
        <f t="shared" si="3"/>
        <v>30</v>
      </c>
      <c r="G32" s="12">
        <v>235</v>
      </c>
      <c r="H32" s="13">
        <v>1</v>
      </c>
      <c r="I32" s="19">
        <f t="shared" si="4"/>
        <v>235</v>
      </c>
      <c r="J32" s="32" t="s">
        <v>198</v>
      </c>
      <c r="K32" s="13">
        <v>68803</v>
      </c>
    </row>
    <row r="33" spans="1:14" ht="13.5" customHeight="1" x14ac:dyDescent="0.2">
      <c r="A33" s="2" t="s">
        <v>23</v>
      </c>
      <c r="B33" s="76">
        <v>45561</v>
      </c>
      <c r="C33" s="163" t="s">
        <v>358</v>
      </c>
      <c r="D33" s="20">
        <v>45658</v>
      </c>
      <c r="E33" s="20">
        <v>45687</v>
      </c>
      <c r="F33" s="11">
        <f t="shared" si="3"/>
        <v>30</v>
      </c>
      <c r="G33" s="12">
        <v>235</v>
      </c>
      <c r="H33" s="13">
        <v>1</v>
      </c>
      <c r="I33" s="19">
        <f t="shared" si="4"/>
        <v>235</v>
      </c>
      <c r="J33" s="32" t="s">
        <v>198</v>
      </c>
      <c r="K33" s="13">
        <v>68803</v>
      </c>
    </row>
    <row r="34" spans="1:14" ht="13.5" customHeight="1" x14ac:dyDescent="0.2">
      <c r="A34" s="2" t="s">
        <v>24</v>
      </c>
      <c r="B34" s="76">
        <v>45601</v>
      </c>
      <c r="C34" s="163" t="s">
        <v>827</v>
      </c>
      <c r="D34" s="20">
        <v>45658</v>
      </c>
      <c r="E34" s="20">
        <v>45687</v>
      </c>
      <c r="F34" s="11">
        <f t="shared" si="3"/>
        <v>30</v>
      </c>
      <c r="G34" s="12">
        <v>238</v>
      </c>
      <c r="H34" s="13">
        <v>1</v>
      </c>
      <c r="I34" s="19">
        <f t="shared" si="4"/>
        <v>238</v>
      </c>
      <c r="J34" s="32" t="s">
        <v>103</v>
      </c>
      <c r="K34" s="13">
        <v>70955</v>
      </c>
    </row>
    <row r="35" spans="1:14" ht="13.5" customHeight="1" x14ac:dyDescent="0.2">
      <c r="A35" s="2" t="s">
        <v>27</v>
      </c>
      <c r="B35" s="76">
        <v>45561</v>
      </c>
      <c r="C35" s="163" t="s">
        <v>359</v>
      </c>
      <c r="D35" s="20">
        <v>45658</v>
      </c>
      <c r="E35" s="20">
        <v>45687</v>
      </c>
      <c r="F35" s="11">
        <f t="shared" si="3"/>
        <v>30</v>
      </c>
      <c r="G35" s="12">
        <v>347</v>
      </c>
      <c r="H35" s="13">
        <v>1</v>
      </c>
      <c r="I35" s="19">
        <f t="shared" si="4"/>
        <v>347</v>
      </c>
      <c r="J35" s="32" t="s">
        <v>323</v>
      </c>
      <c r="K35" s="13">
        <v>69055</v>
      </c>
    </row>
    <row r="36" spans="1:14" ht="13.5" customHeight="1" x14ac:dyDescent="0.2">
      <c r="A36" s="2" t="s">
        <v>32</v>
      </c>
      <c r="B36" s="76">
        <v>45561</v>
      </c>
      <c r="C36" s="163" t="s">
        <v>360</v>
      </c>
      <c r="D36" s="20">
        <v>45658</v>
      </c>
      <c r="E36" s="20">
        <v>45687</v>
      </c>
      <c r="F36" s="11">
        <f t="shared" si="3"/>
        <v>30</v>
      </c>
      <c r="G36" s="12">
        <v>447</v>
      </c>
      <c r="H36" s="13">
        <v>1</v>
      </c>
      <c r="I36" s="19">
        <f t="shared" si="4"/>
        <v>447</v>
      </c>
      <c r="J36" s="32" t="s">
        <v>361</v>
      </c>
      <c r="K36" s="13">
        <v>69055</v>
      </c>
    </row>
    <row r="37" spans="1:14" ht="13.5" customHeight="1" x14ac:dyDescent="0.2">
      <c r="A37" s="2" t="s">
        <v>32</v>
      </c>
      <c r="B37" s="76">
        <v>45562</v>
      </c>
      <c r="C37" s="163" t="s">
        <v>365</v>
      </c>
      <c r="D37" s="20">
        <v>45658</v>
      </c>
      <c r="E37" s="20">
        <v>45687</v>
      </c>
      <c r="F37" s="11">
        <f t="shared" ref="F37:F39" si="5">(E37-D37)+1</f>
        <v>30</v>
      </c>
      <c r="G37" s="12">
        <v>447</v>
      </c>
      <c r="H37" s="13">
        <v>1</v>
      </c>
      <c r="I37" s="19">
        <f t="shared" si="4"/>
        <v>447</v>
      </c>
      <c r="J37" s="32" t="s">
        <v>367</v>
      </c>
      <c r="K37" s="13">
        <v>68833</v>
      </c>
      <c r="N37" s="165"/>
    </row>
    <row r="38" spans="1:14" ht="13.5" customHeight="1" x14ac:dyDescent="0.2">
      <c r="A38" s="2" t="s">
        <v>32</v>
      </c>
      <c r="B38" s="76">
        <v>45562</v>
      </c>
      <c r="C38" s="163" t="s">
        <v>366</v>
      </c>
      <c r="D38" s="20">
        <v>45658</v>
      </c>
      <c r="E38" s="20">
        <v>45687</v>
      </c>
      <c r="F38" s="11">
        <f t="shared" si="5"/>
        <v>30</v>
      </c>
      <c r="G38" s="12">
        <v>447</v>
      </c>
      <c r="H38" s="13">
        <v>1</v>
      </c>
      <c r="I38" s="19">
        <f t="shared" si="4"/>
        <v>447</v>
      </c>
      <c r="J38" s="32" t="s">
        <v>367</v>
      </c>
      <c r="K38" s="13">
        <v>68833</v>
      </c>
    </row>
    <row r="39" spans="1:14" ht="13.5" customHeight="1" x14ac:dyDescent="0.2">
      <c r="A39" s="2" t="s">
        <v>32</v>
      </c>
      <c r="B39" s="76">
        <v>45670</v>
      </c>
      <c r="C39" s="263" t="s">
        <v>1042</v>
      </c>
      <c r="D39" s="20">
        <v>45670</v>
      </c>
      <c r="E39" s="20">
        <v>45687</v>
      </c>
      <c r="F39" s="11">
        <f t="shared" si="5"/>
        <v>18</v>
      </c>
      <c r="G39" s="12">
        <v>447</v>
      </c>
      <c r="H39" s="13">
        <v>1</v>
      </c>
      <c r="I39" s="19">
        <f t="shared" si="4"/>
        <v>268.2</v>
      </c>
      <c r="J39" s="32" t="s">
        <v>364</v>
      </c>
      <c r="K39" s="13">
        <v>73534</v>
      </c>
    </row>
    <row r="40" spans="1:14" ht="13.5" customHeight="1" x14ac:dyDescent="0.2">
      <c r="A40" s="2" t="s">
        <v>34</v>
      </c>
      <c r="B40" s="76">
        <v>45560</v>
      </c>
      <c r="C40" s="163" t="s">
        <v>362</v>
      </c>
      <c r="D40" s="20">
        <v>45658</v>
      </c>
      <c r="E40" s="20">
        <v>45687</v>
      </c>
      <c r="F40" s="11">
        <f t="shared" ref="F40:F41" si="6">(E40-D40)+1</f>
        <v>30</v>
      </c>
      <c r="G40" s="12">
        <v>597</v>
      </c>
      <c r="H40" s="13">
        <v>1</v>
      </c>
      <c r="I40" s="19">
        <f t="shared" si="4"/>
        <v>597</v>
      </c>
      <c r="J40" s="32" t="s">
        <v>364</v>
      </c>
      <c r="K40" s="13">
        <v>53012</v>
      </c>
    </row>
    <row r="41" spans="1:14" ht="13.5" customHeight="1" x14ac:dyDescent="0.2">
      <c r="A41" s="2" t="s">
        <v>34</v>
      </c>
      <c r="B41" s="76">
        <v>45560</v>
      </c>
      <c r="C41" s="163" t="s">
        <v>363</v>
      </c>
      <c r="D41" s="20">
        <v>45658</v>
      </c>
      <c r="E41" s="20">
        <v>45687</v>
      </c>
      <c r="F41" s="11">
        <f t="shared" si="6"/>
        <v>30</v>
      </c>
      <c r="G41" s="12">
        <v>597</v>
      </c>
      <c r="H41" s="13">
        <v>1</v>
      </c>
      <c r="I41" s="19">
        <f t="shared" si="4"/>
        <v>597</v>
      </c>
      <c r="J41" s="32" t="s">
        <v>364</v>
      </c>
      <c r="K41" s="13">
        <v>53012</v>
      </c>
      <c r="M41" s="165"/>
    </row>
    <row r="42" spans="1:14" ht="13.5" customHeight="1" x14ac:dyDescent="0.25">
      <c r="A42" s="14"/>
      <c r="B42" s="20"/>
      <c r="C42" s="13"/>
      <c r="D42" s="20"/>
      <c r="E42" s="20"/>
      <c r="F42" s="11"/>
      <c r="G42" s="12"/>
      <c r="H42" s="13"/>
      <c r="I42" s="19">
        <f t="shared" si="4"/>
        <v>0</v>
      </c>
      <c r="J42" s="32"/>
      <c r="K42" s="13"/>
    </row>
    <row r="43" spans="1:14" ht="13.5" customHeight="1" x14ac:dyDescent="0.25">
      <c r="A43" s="21" t="s">
        <v>353</v>
      </c>
      <c r="B43" s="26"/>
      <c r="C43" s="26"/>
      <c r="D43" s="23"/>
      <c r="E43" s="23"/>
      <c r="F43" s="24"/>
      <c r="G43" s="23"/>
      <c r="H43" s="22">
        <f>SUM(H29:H42)</f>
        <v>13</v>
      </c>
      <c r="I43" s="112">
        <f>SUM(I29:I42)</f>
        <v>4563.2</v>
      </c>
      <c r="J43" s="33"/>
      <c r="K43" s="116"/>
    </row>
    <row r="44" spans="1:14" ht="13.5" customHeight="1" x14ac:dyDescent="0.25">
      <c r="A44" s="156"/>
      <c r="B44" s="157"/>
      <c r="C44" s="157"/>
      <c r="D44" s="158"/>
      <c r="E44" s="158"/>
      <c r="F44" s="159"/>
      <c r="G44" s="158"/>
      <c r="H44" s="157"/>
      <c r="I44" s="160"/>
      <c r="J44" s="161"/>
      <c r="K44" s="162"/>
    </row>
    <row r="45" spans="1:14" ht="13.5" customHeight="1" x14ac:dyDescent="0.2">
      <c r="A45" s="2" t="s">
        <v>23</v>
      </c>
      <c r="B45" s="76">
        <v>45617</v>
      </c>
      <c r="C45" s="173">
        <v>16149</v>
      </c>
      <c r="D45" s="20">
        <v>45658</v>
      </c>
      <c r="E45" s="20">
        <v>45687</v>
      </c>
      <c r="F45" s="11">
        <f t="shared" ref="F45:F47" si="7">(E45-D45)+1</f>
        <v>30</v>
      </c>
      <c r="G45" s="12">
        <v>235</v>
      </c>
      <c r="H45" s="170">
        <v>1</v>
      </c>
      <c r="I45" s="19">
        <f t="shared" ref="I45:I47" si="8">G45/30*H45*F45</f>
        <v>235</v>
      </c>
      <c r="J45" s="172" t="s">
        <v>814</v>
      </c>
      <c r="K45" s="170">
        <v>71630</v>
      </c>
    </row>
    <row r="46" spans="1:14" ht="13.5" customHeight="1" x14ac:dyDescent="0.2">
      <c r="A46" s="2" t="s">
        <v>23</v>
      </c>
      <c r="B46" s="76">
        <v>45617</v>
      </c>
      <c r="C46" s="173">
        <v>16114</v>
      </c>
      <c r="D46" s="20">
        <v>45658</v>
      </c>
      <c r="E46" s="20">
        <v>45687</v>
      </c>
      <c r="F46" s="11">
        <f t="shared" si="7"/>
        <v>30</v>
      </c>
      <c r="G46" s="12">
        <v>235</v>
      </c>
      <c r="H46" s="170">
        <v>1</v>
      </c>
      <c r="I46" s="19">
        <f t="shared" si="8"/>
        <v>235</v>
      </c>
      <c r="J46" s="172" t="s">
        <v>815</v>
      </c>
      <c r="K46" s="170">
        <v>71630</v>
      </c>
    </row>
    <row r="47" spans="1:14" ht="13.5" customHeight="1" x14ac:dyDescent="0.2">
      <c r="A47" s="2" t="s">
        <v>23</v>
      </c>
      <c r="B47" s="76">
        <v>45623</v>
      </c>
      <c r="C47" s="173">
        <v>15288</v>
      </c>
      <c r="D47" s="20">
        <v>45658</v>
      </c>
      <c r="E47" s="20">
        <v>45687</v>
      </c>
      <c r="F47" s="11">
        <f t="shared" si="7"/>
        <v>30</v>
      </c>
      <c r="G47" s="12">
        <v>235</v>
      </c>
      <c r="H47" s="170">
        <v>1</v>
      </c>
      <c r="I47" s="19">
        <f t="shared" si="8"/>
        <v>235</v>
      </c>
      <c r="J47" s="172" t="s">
        <v>847</v>
      </c>
      <c r="K47" s="170">
        <v>72113</v>
      </c>
    </row>
    <row r="48" spans="1:14" ht="13.5" customHeight="1" x14ac:dyDescent="0.2">
      <c r="A48" s="2" t="s">
        <v>23</v>
      </c>
      <c r="B48" s="76">
        <v>45512</v>
      </c>
      <c r="C48" s="55">
        <v>12026</v>
      </c>
      <c r="D48" s="20">
        <v>45658</v>
      </c>
      <c r="E48" s="20">
        <v>45687</v>
      </c>
      <c r="F48" s="11">
        <f>(E48-D48)+1</f>
        <v>30</v>
      </c>
      <c r="G48" s="12">
        <v>235</v>
      </c>
      <c r="H48" s="13">
        <v>1</v>
      </c>
      <c r="I48" s="19">
        <f>G48/30*H48*F48</f>
        <v>235</v>
      </c>
      <c r="J48" s="32" t="s">
        <v>252</v>
      </c>
      <c r="K48" s="13">
        <v>53448</v>
      </c>
    </row>
    <row r="49" spans="1:12" ht="13.5" customHeight="1" x14ac:dyDescent="0.2">
      <c r="A49" s="2" t="s">
        <v>23</v>
      </c>
      <c r="B49" s="76">
        <v>45512</v>
      </c>
      <c r="C49" s="55" t="s">
        <v>258</v>
      </c>
      <c r="D49" s="20">
        <v>45658</v>
      </c>
      <c r="E49" s="20">
        <v>45687</v>
      </c>
      <c r="F49" s="11">
        <f>(E49-D49)+1</f>
        <v>30</v>
      </c>
      <c r="G49" s="12">
        <v>235</v>
      </c>
      <c r="H49" s="13">
        <v>1</v>
      </c>
      <c r="I49" s="19">
        <f t="shared" ref="I49:I58" si="9">G49/30*H49*F49</f>
        <v>235</v>
      </c>
      <c r="J49" s="32" t="s">
        <v>253</v>
      </c>
      <c r="K49" s="13">
        <v>53448</v>
      </c>
    </row>
    <row r="50" spans="1:12" ht="13.5" customHeight="1" x14ac:dyDescent="0.2">
      <c r="A50" s="2" t="s">
        <v>23</v>
      </c>
      <c r="B50" s="76">
        <v>45512</v>
      </c>
      <c r="C50" s="55" t="s">
        <v>259</v>
      </c>
      <c r="D50" s="20">
        <v>45658</v>
      </c>
      <c r="E50" s="20">
        <v>45687</v>
      </c>
      <c r="F50" s="11">
        <f>(E50-D50)+1</f>
        <v>30</v>
      </c>
      <c r="G50" s="12">
        <v>235</v>
      </c>
      <c r="H50" s="13">
        <v>1</v>
      </c>
      <c r="I50" s="19">
        <f t="shared" si="9"/>
        <v>235</v>
      </c>
      <c r="J50" s="32" t="s">
        <v>254</v>
      </c>
      <c r="K50" s="13">
        <v>53448</v>
      </c>
    </row>
    <row r="51" spans="1:12" ht="13.5" customHeight="1" x14ac:dyDescent="0.2">
      <c r="A51" s="2" t="s">
        <v>24</v>
      </c>
      <c r="B51" s="76">
        <v>45512</v>
      </c>
      <c r="C51" s="55" t="s">
        <v>260</v>
      </c>
      <c r="D51" s="20">
        <v>45658</v>
      </c>
      <c r="E51" s="20">
        <v>45687</v>
      </c>
      <c r="F51" s="11">
        <f t="shared" ref="F51:F58" si="10">(E51-D51)+1</f>
        <v>30</v>
      </c>
      <c r="G51" s="12">
        <v>238</v>
      </c>
      <c r="H51" s="13">
        <v>1</v>
      </c>
      <c r="I51" s="19">
        <f t="shared" si="9"/>
        <v>238</v>
      </c>
      <c r="J51" s="32" t="s">
        <v>255</v>
      </c>
      <c r="K51" s="13">
        <v>53448</v>
      </c>
    </row>
    <row r="52" spans="1:12" ht="13.5" customHeight="1" x14ac:dyDescent="0.2">
      <c r="A52" s="2" t="s">
        <v>24</v>
      </c>
      <c r="B52" s="76">
        <v>45512</v>
      </c>
      <c r="C52" s="55" t="s">
        <v>261</v>
      </c>
      <c r="D52" s="20">
        <v>45658</v>
      </c>
      <c r="E52" s="20">
        <v>45687</v>
      </c>
      <c r="F52" s="11">
        <f t="shared" si="10"/>
        <v>30</v>
      </c>
      <c r="G52" s="12">
        <v>238</v>
      </c>
      <c r="H52" s="13">
        <v>1</v>
      </c>
      <c r="I52" s="19">
        <f t="shared" si="9"/>
        <v>238</v>
      </c>
      <c r="J52" s="32" t="s">
        <v>256</v>
      </c>
      <c r="K52" s="13">
        <v>53448</v>
      </c>
    </row>
    <row r="53" spans="1:12" ht="13.5" customHeight="1" x14ac:dyDescent="0.2">
      <c r="A53" s="2" t="s">
        <v>26</v>
      </c>
      <c r="B53" s="76">
        <v>45681</v>
      </c>
      <c r="C53" s="264">
        <v>17646</v>
      </c>
      <c r="D53" s="20">
        <v>45681</v>
      </c>
      <c r="E53" s="20">
        <v>45687</v>
      </c>
      <c r="F53" s="11">
        <f t="shared" si="10"/>
        <v>7</v>
      </c>
      <c r="G53" s="12">
        <v>260</v>
      </c>
      <c r="H53" s="13">
        <v>1</v>
      </c>
      <c r="I53" s="19">
        <f t="shared" si="9"/>
        <v>60.666666666666664</v>
      </c>
      <c r="J53" s="32" t="s">
        <v>367</v>
      </c>
      <c r="K53" s="13">
        <v>74543</v>
      </c>
      <c r="L53" s="7" t="s">
        <v>854</v>
      </c>
    </row>
    <row r="54" spans="1:12" ht="13.5" customHeight="1" x14ac:dyDescent="0.2">
      <c r="A54" s="2" t="s">
        <v>26</v>
      </c>
      <c r="B54" s="76">
        <v>45623</v>
      </c>
      <c r="C54" s="55">
        <v>16584</v>
      </c>
      <c r="D54" s="20">
        <v>45658</v>
      </c>
      <c r="E54" s="20">
        <v>45687</v>
      </c>
      <c r="F54" s="11">
        <f t="shared" si="10"/>
        <v>30</v>
      </c>
      <c r="G54" s="12">
        <v>260</v>
      </c>
      <c r="H54" s="13">
        <v>1</v>
      </c>
      <c r="I54" s="19">
        <f t="shared" si="9"/>
        <v>260</v>
      </c>
      <c r="J54" s="32" t="s">
        <v>848</v>
      </c>
      <c r="K54" s="13">
        <v>72113</v>
      </c>
      <c r="L54" s="7" t="s">
        <v>852</v>
      </c>
    </row>
    <row r="55" spans="1:12" ht="13.5" customHeight="1" x14ac:dyDescent="0.2">
      <c r="A55" s="2" t="s">
        <v>27</v>
      </c>
      <c r="B55" s="76">
        <v>45512</v>
      </c>
      <c r="C55" s="55" t="s">
        <v>262</v>
      </c>
      <c r="D55" s="20">
        <v>45658</v>
      </c>
      <c r="E55" s="20">
        <v>45687</v>
      </c>
      <c r="F55" s="11">
        <f t="shared" si="10"/>
        <v>30</v>
      </c>
      <c r="G55" s="3">
        <v>347</v>
      </c>
      <c r="H55" s="13">
        <v>1</v>
      </c>
      <c r="I55" s="19">
        <f t="shared" si="9"/>
        <v>347</v>
      </c>
      <c r="J55" s="32" t="s">
        <v>257</v>
      </c>
      <c r="K55" s="13">
        <v>53643</v>
      </c>
    </row>
    <row r="56" spans="1:12" ht="13.5" customHeight="1" x14ac:dyDescent="0.2">
      <c r="A56" s="2" t="s">
        <v>33</v>
      </c>
      <c r="B56" s="76">
        <v>45658</v>
      </c>
      <c r="C56" s="264">
        <v>17126</v>
      </c>
      <c r="D56" s="20">
        <v>45658</v>
      </c>
      <c r="E56" s="20">
        <v>45687</v>
      </c>
      <c r="F56" s="11">
        <f t="shared" si="10"/>
        <v>30</v>
      </c>
      <c r="G56" s="3">
        <v>497</v>
      </c>
      <c r="H56" s="13">
        <v>1</v>
      </c>
      <c r="I56" s="19">
        <f t="shared" si="9"/>
        <v>497</v>
      </c>
      <c r="J56" s="32" t="s">
        <v>870</v>
      </c>
      <c r="K56" s="170">
        <v>72427</v>
      </c>
      <c r="L56" s="7" t="s">
        <v>853</v>
      </c>
    </row>
    <row r="57" spans="1:12" ht="13.5" customHeight="1" x14ac:dyDescent="0.2">
      <c r="A57" s="2" t="s">
        <v>34</v>
      </c>
      <c r="B57" s="76">
        <v>45631</v>
      </c>
      <c r="C57" s="55">
        <v>17127</v>
      </c>
      <c r="D57" s="20">
        <v>45658</v>
      </c>
      <c r="E57" s="20">
        <v>45687</v>
      </c>
      <c r="F57" s="11">
        <f t="shared" si="10"/>
        <v>30</v>
      </c>
      <c r="G57" s="3">
        <v>597</v>
      </c>
      <c r="H57" s="13">
        <v>1</v>
      </c>
      <c r="I57" s="19">
        <f t="shared" si="9"/>
        <v>597</v>
      </c>
      <c r="J57" s="32" t="s">
        <v>870</v>
      </c>
      <c r="K57" s="13">
        <v>72427</v>
      </c>
    </row>
    <row r="58" spans="1:12" ht="13.5" customHeight="1" x14ac:dyDescent="0.2">
      <c r="A58" s="2" t="s">
        <v>34</v>
      </c>
      <c r="B58" s="76">
        <v>45631</v>
      </c>
      <c r="C58" s="55">
        <v>17129</v>
      </c>
      <c r="D58" s="20">
        <v>45658</v>
      </c>
      <c r="E58" s="20">
        <v>45687</v>
      </c>
      <c r="F58" s="11">
        <f t="shared" si="10"/>
        <v>30</v>
      </c>
      <c r="G58" s="3">
        <v>597</v>
      </c>
      <c r="H58" s="13">
        <v>1</v>
      </c>
      <c r="I58" s="19">
        <f t="shared" si="9"/>
        <v>597</v>
      </c>
      <c r="J58" s="32" t="s">
        <v>870</v>
      </c>
      <c r="K58" s="13">
        <v>72427</v>
      </c>
    </row>
    <row r="59" spans="1:12" ht="13.5" customHeight="1" x14ac:dyDescent="0.25">
      <c r="A59" s="14"/>
      <c r="B59" s="20"/>
      <c r="C59" s="13"/>
      <c r="D59" s="20"/>
      <c r="E59" s="20"/>
      <c r="F59" s="11"/>
      <c r="G59" s="12"/>
      <c r="H59" s="13"/>
      <c r="I59" s="19">
        <f t="shared" ref="I59" si="11">G59/30*H59*F59</f>
        <v>0</v>
      </c>
      <c r="J59" s="32"/>
      <c r="K59" s="13"/>
    </row>
    <row r="60" spans="1:12" ht="13.5" customHeight="1" x14ac:dyDescent="0.25">
      <c r="A60" s="21" t="s">
        <v>251</v>
      </c>
      <c r="B60" s="26"/>
      <c r="C60" s="26"/>
      <c r="D60" s="23"/>
      <c r="E60" s="23"/>
      <c r="F60" s="24"/>
      <c r="G60" s="23"/>
      <c r="H60" s="22">
        <f>SUM(H45:H59)</f>
        <v>14</v>
      </c>
      <c r="I60" s="112">
        <f>SUM(I45:I59)</f>
        <v>4244.666666666667</v>
      </c>
      <c r="J60" s="33"/>
      <c r="K60" s="116"/>
    </row>
    <row r="61" spans="1:12" ht="13.5" customHeight="1" x14ac:dyDescent="0.25">
      <c r="A61" s="301"/>
      <c r="B61" s="324"/>
      <c r="C61" s="324"/>
      <c r="D61" s="324"/>
      <c r="E61" s="324"/>
      <c r="F61" s="324"/>
      <c r="G61" s="324"/>
      <c r="H61" s="324"/>
      <c r="I61" s="324"/>
      <c r="J61" s="324"/>
      <c r="K61" s="324"/>
    </row>
    <row r="62" spans="1:12" ht="13.5" customHeight="1" x14ac:dyDescent="0.2">
      <c r="A62" s="2" t="s">
        <v>23</v>
      </c>
      <c r="B62" s="76">
        <v>45595</v>
      </c>
      <c r="C62" s="177">
        <v>16141</v>
      </c>
      <c r="D62" s="20">
        <v>45658</v>
      </c>
      <c r="E62" s="20">
        <v>45687</v>
      </c>
      <c r="F62" s="11">
        <f t="shared" ref="F62:F71" si="12">(E62-D62)+1</f>
        <v>30</v>
      </c>
      <c r="G62" s="12">
        <v>235</v>
      </c>
      <c r="H62" s="13">
        <v>1</v>
      </c>
      <c r="I62" s="19">
        <f>G62/30*H62*F62</f>
        <v>235</v>
      </c>
      <c r="J62" s="32" t="s">
        <v>252</v>
      </c>
      <c r="K62" s="13">
        <v>70788</v>
      </c>
    </row>
    <row r="63" spans="1:12" ht="13.5" customHeight="1" x14ac:dyDescent="0.2">
      <c r="A63" s="2" t="s">
        <v>23</v>
      </c>
      <c r="B63" s="76">
        <v>45595</v>
      </c>
      <c r="C63" s="177">
        <v>16106</v>
      </c>
      <c r="D63" s="20">
        <v>45658</v>
      </c>
      <c r="E63" s="20">
        <v>45687</v>
      </c>
      <c r="F63" s="11">
        <f t="shared" si="12"/>
        <v>30</v>
      </c>
      <c r="G63" s="12">
        <v>235</v>
      </c>
      <c r="H63" s="13">
        <v>1</v>
      </c>
      <c r="I63" s="19">
        <f t="shared" ref="I63:I72" si="13">G63/30*H63*F63</f>
        <v>235</v>
      </c>
      <c r="J63" s="32" t="s">
        <v>253</v>
      </c>
      <c r="K63" s="13">
        <v>70788</v>
      </c>
    </row>
    <row r="64" spans="1:12" ht="13.5" customHeight="1" x14ac:dyDescent="0.2">
      <c r="A64" s="2" t="s">
        <v>23</v>
      </c>
      <c r="B64" s="76">
        <v>45595</v>
      </c>
      <c r="C64" s="177">
        <v>16138</v>
      </c>
      <c r="D64" s="20">
        <v>45658</v>
      </c>
      <c r="E64" s="20">
        <v>45687</v>
      </c>
      <c r="F64" s="11">
        <f t="shared" si="12"/>
        <v>30</v>
      </c>
      <c r="G64" s="12">
        <v>235</v>
      </c>
      <c r="H64" s="13">
        <v>1</v>
      </c>
      <c r="I64" s="19">
        <f t="shared" si="13"/>
        <v>235</v>
      </c>
      <c r="J64" s="32" t="s">
        <v>714</v>
      </c>
      <c r="K64" s="13">
        <v>70788</v>
      </c>
    </row>
    <row r="65" spans="1:12" ht="13.5" customHeight="1" x14ac:dyDescent="0.2">
      <c r="A65" s="2" t="s">
        <v>23</v>
      </c>
      <c r="B65" s="76">
        <v>45595</v>
      </c>
      <c r="C65" s="177">
        <v>16137</v>
      </c>
      <c r="D65" s="20">
        <v>45658</v>
      </c>
      <c r="E65" s="20">
        <v>45687</v>
      </c>
      <c r="F65" s="11">
        <f t="shared" si="12"/>
        <v>30</v>
      </c>
      <c r="G65" s="12">
        <v>235</v>
      </c>
      <c r="H65" s="13">
        <v>1</v>
      </c>
      <c r="I65" s="19">
        <f t="shared" si="13"/>
        <v>235</v>
      </c>
      <c r="J65" s="32" t="s">
        <v>255</v>
      </c>
      <c r="K65" s="13">
        <v>70788</v>
      </c>
    </row>
    <row r="66" spans="1:12" ht="13.5" customHeight="1" x14ac:dyDescent="0.2">
      <c r="A66" s="2" t="s">
        <v>23</v>
      </c>
      <c r="B66" s="76">
        <v>45600</v>
      </c>
      <c r="C66" s="177">
        <v>16112</v>
      </c>
      <c r="D66" s="20">
        <v>45658</v>
      </c>
      <c r="E66" s="20">
        <v>45687</v>
      </c>
      <c r="F66" s="11">
        <f t="shared" si="12"/>
        <v>30</v>
      </c>
      <c r="G66" s="12">
        <v>235</v>
      </c>
      <c r="H66" s="13">
        <v>1</v>
      </c>
      <c r="I66" s="19">
        <f t="shared" si="13"/>
        <v>235</v>
      </c>
      <c r="J66" s="32" t="s">
        <v>795</v>
      </c>
      <c r="K66" s="13">
        <v>70775</v>
      </c>
    </row>
    <row r="67" spans="1:12" ht="13.5" customHeight="1" x14ac:dyDescent="0.2">
      <c r="A67" s="2" t="s">
        <v>24</v>
      </c>
      <c r="B67" s="76">
        <v>45600</v>
      </c>
      <c r="C67" s="177">
        <v>16508</v>
      </c>
      <c r="D67" s="20">
        <v>45658</v>
      </c>
      <c r="E67" s="20">
        <v>45687</v>
      </c>
      <c r="F67" s="11">
        <f t="shared" si="12"/>
        <v>30</v>
      </c>
      <c r="G67" s="12">
        <v>238</v>
      </c>
      <c r="H67" s="13">
        <v>1</v>
      </c>
      <c r="I67" s="19">
        <f t="shared" si="13"/>
        <v>238</v>
      </c>
      <c r="J67" s="32" t="s">
        <v>796</v>
      </c>
      <c r="K67" s="13">
        <v>70775</v>
      </c>
    </row>
    <row r="68" spans="1:12" ht="13.5" customHeight="1" x14ac:dyDescent="0.2">
      <c r="A68" s="2" t="s">
        <v>32</v>
      </c>
      <c r="B68" s="76">
        <v>45665</v>
      </c>
      <c r="C68" s="265">
        <v>17348</v>
      </c>
      <c r="D68" s="20">
        <v>45665</v>
      </c>
      <c r="E68" s="20">
        <v>45687</v>
      </c>
      <c r="F68" s="11">
        <f t="shared" si="12"/>
        <v>23</v>
      </c>
      <c r="G68" s="12">
        <v>447</v>
      </c>
      <c r="H68" s="13">
        <v>1</v>
      </c>
      <c r="I68" s="19">
        <f t="shared" si="13"/>
        <v>342.7</v>
      </c>
      <c r="J68" s="32" t="s">
        <v>364</v>
      </c>
      <c r="K68" s="13">
        <v>73529</v>
      </c>
    </row>
    <row r="69" spans="1:12" ht="13.5" customHeight="1" x14ac:dyDescent="0.2">
      <c r="A69" s="2" t="s">
        <v>32</v>
      </c>
      <c r="B69" s="76">
        <v>45665</v>
      </c>
      <c r="C69" s="265">
        <v>17349</v>
      </c>
      <c r="D69" s="20">
        <v>45665</v>
      </c>
      <c r="E69" s="20">
        <v>45687</v>
      </c>
      <c r="F69" s="11">
        <f t="shared" si="12"/>
        <v>23</v>
      </c>
      <c r="G69" s="12">
        <v>447</v>
      </c>
      <c r="H69" s="13">
        <v>1</v>
      </c>
      <c r="I69" s="19">
        <f t="shared" si="13"/>
        <v>342.7</v>
      </c>
      <c r="J69" s="32" t="s">
        <v>364</v>
      </c>
      <c r="K69" s="13">
        <v>73529</v>
      </c>
    </row>
    <row r="70" spans="1:12" ht="13.5" customHeight="1" x14ac:dyDescent="0.2">
      <c r="A70" s="2" t="s">
        <v>33</v>
      </c>
      <c r="B70" s="76">
        <v>45638</v>
      </c>
      <c r="C70" s="252">
        <v>17130</v>
      </c>
      <c r="D70" s="20">
        <v>45658</v>
      </c>
      <c r="E70" s="20">
        <v>45687</v>
      </c>
      <c r="F70" s="11">
        <f t="shared" si="12"/>
        <v>30</v>
      </c>
      <c r="G70" s="12">
        <v>497</v>
      </c>
      <c r="H70" s="13">
        <v>1</v>
      </c>
      <c r="I70" s="19">
        <f t="shared" si="13"/>
        <v>497</v>
      </c>
      <c r="J70" s="32" t="s">
        <v>367</v>
      </c>
      <c r="K70" s="13">
        <v>72423</v>
      </c>
      <c r="L70" s="7" t="s">
        <v>853</v>
      </c>
    </row>
    <row r="71" spans="1:12" ht="13.5" customHeight="1" x14ac:dyDescent="0.2">
      <c r="A71" s="2" t="s">
        <v>34</v>
      </c>
      <c r="B71" s="76">
        <v>45638</v>
      </c>
      <c r="C71" s="252">
        <v>17135</v>
      </c>
      <c r="D71" s="20">
        <v>45658</v>
      </c>
      <c r="E71" s="20">
        <v>45687</v>
      </c>
      <c r="F71" s="11">
        <f t="shared" si="12"/>
        <v>30</v>
      </c>
      <c r="G71" s="12">
        <v>597</v>
      </c>
      <c r="H71" s="13">
        <v>1</v>
      </c>
      <c r="I71" s="19">
        <f t="shared" si="13"/>
        <v>597</v>
      </c>
      <c r="J71" s="32" t="s">
        <v>364</v>
      </c>
      <c r="K71" s="13">
        <v>72423</v>
      </c>
    </row>
    <row r="72" spans="1:12" ht="13.5" customHeight="1" x14ac:dyDescent="0.25">
      <c r="A72" s="14"/>
      <c r="B72" s="20"/>
      <c r="C72" s="13"/>
      <c r="D72" s="20"/>
      <c r="E72" s="20"/>
      <c r="F72" s="11"/>
      <c r="G72" s="12"/>
      <c r="H72" s="13"/>
      <c r="I72" s="19">
        <f t="shared" si="13"/>
        <v>0</v>
      </c>
      <c r="J72" s="32"/>
      <c r="K72" s="13"/>
    </row>
    <row r="73" spans="1:12" ht="13.5" customHeight="1" x14ac:dyDescent="0.25">
      <c r="A73" s="21" t="s">
        <v>713</v>
      </c>
      <c r="B73" s="26"/>
      <c r="C73" s="26"/>
      <c r="D73" s="23"/>
      <c r="E73" s="23"/>
      <c r="F73" s="24"/>
      <c r="G73" s="23"/>
      <c r="H73" s="22">
        <f>SUM(H62:H72)</f>
        <v>10</v>
      </c>
      <c r="I73" s="112">
        <f>SUM(I62:I72)</f>
        <v>3192.4</v>
      </c>
      <c r="J73" s="33"/>
      <c r="K73" s="116"/>
    </row>
    <row r="74" spans="1:12" ht="13.5" customHeight="1" x14ac:dyDescent="0.25">
      <c r="A74" s="322"/>
      <c r="B74" s="323"/>
      <c r="C74" s="323"/>
      <c r="D74" s="323"/>
      <c r="E74" s="323"/>
      <c r="F74" s="323"/>
      <c r="G74" s="323"/>
      <c r="H74" s="323"/>
      <c r="I74" s="323"/>
      <c r="J74" s="323"/>
      <c r="K74" s="323"/>
    </row>
    <row r="75" spans="1:12" ht="13.5" customHeight="1" x14ac:dyDescent="0.2">
      <c r="A75" s="2" t="s">
        <v>23</v>
      </c>
      <c r="B75" s="76">
        <v>45602</v>
      </c>
      <c r="C75" s="177">
        <v>16171</v>
      </c>
      <c r="D75" s="20">
        <v>45658</v>
      </c>
      <c r="E75" s="20">
        <v>45687</v>
      </c>
      <c r="F75" s="11">
        <f>(E75-D75)+1</f>
        <v>30</v>
      </c>
      <c r="G75" s="12">
        <v>235</v>
      </c>
      <c r="H75" s="13">
        <v>1</v>
      </c>
      <c r="I75" s="19">
        <f t="shared" ref="I75:I86" si="14">G75/30*H75*F75</f>
        <v>235</v>
      </c>
      <c r="J75" s="32" t="s">
        <v>799</v>
      </c>
      <c r="K75" s="13">
        <v>71094</v>
      </c>
    </row>
    <row r="76" spans="1:12" ht="13.5" customHeight="1" x14ac:dyDescent="0.2">
      <c r="A76" s="2" t="s">
        <v>23</v>
      </c>
      <c r="B76" s="76">
        <v>45602</v>
      </c>
      <c r="C76" s="177">
        <v>16118</v>
      </c>
      <c r="D76" s="20">
        <v>45658</v>
      </c>
      <c r="E76" s="20">
        <v>45687</v>
      </c>
      <c r="F76" s="11">
        <f>(E76-D76)+1</f>
        <v>30</v>
      </c>
      <c r="G76" s="12">
        <v>235</v>
      </c>
      <c r="H76" s="13">
        <v>1</v>
      </c>
      <c r="I76" s="19">
        <f t="shared" si="14"/>
        <v>235</v>
      </c>
      <c r="J76" s="32" t="s">
        <v>798</v>
      </c>
      <c r="K76" s="13">
        <v>71094</v>
      </c>
    </row>
    <row r="77" spans="1:12" ht="13.5" customHeight="1" x14ac:dyDescent="0.2">
      <c r="A77" s="2" t="s">
        <v>23</v>
      </c>
      <c r="B77" s="76">
        <v>45602</v>
      </c>
      <c r="C77" s="177">
        <v>16132</v>
      </c>
      <c r="D77" s="20">
        <v>45658</v>
      </c>
      <c r="E77" s="20">
        <v>45687</v>
      </c>
      <c r="F77" s="11">
        <f>(E77-D77)+1</f>
        <v>30</v>
      </c>
      <c r="G77" s="12">
        <v>235</v>
      </c>
      <c r="H77" s="13">
        <v>1</v>
      </c>
      <c r="I77" s="19">
        <f t="shared" si="14"/>
        <v>235</v>
      </c>
      <c r="J77" s="32" t="s">
        <v>800</v>
      </c>
      <c r="K77" s="13">
        <v>71094</v>
      </c>
    </row>
    <row r="78" spans="1:12" ht="13.5" customHeight="1" x14ac:dyDescent="0.2">
      <c r="A78" s="2" t="s">
        <v>24</v>
      </c>
      <c r="B78" s="76">
        <v>45602</v>
      </c>
      <c r="C78" s="177">
        <v>16493</v>
      </c>
      <c r="D78" s="20">
        <v>45658</v>
      </c>
      <c r="E78" s="20">
        <v>45687</v>
      </c>
      <c r="F78" s="11">
        <f t="shared" ref="F78:F85" si="15">(E78-D78)+1</f>
        <v>30</v>
      </c>
      <c r="G78" s="12">
        <v>238</v>
      </c>
      <c r="H78" s="13">
        <v>1</v>
      </c>
      <c r="I78" s="19">
        <f t="shared" si="14"/>
        <v>238</v>
      </c>
      <c r="J78" s="32" t="s">
        <v>354</v>
      </c>
      <c r="K78" s="13">
        <v>71101</v>
      </c>
    </row>
    <row r="79" spans="1:12" ht="13.5" customHeight="1" x14ac:dyDescent="0.2">
      <c r="A79" s="2" t="s">
        <v>24</v>
      </c>
      <c r="B79" s="76">
        <v>45602</v>
      </c>
      <c r="C79" s="177">
        <v>16490</v>
      </c>
      <c r="D79" s="20">
        <v>45658</v>
      </c>
      <c r="E79" s="20">
        <v>45687</v>
      </c>
      <c r="F79" s="11">
        <f t="shared" si="15"/>
        <v>30</v>
      </c>
      <c r="G79" s="12">
        <v>238</v>
      </c>
      <c r="H79" s="13">
        <v>1</v>
      </c>
      <c r="I79" s="19">
        <f t="shared" si="14"/>
        <v>238</v>
      </c>
      <c r="J79" s="32" t="s">
        <v>801</v>
      </c>
      <c r="K79" s="13">
        <v>71101</v>
      </c>
    </row>
    <row r="80" spans="1:12" ht="13.5" customHeight="1" x14ac:dyDescent="0.2">
      <c r="A80" s="2" t="s">
        <v>24</v>
      </c>
      <c r="B80" s="76">
        <v>45602</v>
      </c>
      <c r="C80" s="177">
        <v>16513</v>
      </c>
      <c r="D80" s="20">
        <v>45658</v>
      </c>
      <c r="E80" s="20">
        <v>45687</v>
      </c>
      <c r="F80" s="11">
        <f t="shared" si="15"/>
        <v>30</v>
      </c>
      <c r="G80" s="12">
        <v>238</v>
      </c>
      <c r="H80" s="13">
        <v>1</v>
      </c>
      <c r="I80" s="19">
        <f t="shared" si="14"/>
        <v>238</v>
      </c>
      <c r="J80" s="32" t="s">
        <v>355</v>
      </c>
      <c r="K80" s="13">
        <v>71101</v>
      </c>
    </row>
    <row r="81" spans="1:11" ht="13.5" customHeight="1" x14ac:dyDescent="0.2">
      <c r="A81" s="2" t="s">
        <v>27</v>
      </c>
      <c r="B81" s="76">
        <v>45602</v>
      </c>
      <c r="C81" s="177">
        <v>16543</v>
      </c>
      <c r="D81" s="20">
        <v>45658</v>
      </c>
      <c r="E81" s="20">
        <v>45687</v>
      </c>
      <c r="F81" s="11">
        <f t="shared" si="15"/>
        <v>30</v>
      </c>
      <c r="G81" s="12">
        <v>347</v>
      </c>
      <c r="H81" s="13">
        <v>1</v>
      </c>
      <c r="I81" s="19">
        <f t="shared" si="14"/>
        <v>347</v>
      </c>
      <c r="J81" s="32" t="s">
        <v>323</v>
      </c>
      <c r="K81" s="13">
        <v>71101</v>
      </c>
    </row>
    <row r="82" spans="1:11" ht="13.5" customHeight="1" x14ac:dyDescent="0.2">
      <c r="A82" s="2" t="s">
        <v>27</v>
      </c>
      <c r="B82" s="76">
        <v>45602</v>
      </c>
      <c r="C82" s="177">
        <v>16542</v>
      </c>
      <c r="D82" s="20">
        <v>45658</v>
      </c>
      <c r="E82" s="20">
        <v>45687</v>
      </c>
      <c r="F82" s="11">
        <f t="shared" si="15"/>
        <v>30</v>
      </c>
      <c r="G82" s="12">
        <v>347</v>
      </c>
      <c r="H82" s="13">
        <v>1</v>
      </c>
      <c r="I82" s="19">
        <f t="shared" si="14"/>
        <v>347</v>
      </c>
      <c r="J82" s="32" t="s">
        <v>323</v>
      </c>
      <c r="K82" s="13">
        <v>71101</v>
      </c>
    </row>
    <row r="83" spans="1:11" ht="13.5" customHeight="1" x14ac:dyDescent="0.2">
      <c r="A83" s="2" t="s">
        <v>27</v>
      </c>
      <c r="B83" s="76">
        <v>45602</v>
      </c>
      <c r="C83" s="177">
        <v>16329</v>
      </c>
      <c r="D83" s="20">
        <v>45658</v>
      </c>
      <c r="E83" s="20">
        <v>45687</v>
      </c>
      <c r="F83" s="11">
        <f t="shared" si="15"/>
        <v>30</v>
      </c>
      <c r="G83" s="12">
        <v>347</v>
      </c>
      <c r="H83" s="13">
        <v>1</v>
      </c>
      <c r="I83" s="19">
        <f t="shared" si="14"/>
        <v>347</v>
      </c>
      <c r="J83" s="32" t="s">
        <v>323</v>
      </c>
      <c r="K83" s="13">
        <v>71101</v>
      </c>
    </row>
    <row r="84" spans="1:11" ht="13.5" customHeight="1" x14ac:dyDescent="0.2">
      <c r="A84" s="2" t="s">
        <v>27</v>
      </c>
      <c r="B84" s="76">
        <v>45602</v>
      </c>
      <c r="C84" s="177">
        <v>16544</v>
      </c>
      <c r="D84" s="20">
        <v>45658</v>
      </c>
      <c r="E84" s="20">
        <v>45687</v>
      </c>
      <c r="F84" s="11">
        <f t="shared" si="15"/>
        <v>30</v>
      </c>
      <c r="G84" s="12">
        <v>347</v>
      </c>
      <c r="H84" s="13">
        <v>1</v>
      </c>
      <c r="I84" s="19">
        <f t="shared" si="14"/>
        <v>347</v>
      </c>
      <c r="J84" s="32" t="s">
        <v>355</v>
      </c>
      <c r="K84" s="13">
        <v>71101</v>
      </c>
    </row>
    <row r="85" spans="1:11" ht="13.5" customHeight="1" x14ac:dyDescent="0.2">
      <c r="A85" s="2" t="s">
        <v>32</v>
      </c>
      <c r="B85" s="76">
        <v>45677</v>
      </c>
      <c r="C85" s="265">
        <v>17350</v>
      </c>
      <c r="D85" s="20">
        <v>45677</v>
      </c>
      <c r="E85" s="20">
        <v>45687</v>
      </c>
      <c r="F85" s="11">
        <f t="shared" si="15"/>
        <v>11</v>
      </c>
      <c r="G85" s="12">
        <v>447</v>
      </c>
      <c r="H85" s="13">
        <v>1</v>
      </c>
      <c r="I85" s="19">
        <f t="shared" si="14"/>
        <v>163.9</v>
      </c>
      <c r="J85" s="32" t="s">
        <v>364</v>
      </c>
      <c r="K85" s="13">
        <v>73526</v>
      </c>
    </row>
    <row r="86" spans="1:11" ht="13.5" customHeight="1" x14ac:dyDescent="0.25">
      <c r="A86" s="14"/>
      <c r="B86" s="20"/>
      <c r="C86" s="13"/>
      <c r="D86" s="20"/>
      <c r="E86" s="20"/>
      <c r="F86" s="11"/>
      <c r="G86" s="12"/>
      <c r="H86" s="13"/>
      <c r="I86" s="19">
        <f t="shared" si="14"/>
        <v>0</v>
      </c>
      <c r="J86" s="32"/>
      <c r="K86" s="13"/>
    </row>
    <row r="87" spans="1:11" ht="13.5" customHeight="1" x14ac:dyDescent="0.25">
      <c r="A87" s="21" t="s">
        <v>797</v>
      </c>
      <c r="B87" s="26"/>
      <c r="C87" s="26"/>
      <c r="D87" s="23"/>
      <c r="E87" s="23"/>
      <c r="F87" s="24"/>
      <c r="G87" s="23"/>
      <c r="H87" s="22">
        <f>SUM(H75:H86)</f>
        <v>11</v>
      </c>
      <c r="I87" s="112">
        <f>SUM(I75:I86)</f>
        <v>2970.9</v>
      </c>
      <c r="J87" s="33"/>
      <c r="K87" s="116"/>
    </row>
    <row r="88" spans="1:11" ht="13.5" customHeight="1" x14ac:dyDescent="0.25">
      <c r="A88" s="283"/>
      <c r="B88" s="274"/>
      <c r="C88" s="274"/>
      <c r="D88" s="274"/>
      <c r="E88" s="274"/>
      <c r="F88" s="274"/>
      <c r="G88" s="274"/>
      <c r="H88" s="274"/>
      <c r="I88" s="274"/>
      <c r="J88" s="274"/>
      <c r="K88" s="274"/>
    </row>
    <row r="89" spans="1:11" ht="13.5" customHeight="1" x14ac:dyDescent="0.2">
      <c r="A89" s="2" t="s">
        <v>23</v>
      </c>
      <c r="B89" s="76">
        <v>45605</v>
      </c>
      <c r="C89" s="177">
        <v>14703</v>
      </c>
      <c r="D89" s="20">
        <v>45658</v>
      </c>
      <c r="E89" s="20">
        <v>45687</v>
      </c>
      <c r="F89" s="11">
        <f>(E89-D89)+1</f>
        <v>30</v>
      </c>
      <c r="G89" s="12">
        <v>235</v>
      </c>
      <c r="H89" s="13">
        <v>1</v>
      </c>
      <c r="I89" s="19">
        <f>G89/30*H89*F89</f>
        <v>235</v>
      </c>
      <c r="J89" s="32" t="s">
        <v>804</v>
      </c>
      <c r="K89" s="13">
        <v>70671</v>
      </c>
    </row>
    <row r="90" spans="1:11" ht="13.5" customHeight="1" x14ac:dyDescent="0.2">
      <c r="A90" s="2" t="s">
        <v>23</v>
      </c>
      <c r="B90" s="76">
        <v>45622</v>
      </c>
      <c r="C90" s="177">
        <v>16147</v>
      </c>
      <c r="D90" s="20">
        <v>45658</v>
      </c>
      <c r="E90" s="20">
        <v>45687</v>
      </c>
      <c r="F90" s="11">
        <f t="shared" ref="F90:F96" si="16">(E90-D90)+1</f>
        <v>30</v>
      </c>
      <c r="G90" s="12">
        <v>235</v>
      </c>
      <c r="H90" s="13">
        <v>1</v>
      </c>
      <c r="I90" s="19">
        <f t="shared" ref="I90:I95" si="17">G90/30*H90*F90</f>
        <v>235</v>
      </c>
      <c r="J90" s="32" t="s">
        <v>841</v>
      </c>
      <c r="K90" s="13">
        <v>72031</v>
      </c>
    </row>
    <row r="91" spans="1:11" ht="13.5" customHeight="1" x14ac:dyDescent="0.2">
      <c r="A91" s="2" t="s">
        <v>23</v>
      </c>
      <c r="B91" s="76">
        <v>45622</v>
      </c>
      <c r="C91" s="177">
        <v>16113</v>
      </c>
      <c r="D91" s="20">
        <v>45658</v>
      </c>
      <c r="E91" s="20">
        <v>45687</v>
      </c>
      <c r="F91" s="11">
        <f t="shared" si="16"/>
        <v>30</v>
      </c>
      <c r="G91" s="12">
        <v>235</v>
      </c>
      <c r="H91" s="13">
        <v>1</v>
      </c>
      <c r="I91" s="19">
        <f t="shared" si="17"/>
        <v>235</v>
      </c>
      <c r="J91" s="32" t="s">
        <v>842</v>
      </c>
      <c r="K91" s="13">
        <v>72031</v>
      </c>
    </row>
    <row r="92" spans="1:11" ht="13.5" customHeight="1" x14ac:dyDescent="0.2">
      <c r="A92" s="2" t="s">
        <v>23</v>
      </c>
      <c r="B92" s="76">
        <v>45622</v>
      </c>
      <c r="C92" s="177">
        <v>14119</v>
      </c>
      <c r="D92" s="20">
        <v>45658</v>
      </c>
      <c r="E92" s="20">
        <v>45687</v>
      </c>
      <c r="F92" s="11">
        <f t="shared" si="16"/>
        <v>30</v>
      </c>
      <c r="G92" s="12">
        <v>235</v>
      </c>
      <c r="H92" s="13">
        <v>1</v>
      </c>
      <c r="I92" s="19">
        <f t="shared" si="17"/>
        <v>235</v>
      </c>
      <c r="J92" s="32" t="s">
        <v>843</v>
      </c>
      <c r="K92" s="13">
        <v>72031</v>
      </c>
    </row>
    <row r="93" spans="1:11" ht="13.5" customHeight="1" x14ac:dyDescent="0.2">
      <c r="A93" s="2" t="s">
        <v>23</v>
      </c>
      <c r="B93" s="76">
        <v>45624</v>
      </c>
      <c r="C93" s="177">
        <v>16163</v>
      </c>
      <c r="D93" s="20">
        <v>45658</v>
      </c>
      <c r="E93" s="20">
        <v>45687</v>
      </c>
      <c r="F93" s="11">
        <f t="shared" si="16"/>
        <v>30</v>
      </c>
      <c r="G93" s="12">
        <v>235</v>
      </c>
      <c r="H93" s="13">
        <v>1</v>
      </c>
      <c r="I93" s="19">
        <f t="shared" si="17"/>
        <v>235</v>
      </c>
      <c r="J93" s="32" t="s">
        <v>844</v>
      </c>
      <c r="K93" s="13">
        <v>72034</v>
      </c>
    </row>
    <row r="94" spans="1:11" ht="13.5" customHeight="1" x14ac:dyDescent="0.2">
      <c r="A94" s="2" t="s">
        <v>23</v>
      </c>
      <c r="B94" s="76">
        <v>45624</v>
      </c>
      <c r="C94" s="177">
        <v>16109</v>
      </c>
      <c r="D94" s="20">
        <v>45658</v>
      </c>
      <c r="E94" s="20">
        <v>45687</v>
      </c>
      <c r="F94" s="11">
        <f t="shared" si="16"/>
        <v>30</v>
      </c>
      <c r="G94" s="12">
        <v>235</v>
      </c>
      <c r="H94" s="13">
        <v>1</v>
      </c>
      <c r="I94" s="19">
        <f t="shared" si="17"/>
        <v>235</v>
      </c>
      <c r="J94" s="32" t="s">
        <v>845</v>
      </c>
      <c r="K94" s="13">
        <v>72034</v>
      </c>
    </row>
    <row r="95" spans="1:11" ht="13.5" customHeight="1" x14ac:dyDescent="0.2">
      <c r="A95" s="2" t="s">
        <v>23</v>
      </c>
      <c r="B95" s="76">
        <v>45624</v>
      </c>
      <c r="C95" s="177">
        <v>16187</v>
      </c>
      <c r="D95" s="20">
        <v>45658</v>
      </c>
      <c r="E95" s="20">
        <v>45687</v>
      </c>
      <c r="F95" s="11">
        <f t="shared" si="16"/>
        <v>30</v>
      </c>
      <c r="G95" s="12">
        <v>235</v>
      </c>
      <c r="H95" s="13">
        <v>1</v>
      </c>
      <c r="I95" s="19">
        <f t="shared" si="17"/>
        <v>235</v>
      </c>
      <c r="J95" s="32" t="s">
        <v>846</v>
      </c>
      <c r="K95" s="13">
        <v>72034</v>
      </c>
    </row>
    <row r="96" spans="1:11" ht="13.5" customHeight="1" x14ac:dyDescent="0.2">
      <c r="A96" s="2" t="s">
        <v>24</v>
      </c>
      <c r="B96" s="76">
        <v>45605</v>
      </c>
      <c r="C96" s="177">
        <v>16559</v>
      </c>
      <c r="D96" s="20">
        <v>45658</v>
      </c>
      <c r="E96" s="20">
        <v>45687</v>
      </c>
      <c r="F96" s="11">
        <f t="shared" si="16"/>
        <v>30</v>
      </c>
      <c r="G96" s="12">
        <v>238</v>
      </c>
      <c r="H96" s="13">
        <v>1</v>
      </c>
      <c r="I96" s="19">
        <f>G96/30*H96*F96</f>
        <v>238</v>
      </c>
      <c r="J96" s="32" t="s">
        <v>805</v>
      </c>
      <c r="K96" s="13">
        <v>70671</v>
      </c>
    </row>
    <row r="97" spans="1:11" ht="13.5" customHeight="1" x14ac:dyDescent="0.25">
      <c r="A97" s="14"/>
      <c r="B97" s="20"/>
      <c r="C97" s="13"/>
      <c r="D97" s="20"/>
      <c r="E97" s="20"/>
      <c r="F97" s="11"/>
      <c r="G97" s="12"/>
      <c r="H97" s="13"/>
      <c r="I97" s="19">
        <f t="shared" ref="I97" si="18">G97/30*H97*F97</f>
        <v>0</v>
      </c>
      <c r="J97" s="32"/>
      <c r="K97" s="13"/>
    </row>
    <row r="98" spans="1:11" ht="13.5" customHeight="1" x14ac:dyDescent="0.25">
      <c r="A98" s="21" t="s">
        <v>803</v>
      </c>
      <c r="B98" s="26"/>
      <c r="C98" s="26"/>
      <c r="D98" s="23"/>
      <c r="E98" s="23"/>
      <c r="F98" s="24"/>
      <c r="G98" s="23"/>
      <c r="H98" s="22">
        <f>SUM(H89:H97)</f>
        <v>8</v>
      </c>
      <c r="I98" s="112">
        <f>SUM(I89:I97)</f>
        <v>1883</v>
      </c>
      <c r="J98" s="33"/>
      <c r="K98" s="116"/>
    </row>
    <row r="99" spans="1:11" ht="13.5" customHeight="1" x14ac:dyDescent="0.25">
      <c r="A99" s="322"/>
      <c r="B99" s="323"/>
      <c r="C99" s="323"/>
      <c r="D99" s="323"/>
      <c r="E99" s="323"/>
      <c r="F99" s="323"/>
      <c r="G99" s="323"/>
      <c r="H99" s="323"/>
      <c r="I99" s="323"/>
      <c r="J99" s="323"/>
      <c r="K99" s="323"/>
    </row>
    <row r="100" spans="1:11" ht="13.5" customHeight="1" x14ac:dyDescent="0.2">
      <c r="A100" s="2" t="s">
        <v>23</v>
      </c>
      <c r="B100" s="80">
        <v>45512</v>
      </c>
      <c r="C100" s="222">
        <v>16126</v>
      </c>
      <c r="D100" s="81">
        <v>45658</v>
      </c>
      <c r="E100" s="81">
        <v>45687</v>
      </c>
      <c r="F100" s="11">
        <f>(E100-D100)+1</f>
        <v>30</v>
      </c>
      <c r="G100" s="12">
        <v>235</v>
      </c>
      <c r="H100" s="13">
        <v>1</v>
      </c>
      <c r="I100" s="19">
        <f>G100/30*H100*F100</f>
        <v>235</v>
      </c>
      <c r="J100" s="32" t="s">
        <v>716</v>
      </c>
      <c r="K100" s="13">
        <v>70799</v>
      </c>
    </row>
    <row r="101" spans="1:11" ht="13.5" customHeight="1" x14ac:dyDescent="0.2">
      <c r="A101" s="2" t="s">
        <v>34</v>
      </c>
      <c r="B101" s="76">
        <v>45658</v>
      </c>
      <c r="C101" s="265">
        <v>17121</v>
      </c>
      <c r="D101" s="81">
        <v>45658</v>
      </c>
      <c r="E101" s="81">
        <v>45687</v>
      </c>
      <c r="F101" s="11">
        <f t="shared" ref="F101:F103" si="19">(E101-D101)+1</f>
        <v>30</v>
      </c>
      <c r="G101" s="12">
        <v>597</v>
      </c>
      <c r="H101" s="13">
        <v>1</v>
      </c>
      <c r="I101" s="19">
        <f t="shared" ref="I101:I103" si="20">G101/30*H101*F101</f>
        <v>597</v>
      </c>
      <c r="J101" s="32" t="s">
        <v>364</v>
      </c>
      <c r="K101" s="13">
        <v>72418</v>
      </c>
    </row>
    <row r="102" spans="1:11" ht="13.5" customHeight="1" x14ac:dyDescent="0.2">
      <c r="A102" s="2" t="s">
        <v>34</v>
      </c>
      <c r="B102" s="76">
        <v>45658</v>
      </c>
      <c r="C102" s="265">
        <v>17132</v>
      </c>
      <c r="D102" s="81">
        <v>45658</v>
      </c>
      <c r="E102" s="81">
        <v>45687</v>
      </c>
      <c r="F102" s="11">
        <f t="shared" si="19"/>
        <v>30</v>
      </c>
      <c r="G102" s="12">
        <v>597</v>
      </c>
      <c r="H102" s="13">
        <v>1</v>
      </c>
      <c r="I102" s="19">
        <f t="shared" si="20"/>
        <v>597</v>
      </c>
      <c r="J102" s="32" t="s">
        <v>364</v>
      </c>
      <c r="K102" s="13">
        <v>72418</v>
      </c>
    </row>
    <row r="103" spans="1:11" ht="13.5" customHeight="1" x14ac:dyDescent="0.2">
      <c r="A103" s="2" t="s">
        <v>34</v>
      </c>
      <c r="B103" s="76">
        <v>45658</v>
      </c>
      <c r="C103" s="265">
        <v>17131</v>
      </c>
      <c r="D103" s="81">
        <v>45658</v>
      </c>
      <c r="E103" s="81">
        <v>45687</v>
      </c>
      <c r="F103" s="11">
        <f t="shared" si="19"/>
        <v>30</v>
      </c>
      <c r="G103" s="12">
        <v>597</v>
      </c>
      <c r="H103" s="13">
        <v>1</v>
      </c>
      <c r="I103" s="19">
        <f t="shared" si="20"/>
        <v>597</v>
      </c>
      <c r="J103" s="32" t="s">
        <v>364</v>
      </c>
      <c r="K103" s="13">
        <v>72418</v>
      </c>
    </row>
    <row r="104" spans="1:11" ht="13.5" customHeight="1" x14ac:dyDescent="0.25">
      <c r="A104" s="14"/>
      <c r="B104" s="20"/>
      <c r="C104" s="13"/>
      <c r="D104" s="20"/>
      <c r="E104" s="20"/>
      <c r="F104" s="11"/>
      <c r="G104" s="12"/>
      <c r="H104" s="13"/>
      <c r="I104" s="19">
        <f t="shared" ref="I104" si="21">G104/30*H104*F104</f>
        <v>0</v>
      </c>
      <c r="J104" s="32"/>
      <c r="K104" s="13"/>
    </row>
    <row r="105" spans="1:11" ht="13.5" customHeight="1" x14ac:dyDescent="0.25">
      <c r="A105" s="21" t="s">
        <v>715</v>
      </c>
      <c r="B105" s="26"/>
      <c r="C105" s="26"/>
      <c r="D105" s="23"/>
      <c r="E105" s="23"/>
      <c r="F105" s="24"/>
      <c r="G105" s="23"/>
      <c r="H105" s="22">
        <f>SUM(H100:H104)</f>
        <v>4</v>
      </c>
      <c r="I105" s="112">
        <f>SUM(I100:I104)</f>
        <v>2026</v>
      </c>
      <c r="J105" s="33"/>
      <c r="K105" s="116"/>
    </row>
    <row r="106" spans="1:11" ht="13.5" customHeight="1" x14ac:dyDescent="0.25">
      <c r="A106" s="322"/>
      <c r="B106" s="323"/>
      <c r="C106" s="323"/>
      <c r="D106" s="323"/>
      <c r="E106" s="323"/>
      <c r="F106" s="323"/>
      <c r="G106" s="323"/>
      <c r="H106" s="323"/>
      <c r="I106" s="323"/>
      <c r="J106" s="323"/>
      <c r="K106" s="325"/>
    </row>
    <row r="107" spans="1:11" ht="13.5" customHeight="1" x14ac:dyDescent="0.2">
      <c r="A107" s="2" t="s">
        <v>23</v>
      </c>
      <c r="B107" s="76">
        <v>45607</v>
      </c>
      <c r="C107" s="55">
        <v>16186</v>
      </c>
      <c r="D107" s="20">
        <v>45658</v>
      </c>
      <c r="E107" s="20">
        <v>45687</v>
      </c>
      <c r="F107" s="11">
        <f>(E107-D107)+1</f>
        <v>30</v>
      </c>
      <c r="G107" s="12">
        <v>235</v>
      </c>
      <c r="H107" s="13">
        <v>1</v>
      </c>
      <c r="I107" s="19">
        <f>G107/30*H107*F107</f>
        <v>235</v>
      </c>
      <c r="J107" s="32" t="s">
        <v>355</v>
      </c>
      <c r="K107" s="13">
        <v>71369</v>
      </c>
    </row>
    <row r="108" spans="1:11" ht="13.5" customHeight="1" x14ac:dyDescent="0.2">
      <c r="A108" s="2" t="s">
        <v>23</v>
      </c>
      <c r="B108" s="76">
        <v>45607</v>
      </c>
      <c r="C108" s="55">
        <v>16185</v>
      </c>
      <c r="D108" s="20">
        <v>45658</v>
      </c>
      <c r="E108" s="20">
        <v>45687</v>
      </c>
      <c r="F108" s="11">
        <f t="shared" ref="F108:F111" si="22">(E108-D108)+1</f>
        <v>30</v>
      </c>
      <c r="G108" s="12">
        <v>235</v>
      </c>
      <c r="H108" s="13">
        <v>1</v>
      </c>
      <c r="I108" s="19">
        <f t="shared" ref="I108:I111" si="23">G108/30*H108*F108</f>
        <v>235</v>
      </c>
      <c r="J108" s="32" t="s">
        <v>354</v>
      </c>
      <c r="K108" s="13">
        <v>71369</v>
      </c>
    </row>
    <row r="109" spans="1:11" ht="13.5" customHeight="1" x14ac:dyDescent="0.2">
      <c r="A109" s="2" t="s">
        <v>24</v>
      </c>
      <c r="B109" s="76">
        <v>45607</v>
      </c>
      <c r="C109" s="55">
        <v>16604</v>
      </c>
      <c r="D109" s="20">
        <v>45658</v>
      </c>
      <c r="E109" s="20">
        <v>45687</v>
      </c>
      <c r="F109" s="11">
        <f t="shared" si="22"/>
        <v>30</v>
      </c>
      <c r="G109" s="12">
        <v>238</v>
      </c>
      <c r="H109" s="13">
        <v>1</v>
      </c>
      <c r="I109" s="19">
        <f t="shared" si="23"/>
        <v>238</v>
      </c>
      <c r="J109" s="32" t="s">
        <v>255</v>
      </c>
      <c r="K109" s="13">
        <v>71369</v>
      </c>
    </row>
    <row r="110" spans="1:11" ht="13.5" customHeight="1" x14ac:dyDescent="0.2">
      <c r="A110" s="2" t="s">
        <v>24</v>
      </c>
      <c r="B110" s="76">
        <v>45607</v>
      </c>
      <c r="C110" s="55">
        <v>16605</v>
      </c>
      <c r="D110" s="20">
        <v>45658</v>
      </c>
      <c r="E110" s="20">
        <v>45687</v>
      </c>
      <c r="F110" s="11">
        <f t="shared" si="22"/>
        <v>30</v>
      </c>
      <c r="G110" s="12">
        <v>238</v>
      </c>
      <c r="H110" s="13">
        <v>1</v>
      </c>
      <c r="I110" s="19">
        <f t="shared" si="23"/>
        <v>238</v>
      </c>
      <c r="J110" s="32" t="s">
        <v>808</v>
      </c>
      <c r="K110" s="13">
        <v>71369</v>
      </c>
    </row>
    <row r="111" spans="1:11" ht="13.5" customHeight="1" x14ac:dyDescent="0.2">
      <c r="A111" s="2" t="s">
        <v>24</v>
      </c>
      <c r="B111" s="76">
        <v>45607</v>
      </c>
      <c r="C111" s="163" t="s">
        <v>825</v>
      </c>
      <c r="D111" s="20">
        <v>45658</v>
      </c>
      <c r="E111" s="20">
        <v>45687</v>
      </c>
      <c r="F111" s="11">
        <f t="shared" si="22"/>
        <v>30</v>
      </c>
      <c r="G111" s="12">
        <v>238</v>
      </c>
      <c r="H111" s="13">
        <v>1</v>
      </c>
      <c r="I111" s="19">
        <f t="shared" si="23"/>
        <v>238</v>
      </c>
      <c r="J111" s="32" t="s">
        <v>799</v>
      </c>
      <c r="K111" s="13">
        <v>71369</v>
      </c>
    </row>
    <row r="112" spans="1:11" ht="13.5" customHeight="1" x14ac:dyDescent="0.25">
      <c r="A112" s="14"/>
      <c r="B112" s="20"/>
      <c r="C112" s="13"/>
      <c r="D112" s="20"/>
      <c r="E112" s="20"/>
      <c r="F112" s="11"/>
      <c r="G112" s="12"/>
      <c r="H112" s="13"/>
      <c r="I112" s="19">
        <f t="shared" ref="I112" si="24">G112/30*H112*F112</f>
        <v>0</v>
      </c>
      <c r="J112" s="32"/>
      <c r="K112" s="13"/>
    </row>
    <row r="113" spans="1:11" ht="13.5" customHeight="1" x14ac:dyDescent="0.25">
      <c r="A113" s="21" t="s">
        <v>807</v>
      </c>
      <c r="B113" s="26"/>
      <c r="C113" s="26"/>
      <c r="D113" s="23"/>
      <c r="E113" s="23"/>
      <c r="F113" s="24"/>
      <c r="G113" s="23"/>
      <c r="H113" s="22">
        <f>SUM(H107:H112)</f>
        <v>5</v>
      </c>
      <c r="I113" s="112">
        <f>SUM(I107:I112)</f>
        <v>1184</v>
      </c>
      <c r="J113" s="33"/>
      <c r="K113" s="116"/>
    </row>
    <row r="114" spans="1:11" ht="13.5" customHeight="1" x14ac:dyDescent="0.25">
      <c r="A114" s="147"/>
      <c r="B114" s="148"/>
      <c r="C114" s="148"/>
      <c r="D114" s="149"/>
      <c r="E114" s="149"/>
      <c r="F114" s="150"/>
      <c r="G114" s="149"/>
      <c r="H114" s="148"/>
      <c r="I114" s="151"/>
      <c r="J114" s="152"/>
      <c r="K114" s="153"/>
    </row>
    <row r="115" spans="1:11" ht="13.5" customHeight="1" x14ac:dyDescent="0.2">
      <c r="A115" s="2" t="s">
        <v>23</v>
      </c>
      <c r="B115" s="76">
        <v>45617</v>
      </c>
      <c r="C115" s="173">
        <v>16167</v>
      </c>
      <c r="D115" s="20">
        <v>45658</v>
      </c>
      <c r="E115" s="20">
        <v>45687</v>
      </c>
      <c r="F115" s="11">
        <f t="shared" ref="F115:F117" si="25">(E115-D115)+1</f>
        <v>30</v>
      </c>
      <c r="G115" s="12">
        <v>235</v>
      </c>
      <c r="H115" s="170">
        <v>1</v>
      </c>
      <c r="I115" s="19">
        <f t="shared" ref="I115:I117" si="26">G115/30*H115*F115</f>
        <v>235</v>
      </c>
      <c r="J115" s="172" t="s">
        <v>816</v>
      </c>
      <c r="K115" s="170">
        <v>71081</v>
      </c>
    </row>
    <row r="116" spans="1:11" ht="13.5" customHeight="1" x14ac:dyDescent="0.2">
      <c r="A116" s="2" t="s">
        <v>23</v>
      </c>
      <c r="B116" s="76">
        <v>45617</v>
      </c>
      <c r="C116" s="173">
        <v>16128</v>
      </c>
      <c r="D116" s="20">
        <v>45658</v>
      </c>
      <c r="E116" s="20">
        <v>45687</v>
      </c>
      <c r="F116" s="11">
        <f t="shared" si="25"/>
        <v>30</v>
      </c>
      <c r="G116" s="12">
        <v>235</v>
      </c>
      <c r="H116" s="170">
        <v>1</v>
      </c>
      <c r="I116" s="19">
        <f t="shared" si="26"/>
        <v>235</v>
      </c>
      <c r="J116" s="172" t="s">
        <v>817</v>
      </c>
      <c r="K116" s="170">
        <v>71081</v>
      </c>
    </row>
    <row r="117" spans="1:11" ht="13.5" customHeight="1" x14ac:dyDescent="0.2">
      <c r="A117" s="2" t="s">
        <v>23</v>
      </c>
      <c r="B117" s="76">
        <v>45617</v>
      </c>
      <c r="C117" s="173">
        <v>16144</v>
      </c>
      <c r="D117" s="20">
        <v>45658</v>
      </c>
      <c r="E117" s="20">
        <v>45687</v>
      </c>
      <c r="F117" s="11">
        <f t="shared" si="25"/>
        <v>30</v>
      </c>
      <c r="G117" s="12">
        <v>235</v>
      </c>
      <c r="H117" s="170">
        <v>1</v>
      </c>
      <c r="I117" s="19">
        <f t="shared" si="26"/>
        <v>235</v>
      </c>
      <c r="J117" s="172" t="s">
        <v>818</v>
      </c>
      <c r="K117" s="170">
        <v>71081</v>
      </c>
    </row>
    <row r="118" spans="1:11" ht="13.5" customHeight="1" x14ac:dyDescent="0.2">
      <c r="A118" s="2" t="s">
        <v>23</v>
      </c>
      <c r="B118" s="76">
        <v>45512</v>
      </c>
      <c r="C118" s="55">
        <v>12022</v>
      </c>
      <c r="D118" s="20">
        <v>45658</v>
      </c>
      <c r="E118" s="20">
        <v>45687</v>
      </c>
      <c r="F118" s="11">
        <f t="shared" ref="F118:F123" si="27">(E118-D118)+1</f>
        <v>30</v>
      </c>
      <c r="G118" s="12">
        <v>235</v>
      </c>
      <c r="H118" s="13">
        <v>1</v>
      </c>
      <c r="I118" s="19">
        <f>G118/30*H118*F118</f>
        <v>235</v>
      </c>
      <c r="J118" s="32" t="s">
        <v>245</v>
      </c>
      <c r="K118" s="13">
        <v>54391</v>
      </c>
    </row>
    <row r="119" spans="1:11" ht="13.5" customHeight="1" x14ac:dyDescent="0.2">
      <c r="A119" s="2" t="s">
        <v>24</v>
      </c>
      <c r="B119" s="76">
        <v>45617</v>
      </c>
      <c r="C119" s="55">
        <v>16607</v>
      </c>
      <c r="D119" s="20">
        <v>45658</v>
      </c>
      <c r="E119" s="20">
        <v>45687</v>
      </c>
      <c r="F119" s="11">
        <f t="shared" si="27"/>
        <v>30</v>
      </c>
      <c r="G119" s="12">
        <v>238</v>
      </c>
      <c r="H119" s="13">
        <v>1</v>
      </c>
      <c r="I119" s="19">
        <f>G119/30*H119*F119</f>
        <v>238</v>
      </c>
      <c r="J119" s="32" t="s">
        <v>819</v>
      </c>
      <c r="K119" s="13">
        <v>71089</v>
      </c>
    </row>
    <row r="120" spans="1:11" ht="13.5" customHeight="1" x14ac:dyDescent="0.2">
      <c r="A120" s="2" t="s">
        <v>24</v>
      </c>
      <c r="B120" s="76">
        <v>45512</v>
      </c>
      <c r="C120" s="163" t="s">
        <v>246</v>
      </c>
      <c r="D120" s="20">
        <v>45658</v>
      </c>
      <c r="E120" s="20">
        <v>45687</v>
      </c>
      <c r="F120" s="11">
        <f t="shared" si="27"/>
        <v>30</v>
      </c>
      <c r="G120" s="12">
        <v>238</v>
      </c>
      <c r="H120" s="13">
        <v>1</v>
      </c>
      <c r="I120" s="19">
        <f t="shared" ref="I120:I124" si="28">G120/30*H120*F120</f>
        <v>238</v>
      </c>
      <c r="J120" s="32" t="s">
        <v>103</v>
      </c>
      <c r="K120" s="13">
        <v>54391</v>
      </c>
    </row>
    <row r="121" spans="1:11" ht="13.5" customHeight="1" x14ac:dyDescent="0.2">
      <c r="A121" s="2" t="s">
        <v>27</v>
      </c>
      <c r="B121" s="76">
        <v>45617</v>
      </c>
      <c r="C121" s="163" t="s">
        <v>826</v>
      </c>
      <c r="D121" s="20">
        <v>45658</v>
      </c>
      <c r="E121" s="20">
        <v>45687</v>
      </c>
      <c r="F121" s="11">
        <f t="shared" si="27"/>
        <v>30</v>
      </c>
      <c r="G121" s="12">
        <v>347</v>
      </c>
      <c r="H121" s="13">
        <v>1</v>
      </c>
      <c r="I121" s="19">
        <f t="shared" si="28"/>
        <v>347</v>
      </c>
      <c r="J121" s="32" t="s">
        <v>820</v>
      </c>
      <c r="K121" s="13">
        <v>71089</v>
      </c>
    </row>
    <row r="122" spans="1:11" ht="13.5" customHeight="1" x14ac:dyDescent="0.2">
      <c r="A122" s="2" t="s">
        <v>32</v>
      </c>
      <c r="B122" s="76">
        <v>45670</v>
      </c>
      <c r="C122" s="263" t="s">
        <v>1043</v>
      </c>
      <c r="D122" s="20">
        <v>45670</v>
      </c>
      <c r="E122" s="20">
        <v>45687</v>
      </c>
      <c r="F122" s="11">
        <f t="shared" si="27"/>
        <v>18</v>
      </c>
      <c r="G122" s="12">
        <v>447</v>
      </c>
      <c r="H122" s="13">
        <v>1</v>
      </c>
      <c r="I122" s="19">
        <f t="shared" si="28"/>
        <v>268.2</v>
      </c>
      <c r="J122" s="32" t="s">
        <v>364</v>
      </c>
      <c r="K122" s="13">
        <v>73524</v>
      </c>
    </row>
    <row r="123" spans="1:11" ht="13.5" customHeight="1" x14ac:dyDescent="0.2">
      <c r="A123" s="2" t="s">
        <v>32</v>
      </c>
      <c r="B123" s="76">
        <v>45670</v>
      </c>
      <c r="C123" s="263" t="s">
        <v>1044</v>
      </c>
      <c r="D123" s="20">
        <v>45670</v>
      </c>
      <c r="E123" s="20">
        <v>45687</v>
      </c>
      <c r="F123" s="11">
        <f t="shared" si="27"/>
        <v>18</v>
      </c>
      <c r="G123" s="12">
        <v>447</v>
      </c>
      <c r="H123" s="13">
        <v>1</v>
      </c>
      <c r="I123" s="19">
        <f t="shared" si="28"/>
        <v>268.2</v>
      </c>
      <c r="J123" s="32" t="s">
        <v>364</v>
      </c>
      <c r="K123" s="13">
        <v>73524</v>
      </c>
    </row>
    <row r="124" spans="1:11" ht="13.5" customHeight="1" x14ac:dyDescent="0.25">
      <c r="A124" s="14"/>
      <c r="B124" s="20"/>
      <c r="C124" s="13"/>
      <c r="D124" s="20"/>
      <c r="E124" s="20"/>
      <c r="F124" s="11"/>
      <c r="G124" s="12"/>
      <c r="H124" s="13"/>
      <c r="I124" s="19">
        <f t="shared" si="28"/>
        <v>0</v>
      </c>
      <c r="J124" s="32"/>
      <c r="K124" s="13"/>
    </row>
    <row r="125" spans="1:11" ht="13.5" customHeight="1" x14ac:dyDescent="0.25">
      <c r="A125" s="21" t="s">
        <v>244</v>
      </c>
      <c r="B125" s="26"/>
      <c r="C125" s="26"/>
      <c r="D125" s="23"/>
      <c r="E125" s="23"/>
      <c r="F125" s="24"/>
      <c r="G125" s="23"/>
      <c r="H125" s="22">
        <f>SUM(H115:H124)</f>
        <v>9</v>
      </c>
      <c r="I125" s="112">
        <f>SUM(I115:I124)</f>
        <v>2299.4</v>
      </c>
      <c r="J125" s="33"/>
      <c r="K125" s="116"/>
    </row>
    <row r="126" spans="1:11" ht="13.5" customHeight="1" x14ac:dyDescent="0.25">
      <c r="C126" s="15"/>
      <c r="D126" s="8"/>
      <c r="E126" s="8"/>
      <c r="F126" s="9"/>
      <c r="G126" s="10"/>
      <c r="I126" s="10"/>
      <c r="J126" s="4"/>
    </row>
    <row r="127" spans="1:11" ht="13.5" customHeight="1" x14ac:dyDescent="0.2">
      <c r="A127" s="2" t="s">
        <v>23</v>
      </c>
      <c r="B127" s="76">
        <v>45591</v>
      </c>
      <c r="C127" s="205">
        <v>14686</v>
      </c>
      <c r="D127" s="20">
        <v>45658</v>
      </c>
      <c r="E127" s="20">
        <v>45687</v>
      </c>
      <c r="F127" s="11">
        <f t="shared" ref="F127:F128" si="29">(E127-D127)+1</f>
        <v>30</v>
      </c>
      <c r="G127" s="154">
        <v>235</v>
      </c>
      <c r="H127" s="13">
        <v>1</v>
      </c>
      <c r="I127" s="154">
        <f>G127/30*H127*F127</f>
        <v>235</v>
      </c>
      <c r="J127" s="32" t="s">
        <v>588</v>
      </c>
      <c r="K127" s="13">
        <v>70510</v>
      </c>
    </row>
    <row r="128" spans="1:11" ht="13.5" customHeight="1" x14ac:dyDescent="0.2">
      <c r="A128" s="2" t="s">
        <v>23</v>
      </c>
      <c r="B128" s="76">
        <v>45582</v>
      </c>
      <c r="C128" s="220">
        <v>14701</v>
      </c>
      <c r="D128" s="20">
        <v>45658</v>
      </c>
      <c r="E128" s="20">
        <v>45687</v>
      </c>
      <c r="F128" s="11">
        <f t="shared" si="29"/>
        <v>30</v>
      </c>
      <c r="G128" s="154">
        <v>235</v>
      </c>
      <c r="H128" s="13">
        <v>1</v>
      </c>
      <c r="I128" s="154">
        <f>G128/30*H128*F128</f>
        <v>235</v>
      </c>
      <c r="J128" s="32" t="s">
        <v>719</v>
      </c>
      <c r="K128" s="13">
        <v>70064</v>
      </c>
    </row>
    <row r="129" spans="1:11" ht="13.5" customHeight="1" x14ac:dyDescent="0.2">
      <c r="A129" s="2" t="s">
        <v>23</v>
      </c>
      <c r="B129" s="76">
        <v>45512</v>
      </c>
      <c r="C129" s="13">
        <v>12497</v>
      </c>
      <c r="D129" s="20">
        <v>45658</v>
      </c>
      <c r="E129" s="20">
        <v>45687</v>
      </c>
      <c r="F129" s="11">
        <f t="shared" ref="F129:F137" si="30">(E129-D129)+1</f>
        <v>30</v>
      </c>
      <c r="G129" s="154">
        <v>235</v>
      </c>
      <c r="H129" s="13">
        <v>1</v>
      </c>
      <c r="I129" s="154">
        <f>G129/30*H129*F129</f>
        <v>235</v>
      </c>
      <c r="J129" s="32" t="s">
        <v>247</v>
      </c>
      <c r="K129" s="13">
        <v>55863</v>
      </c>
    </row>
    <row r="130" spans="1:11" ht="13.5" customHeight="1" x14ac:dyDescent="0.2">
      <c r="A130" s="2" t="s">
        <v>23</v>
      </c>
      <c r="B130" s="76">
        <v>45551</v>
      </c>
      <c r="C130" s="55">
        <v>14705</v>
      </c>
      <c r="D130" s="20">
        <v>45658</v>
      </c>
      <c r="E130" s="20">
        <v>45687</v>
      </c>
      <c r="F130" s="11">
        <f t="shared" si="30"/>
        <v>30</v>
      </c>
      <c r="G130" s="154">
        <v>235</v>
      </c>
      <c r="H130" s="13">
        <v>1</v>
      </c>
      <c r="I130" s="154">
        <f t="shared" ref="I130:I138" si="31">G130/30*H130*F130</f>
        <v>235</v>
      </c>
      <c r="J130" s="32" t="s">
        <v>352</v>
      </c>
      <c r="K130" s="13">
        <v>68241</v>
      </c>
    </row>
    <row r="131" spans="1:11" ht="13.5" customHeight="1" x14ac:dyDescent="0.2">
      <c r="A131" s="2" t="s">
        <v>23</v>
      </c>
      <c r="B131" s="76">
        <v>45512</v>
      </c>
      <c r="C131" s="55">
        <v>11638</v>
      </c>
      <c r="D131" s="20">
        <v>45658</v>
      </c>
      <c r="E131" s="20">
        <v>45687</v>
      </c>
      <c r="F131" s="11">
        <f t="shared" si="30"/>
        <v>30</v>
      </c>
      <c r="G131" s="154">
        <v>235</v>
      </c>
      <c r="H131" s="13">
        <v>1</v>
      </c>
      <c r="I131" s="154">
        <f t="shared" si="31"/>
        <v>235</v>
      </c>
      <c r="J131" s="32" t="s">
        <v>248</v>
      </c>
      <c r="K131" s="13">
        <v>55712</v>
      </c>
    </row>
    <row r="132" spans="1:11" ht="13.5" customHeight="1" x14ac:dyDescent="0.2">
      <c r="A132" s="2" t="s">
        <v>23</v>
      </c>
      <c r="B132" s="76">
        <v>45664</v>
      </c>
      <c r="C132" s="264">
        <v>15200</v>
      </c>
      <c r="D132" s="20">
        <v>45664</v>
      </c>
      <c r="E132" s="20">
        <v>45687</v>
      </c>
      <c r="F132" s="11">
        <f t="shared" si="30"/>
        <v>24</v>
      </c>
      <c r="G132" s="154">
        <v>235</v>
      </c>
      <c r="H132" s="13">
        <v>1</v>
      </c>
      <c r="I132" s="154">
        <f t="shared" si="31"/>
        <v>188</v>
      </c>
      <c r="J132" s="32" t="s">
        <v>1006</v>
      </c>
      <c r="K132" s="13">
        <v>73374</v>
      </c>
    </row>
    <row r="133" spans="1:11" ht="13.5" customHeight="1" x14ac:dyDescent="0.2">
      <c r="A133" s="2" t="s">
        <v>23</v>
      </c>
      <c r="B133" s="76">
        <v>45664</v>
      </c>
      <c r="C133" s="264">
        <v>15274</v>
      </c>
      <c r="D133" s="20">
        <v>45664</v>
      </c>
      <c r="E133" s="20">
        <v>45687</v>
      </c>
      <c r="F133" s="11">
        <f t="shared" si="30"/>
        <v>24</v>
      </c>
      <c r="G133" s="154">
        <v>235</v>
      </c>
      <c r="H133" s="13">
        <v>1</v>
      </c>
      <c r="I133" s="154">
        <f t="shared" si="31"/>
        <v>188</v>
      </c>
      <c r="J133" s="32" t="s">
        <v>1006</v>
      </c>
      <c r="K133" s="13">
        <v>73374</v>
      </c>
    </row>
    <row r="134" spans="1:11" ht="13.5" customHeight="1" x14ac:dyDescent="0.2">
      <c r="A134" s="2" t="s">
        <v>24</v>
      </c>
      <c r="B134" s="76">
        <v>45668</v>
      </c>
      <c r="C134" s="264">
        <v>17475</v>
      </c>
      <c r="D134" s="20">
        <v>45668</v>
      </c>
      <c r="E134" s="20">
        <v>45687</v>
      </c>
      <c r="F134" s="11">
        <f t="shared" si="30"/>
        <v>20</v>
      </c>
      <c r="G134" s="154">
        <v>238</v>
      </c>
      <c r="H134" s="13">
        <v>1</v>
      </c>
      <c r="I134" s="154">
        <f t="shared" si="31"/>
        <v>158.66666666666669</v>
      </c>
      <c r="J134" s="32" t="s">
        <v>1007</v>
      </c>
      <c r="K134" s="13">
        <v>73892</v>
      </c>
    </row>
    <row r="135" spans="1:11" ht="13.5" customHeight="1" x14ac:dyDescent="0.2">
      <c r="A135" s="2" t="s">
        <v>24</v>
      </c>
      <c r="B135" s="76">
        <v>45551</v>
      </c>
      <c r="C135" s="55">
        <v>15146</v>
      </c>
      <c r="D135" s="20">
        <v>45658</v>
      </c>
      <c r="E135" s="20">
        <v>45687</v>
      </c>
      <c r="F135" s="11">
        <f t="shared" si="30"/>
        <v>30</v>
      </c>
      <c r="G135" s="12">
        <v>238</v>
      </c>
      <c r="H135" s="13">
        <v>1</v>
      </c>
      <c r="I135" s="154">
        <f t="shared" si="31"/>
        <v>238</v>
      </c>
      <c r="J135" s="32" t="s">
        <v>351</v>
      </c>
      <c r="K135" s="13">
        <v>68241</v>
      </c>
    </row>
    <row r="136" spans="1:11" ht="13.5" customHeight="1" x14ac:dyDescent="0.2">
      <c r="A136" s="2" t="s">
        <v>24</v>
      </c>
      <c r="B136" s="76">
        <v>45512</v>
      </c>
      <c r="C136" s="55">
        <v>5430</v>
      </c>
      <c r="D136" s="20">
        <v>45658</v>
      </c>
      <c r="E136" s="20">
        <v>45687</v>
      </c>
      <c r="F136" s="11">
        <f t="shared" si="30"/>
        <v>30</v>
      </c>
      <c r="G136" s="12">
        <v>238</v>
      </c>
      <c r="H136" s="13">
        <v>1</v>
      </c>
      <c r="I136" s="154">
        <f t="shared" si="31"/>
        <v>238</v>
      </c>
      <c r="J136" s="32" t="s">
        <v>202</v>
      </c>
      <c r="K136" s="13">
        <v>61072</v>
      </c>
    </row>
    <row r="137" spans="1:11" ht="13.5" customHeight="1" x14ac:dyDescent="0.2">
      <c r="A137" s="2" t="s">
        <v>24</v>
      </c>
      <c r="B137" s="76">
        <v>45521</v>
      </c>
      <c r="C137" s="55">
        <v>14514</v>
      </c>
      <c r="D137" s="20">
        <v>45658</v>
      </c>
      <c r="E137" s="20">
        <v>45687</v>
      </c>
      <c r="F137" s="11">
        <f t="shared" si="30"/>
        <v>30</v>
      </c>
      <c r="G137" s="12">
        <v>238</v>
      </c>
      <c r="H137" s="13">
        <v>1</v>
      </c>
      <c r="I137" s="154">
        <f t="shared" si="31"/>
        <v>238</v>
      </c>
      <c r="J137" s="32" t="s">
        <v>203</v>
      </c>
      <c r="K137" s="13">
        <v>66711</v>
      </c>
    </row>
    <row r="138" spans="1:11" ht="13.5" customHeight="1" x14ac:dyDescent="0.25">
      <c r="A138" s="14"/>
      <c r="B138" s="20"/>
      <c r="C138" s="13"/>
      <c r="D138" s="20"/>
      <c r="E138" s="20"/>
      <c r="F138" s="11"/>
      <c r="G138" s="12"/>
      <c r="H138" s="13"/>
      <c r="I138" s="154">
        <f t="shared" si="31"/>
        <v>0</v>
      </c>
      <c r="J138" s="32"/>
      <c r="K138" s="13"/>
    </row>
    <row r="139" spans="1:11" ht="13.5" customHeight="1" x14ac:dyDescent="0.25">
      <c r="A139" s="21" t="s">
        <v>181</v>
      </c>
      <c r="B139" s="26"/>
      <c r="C139" s="26"/>
      <c r="D139" s="23"/>
      <c r="E139" s="23"/>
      <c r="F139" s="24"/>
      <c r="G139" s="23"/>
      <c r="H139" s="22">
        <f>SUM(H127:H138)</f>
        <v>11</v>
      </c>
      <c r="I139" s="112">
        <f>SUM(I127:I138)</f>
        <v>2423.666666666667</v>
      </c>
      <c r="J139" s="33"/>
      <c r="K139" s="116"/>
    </row>
    <row r="140" spans="1:11" ht="13.5" customHeight="1" x14ac:dyDescent="0.25">
      <c r="A140" s="322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</row>
    <row r="141" spans="1:11" ht="13.5" customHeight="1" x14ac:dyDescent="0.2">
      <c r="A141" s="2" t="s">
        <v>23</v>
      </c>
      <c r="B141" s="76">
        <v>45569</v>
      </c>
      <c r="C141" s="177">
        <v>15333</v>
      </c>
      <c r="D141" s="20">
        <v>45658</v>
      </c>
      <c r="E141" s="20">
        <v>45687</v>
      </c>
      <c r="F141" s="11">
        <f t="shared" ref="F141:F147" si="32">(E141-D141)+1</f>
        <v>30</v>
      </c>
      <c r="G141" s="12">
        <v>235</v>
      </c>
      <c r="H141" s="13">
        <v>1</v>
      </c>
      <c r="I141" s="182">
        <f>G141/30*H141*F141</f>
        <v>235</v>
      </c>
      <c r="J141" s="32" t="s">
        <v>585</v>
      </c>
      <c r="K141" s="13">
        <v>67422</v>
      </c>
    </row>
    <row r="142" spans="1:11" ht="13.5" customHeight="1" x14ac:dyDescent="0.2">
      <c r="A142" s="2" t="s">
        <v>23</v>
      </c>
      <c r="B142" s="76">
        <v>45590</v>
      </c>
      <c r="C142" s="177">
        <v>15328</v>
      </c>
      <c r="D142" s="20">
        <v>45658</v>
      </c>
      <c r="E142" s="20">
        <v>45687</v>
      </c>
      <c r="F142" s="11">
        <f t="shared" si="32"/>
        <v>30</v>
      </c>
      <c r="G142" s="12">
        <v>235</v>
      </c>
      <c r="H142" s="13">
        <v>1</v>
      </c>
      <c r="I142" s="182">
        <f t="shared" ref="I142:I148" si="33">G142/30*H142*F142</f>
        <v>235</v>
      </c>
      <c r="J142" s="32" t="s">
        <v>586</v>
      </c>
      <c r="K142" s="13">
        <v>70575</v>
      </c>
    </row>
    <row r="143" spans="1:11" ht="13.5" customHeight="1" x14ac:dyDescent="0.2">
      <c r="A143" s="2" t="s">
        <v>23</v>
      </c>
      <c r="B143" s="76">
        <v>45595</v>
      </c>
      <c r="C143" s="177">
        <v>14093</v>
      </c>
      <c r="D143" s="20">
        <v>45658</v>
      </c>
      <c r="E143" s="20">
        <v>45687</v>
      </c>
      <c r="F143" s="11">
        <f t="shared" si="32"/>
        <v>30</v>
      </c>
      <c r="G143" s="12">
        <v>235</v>
      </c>
      <c r="H143" s="13">
        <v>1</v>
      </c>
      <c r="I143" s="182">
        <f t="shared" si="33"/>
        <v>235</v>
      </c>
      <c r="J143" s="32" t="s">
        <v>717</v>
      </c>
      <c r="K143" s="13">
        <v>70086</v>
      </c>
    </row>
    <row r="144" spans="1:11" ht="13.5" customHeight="1" x14ac:dyDescent="0.2">
      <c r="A144" s="2" t="s">
        <v>23</v>
      </c>
      <c r="B144" s="76">
        <v>45595</v>
      </c>
      <c r="C144" s="177">
        <v>16183</v>
      </c>
      <c r="D144" s="20">
        <v>45658</v>
      </c>
      <c r="E144" s="20">
        <v>45687</v>
      </c>
      <c r="F144" s="11">
        <f t="shared" si="32"/>
        <v>30</v>
      </c>
      <c r="G144" s="12">
        <v>235</v>
      </c>
      <c r="H144" s="13">
        <v>1</v>
      </c>
      <c r="I144" s="182">
        <f t="shared" si="33"/>
        <v>235</v>
      </c>
      <c r="J144" s="32" t="s">
        <v>718</v>
      </c>
      <c r="K144" s="13">
        <v>70086</v>
      </c>
    </row>
    <row r="145" spans="1:12" ht="13.5" customHeight="1" x14ac:dyDescent="0.2">
      <c r="A145" s="2" t="s">
        <v>24</v>
      </c>
      <c r="B145" s="76">
        <v>45605</v>
      </c>
      <c r="C145" s="177">
        <v>16606</v>
      </c>
      <c r="D145" s="20">
        <v>45658</v>
      </c>
      <c r="E145" s="20">
        <v>45687</v>
      </c>
      <c r="F145" s="11">
        <f t="shared" si="32"/>
        <v>30</v>
      </c>
      <c r="G145" s="12">
        <v>238</v>
      </c>
      <c r="H145" s="13">
        <v>1</v>
      </c>
      <c r="I145" s="182">
        <f t="shared" si="33"/>
        <v>238</v>
      </c>
      <c r="J145" s="32" t="s">
        <v>806</v>
      </c>
      <c r="K145" s="13">
        <v>71213</v>
      </c>
    </row>
    <row r="146" spans="1:12" ht="13.5" customHeight="1" x14ac:dyDescent="0.2">
      <c r="A146" s="2" t="s">
        <v>24</v>
      </c>
      <c r="B146" s="76">
        <v>45602</v>
      </c>
      <c r="C146" s="177">
        <v>16488</v>
      </c>
      <c r="D146" s="20">
        <v>45658</v>
      </c>
      <c r="E146" s="20">
        <v>45687</v>
      </c>
      <c r="F146" s="11">
        <f t="shared" si="32"/>
        <v>30</v>
      </c>
      <c r="G146" s="12">
        <v>238</v>
      </c>
      <c r="H146" s="13">
        <v>1</v>
      </c>
      <c r="I146" s="182">
        <f t="shared" si="33"/>
        <v>238</v>
      </c>
      <c r="J146" s="32" t="s">
        <v>802</v>
      </c>
      <c r="K146" s="13">
        <v>71155</v>
      </c>
    </row>
    <row r="147" spans="1:12" ht="13.5" customHeight="1" x14ac:dyDescent="0.2">
      <c r="A147" s="2" t="s">
        <v>25</v>
      </c>
      <c r="B147" s="76">
        <v>45590</v>
      </c>
      <c r="C147" s="177">
        <v>16063</v>
      </c>
      <c r="D147" s="20">
        <v>45658</v>
      </c>
      <c r="E147" s="20">
        <v>45687</v>
      </c>
      <c r="F147" s="11">
        <f t="shared" si="32"/>
        <v>30</v>
      </c>
      <c r="G147" s="12">
        <v>242</v>
      </c>
      <c r="H147" s="13">
        <v>1</v>
      </c>
      <c r="I147" s="182">
        <f t="shared" si="33"/>
        <v>242</v>
      </c>
      <c r="J147" s="32" t="s">
        <v>587</v>
      </c>
      <c r="K147" s="98">
        <v>70575</v>
      </c>
    </row>
    <row r="148" spans="1:12" ht="13.5" customHeight="1" x14ac:dyDescent="0.25">
      <c r="A148" s="14"/>
      <c r="B148" s="20"/>
      <c r="C148" s="135"/>
      <c r="D148" s="20"/>
      <c r="E148" s="20"/>
      <c r="F148" s="11"/>
      <c r="G148" s="12"/>
      <c r="H148" s="13"/>
      <c r="I148" s="19">
        <f t="shared" si="33"/>
        <v>0</v>
      </c>
      <c r="J148" s="32"/>
      <c r="K148" s="13"/>
    </row>
    <row r="149" spans="1:12" ht="13.5" customHeight="1" x14ac:dyDescent="0.25">
      <c r="A149" s="21" t="s">
        <v>584</v>
      </c>
      <c r="B149" s="26"/>
      <c r="C149" s="26"/>
      <c r="D149" s="23"/>
      <c r="E149" s="23"/>
      <c r="F149" s="24"/>
      <c r="G149" s="23"/>
      <c r="H149" s="22">
        <f>SUM(H141:H148)</f>
        <v>7</v>
      </c>
      <c r="I149" s="112">
        <f>SUM(I141:I148)</f>
        <v>1658</v>
      </c>
      <c r="J149" s="33"/>
      <c r="K149" s="116"/>
    </row>
    <row r="150" spans="1:12" ht="13.5" customHeight="1" x14ac:dyDescent="0.25">
      <c r="A150" s="322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</row>
    <row r="151" spans="1:12" ht="13.5" customHeight="1" x14ac:dyDescent="0.2">
      <c r="A151" s="2" t="s">
        <v>22</v>
      </c>
      <c r="B151" s="76">
        <v>45618</v>
      </c>
      <c r="C151" s="173">
        <v>16717</v>
      </c>
      <c r="D151" s="20">
        <v>45658</v>
      </c>
      <c r="E151" s="20">
        <v>45687</v>
      </c>
      <c r="F151" s="11">
        <f t="shared" ref="F151:F153" si="34">(E151-D151)+1</f>
        <v>30</v>
      </c>
      <c r="G151" s="12">
        <v>147</v>
      </c>
      <c r="H151" s="170">
        <v>1</v>
      </c>
      <c r="I151" s="182">
        <f t="shared" ref="I151:I165" si="35">G151/30*H151*F151</f>
        <v>147</v>
      </c>
      <c r="J151" s="32" t="s">
        <v>839</v>
      </c>
      <c r="K151" s="13">
        <v>71473</v>
      </c>
    </row>
    <row r="152" spans="1:12" ht="13.5" customHeight="1" x14ac:dyDescent="0.2">
      <c r="A152" s="2" t="s">
        <v>23</v>
      </c>
      <c r="B152" s="76">
        <v>45618</v>
      </c>
      <c r="C152" s="173">
        <v>16143</v>
      </c>
      <c r="D152" s="20">
        <v>45658</v>
      </c>
      <c r="E152" s="20">
        <v>45687</v>
      </c>
      <c r="F152" s="11">
        <f t="shared" si="34"/>
        <v>30</v>
      </c>
      <c r="G152" s="12">
        <v>235</v>
      </c>
      <c r="H152" s="13">
        <v>1</v>
      </c>
      <c r="I152" s="182">
        <f t="shared" si="35"/>
        <v>235</v>
      </c>
      <c r="J152" s="32" t="s">
        <v>837</v>
      </c>
      <c r="K152" s="13">
        <v>71473</v>
      </c>
    </row>
    <row r="153" spans="1:12" ht="13.5" customHeight="1" x14ac:dyDescent="0.2">
      <c r="A153" s="2" t="s">
        <v>23</v>
      </c>
      <c r="B153" s="76">
        <v>45618</v>
      </c>
      <c r="C153" s="173">
        <v>16169</v>
      </c>
      <c r="D153" s="20">
        <v>45658</v>
      </c>
      <c r="E153" s="20">
        <v>45687</v>
      </c>
      <c r="F153" s="11">
        <f t="shared" si="34"/>
        <v>30</v>
      </c>
      <c r="G153" s="12">
        <v>235</v>
      </c>
      <c r="H153" s="13">
        <v>1</v>
      </c>
      <c r="I153" s="182">
        <f t="shared" si="35"/>
        <v>235</v>
      </c>
      <c r="J153" s="32" t="s">
        <v>838</v>
      </c>
      <c r="K153" s="13">
        <v>71473</v>
      </c>
    </row>
    <row r="154" spans="1:12" ht="13.5" customHeight="1" x14ac:dyDescent="0.2">
      <c r="A154" s="2" t="s">
        <v>23</v>
      </c>
      <c r="B154" s="76">
        <v>45610</v>
      </c>
      <c r="C154" s="55">
        <v>16161</v>
      </c>
      <c r="D154" s="20">
        <v>45658</v>
      </c>
      <c r="E154" s="20">
        <v>45687</v>
      </c>
      <c r="F154" s="11">
        <f>(E154-D154)+1</f>
        <v>30</v>
      </c>
      <c r="G154" s="12">
        <v>235</v>
      </c>
      <c r="H154" s="13">
        <v>1</v>
      </c>
      <c r="I154" s="182">
        <f t="shared" si="35"/>
        <v>235</v>
      </c>
      <c r="J154" s="32" t="s">
        <v>811</v>
      </c>
      <c r="K154" s="13">
        <v>71466</v>
      </c>
    </row>
    <row r="155" spans="1:12" ht="13.5" customHeight="1" x14ac:dyDescent="0.2">
      <c r="A155" s="2" t="s">
        <v>23</v>
      </c>
      <c r="B155" s="76">
        <v>45610</v>
      </c>
      <c r="C155" s="228">
        <v>16148</v>
      </c>
      <c r="D155" s="20">
        <v>45658</v>
      </c>
      <c r="E155" s="20">
        <v>45687</v>
      </c>
      <c r="F155" s="11">
        <f>(E155-D155)+1</f>
        <v>30</v>
      </c>
      <c r="G155" s="12">
        <v>235</v>
      </c>
      <c r="H155" s="13">
        <v>1</v>
      </c>
      <c r="I155" s="182">
        <f t="shared" si="35"/>
        <v>235</v>
      </c>
      <c r="J155" s="32" t="s">
        <v>811</v>
      </c>
      <c r="K155" s="13">
        <v>71466</v>
      </c>
      <c r="L155" s="223"/>
    </row>
    <row r="156" spans="1:12" ht="13.5" customHeight="1" x14ac:dyDescent="0.2">
      <c r="A156" s="2" t="s">
        <v>23</v>
      </c>
      <c r="B156" s="76">
        <v>45610</v>
      </c>
      <c r="C156" s="177">
        <v>16177</v>
      </c>
      <c r="D156" s="20">
        <v>45658</v>
      </c>
      <c r="E156" s="20">
        <v>45687</v>
      </c>
      <c r="F156" s="11">
        <f>(E156-D156)+1</f>
        <v>30</v>
      </c>
      <c r="G156" s="12">
        <v>235</v>
      </c>
      <c r="H156" s="13">
        <v>1</v>
      </c>
      <c r="I156" s="182">
        <f t="shared" si="35"/>
        <v>235</v>
      </c>
      <c r="J156" s="32" t="s">
        <v>812</v>
      </c>
      <c r="K156" s="13">
        <v>71466</v>
      </c>
    </row>
    <row r="157" spans="1:12" ht="13.5" customHeight="1" x14ac:dyDescent="0.2">
      <c r="A157" s="2" t="s">
        <v>23</v>
      </c>
      <c r="B157" s="76">
        <v>45610</v>
      </c>
      <c r="C157" s="177">
        <v>16188</v>
      </c>
      <c r="D157" s="20">
        <v>45658</v>
      </c>
      <c r="E157" s="20">
        <v>45687</v>
      </c>
      <c r="F157" s="11">
        <f>(E157-D157)+1</f>
        <v>30</v>
      </c>
      <c r="G157" s="12">
        <v>235</v>
      </c>
      <c r="H157" s="13">
        <v>1</v>
      </c>
      <c r="I157" s="182">
        <f t="shared" si="35"/>
        <v>235</v>
      </c>
      <c r="J157" s="32" t="s">
        <v>812</v>
      </c>
      <c r="K157" s="13">
        <v>71466</v>
      </c>
    </row>
    <row r="158" spans="1:12" ht="13.5" customHeight="1" x14ac:dyDescent="0.2">
      <c r="A158" s="2" t="s">
        <v>23</v>
      </c>
      <c r="B158" s="76">
        <v>45610</v>
      </c>
      <c r="C158" s="177">
        <v>16192</v>
      </c>
      <c r="D158" s="20">
        <v>45658</v>
      </c>
      <c r="E158" s="20">
        <v>45687</v>
      </c>
      <c r="F158" s="11">
        <f t="shared" ref="F158:F164" si="36">(E158-D158)+1</f>
        <v>30</v>
      </c>
      <c r="G158" s="12">
        <v>235</v>
      </c>
      <c r="H158" s="13">
        <v>1</v>
      </c>
      <c r="I158" s="182">
        <f t="shared" si="35"/>
        <v>235</v>
      </c>
      <c r="J158" s="32" t="s">
        <v>813</v>
      </c>
      <c r="K158" s="13">
        <v>71466</v>
      </c>
    </row>
    <row r="159" spans="1:12" ht="13.5" customHeight="1" x14ac:dyDescent="0.2">
      <c r="A159" s="2" t="s">
        <v>23</v>
      </c>
      <c r="B159" s="76">
        <v>45610</v>
      </c>
      <c r="C159" s="177">
        <v>16181</v>
      </c>
      <c r="D159" s="20">
        <v>45658</v>
      </c>
      <c r="E159" s="20">
        <v>45687</v>
      </c>
      <c r="F159" s="11">
        <f t="shared" si="36"/>
        <v>30</v>
      </c>
      <c r="G159" s="12">
        <v>235</v>
      </c>
      <c r="H159" s="13">
        <v>1</v>
      </c>
      <c r="I159" s="182">
        <f t="shared" si="35"/>
        <v>235</v>
      </c>
      <c r="J159" s="32" t="s">
        <v>813</v>
      </c>
      <c r="K159" s="13">
        <v>71466</v>
      </c>
    </row>
    <row r="160" spans="1:12" ht="13.5" customHeight="1" x14ac:dyDescent="0.2">
      <c r="A160" s="2" t="s">
        <v>23</v>
      </c>
      <c r="B160" s="76">
        <v>45624</v>
      </c>
      <c r="C160" s="177">
        <v>16157</v>
      </c>
      <c r="D160" s="20">
        <v>45658</v>
      </c>
      <c r="E160" s="20">
        <v>45687</v>
      </c>
      <c r="F160" s="11">
        <f t="shared" si="36"/>
        <v>30</v>
      </c>
      <c r="G160" s="12">
        <v>235</v>
      </c>
      <c r="H160" s="13">
        <v>1</v>
      </c>
      <c r="I160" s="182">
        <f t="shared" si="35"/>
        <v>235</v>
      </c>
      <c r="J160" s="32" t="s">
        <v>849</v>
      </c>
      <c r="K160" s="13">
        <v>71954</v>
      </c>
    </row>
    <row r="161" spans="1:12" ht="13.5" customHeight="1" x14ac:dyDescent="0.2">
      <c r="A161" s="2" t="s">
        <v>24</v>
      </c>
      <c r="B161" s="76">
        <v>45658</v>
      </c>
      <c r="C161" s="265">
        <v>17214</v>
      </c>
      <c r="D161" s="20">
        <v>45658</v>
      </c>
      <c r="E161" s="20">
        <v>45687</v>
      </c>
      <c r="F161" s="11">
        <f t="shared" si="36"/>
        <v>30</v>
      </c>
      <c r="G161" s="12">
        <v>238</v>
      </c>
      <c r="H161" s="13">
        <v>1</v>
      </c>
      <c r="I161" s="182">
        <f t="shared" si="35"/>
        <v>238</v>
      </c>
      <c r="J161" s="32" t="s">
        <v>1005</v>
      </c>
      <c r="K161" s="135">
        <v>73365</v>
      </c>
    </row>
    <row r="162" spans="1:12" ht="13.5" customHeight="1" x14ac:dyDescent="0.2">
      <c r="A162" s="2" t="s">
        <v>24</v>
      </c>
      <c r="B162" s="76">
        <v>45617</v>
      </c>
      <c r="C162" s="177">
        <v>16648</v>
      </c>
      <c r="D162" s="20">
        <v>45658</v>
      </c>
      <c r="E162" s="20">
        <v>45687</v>
      </c>
      <c r="F162" s="11">
        <f t="shared" si="36"/>
        <v>30</v>
      </c>
      <c r="G162" s="12">
        <v>238</v>
      </c>
      <c r="H162" s="13">
        <v>1</v>
      </c>
      <c r="I162" s="182">
        <f t="shared" si="35"/>
        <v>238</v>
      </c>
      <c r="J162" s="32" t="s">
        <v>821</v>
      </c>
      <c r="K162" s="13">
        <v>71461</v>
      </c>
    </row>
    <row r="163" spans="1:12" ht="13.5" customHeight="1" x14ac:dyDescent="0.2">
      <c r="A163" s="2" t="s">
        <v>24</v>
      </c>
      <c r="B163" s="76">
        <v>45617</v>
      </c>
      <c r="C163" s="177">
        <v>16658</v>
      </c>
      <c r="D163" s="20">
        <v>45658</v>
      </c>
      <c r="E163" s="20">
        <v>45687</v>
      </c>
      <c r="F163" s="11">
        <f t="shared" si="36"/>
        <v>30</v>
      </c>
      <c r="G163" s="12">
        <v>238</v>
      </c>
      <c r="H163" s="13">
        <v>1</v>
      </c>
      <c r="I163" s="182">
        <f t="shared" si="35"/>
        <v>238</v>
      </c>
      <c r="J163" s="32" t="s">
        <v>822</v>
      </c>
      <c r="K163" s="13">
        <v>71461</v>
      </c>
    </row>
    <row r="164" spans="1:12" ht="13.5" customHeight="1" x14ac:dyDescent="0.2">
      <c r="A164" s="2" t="s">
        <v>24</v>
      </c>
      <c r="B164" s="76">
        <v>45617</v>
      </c>
      <c r="C164" s="177">
        <v>16609</v>
      </c>
      <c r="D164" s="20">
        <v>45658</v>
      </c>
      <c r="E164" s="20">
        <v>45687</v>
      </c>
      <c r="F164" s="11">
        <f t="shared" si="36"/>
        <v>30</v>
      </c>
      <c r="G164" s="12">
        <v>238</v>
      </c>
      <c r="H164" s="13">
        <v>1</v>
      </c>
      <c r="I164" s="182">
        <f t="shared" si="35"/>
        <v>238</v>
      </c>
      <c r="J164" s="32" t="s">
        <v>823</v>
      </c>
      <c r="K164" s="13">
        <v>71461</v>
      </c>
    </row>
    <row r="165" spans="1:12" ht="13.5" customHeight="1" x14ac:dyDescent="0.25">
      <c r="A165" s="14"/>
      <c r="B165" s="20"/>
      <c r="C165" s="55"/>
      <c r="D165" s="20"/>
      <c r="E165" s="20"/>
      <c r="F165" s="11"/>
      <c r="G165" s="12"/>
      <c r="H165" s="13"/>
      <c r="I165" s="19">
        <f t="shared" si="35"/>
        <v>0</v>
      </c>
      <c r="J165" s="32"/>
      <c r="K165" s="13"/>
    </row>
    <row r="166" spans="1:12" ht="13.5" customHeight="1" x14ac:dyDescent="0.25">
      <c r="A166" s="21" t="s">
        <v>810</v>
      </c>
      <c r="B166" s="26"/>
      <c r="C166" s="26"/>
      <c r="D166" s="23"/>
      <c r="E166" s="23"/>
      <c r="F166" s="24"/>
      <c r="G166" s="23"/>
      <c r="H166" s="22">
        <f>SUM(H151:H165)</f>
        <v>14</v>
      </c>
      <c r="I166" s="112">
        <f>SUM(I151:I165)</f>
        <v>3214</v>
      </c>
      <c r="J166" s="33"/>
      <c r="K166" s="116"/>
    </row>
    <row r="167" spans="1:12" ht="13.5" customHeight="1" x14ac:dyDescent="0.25">
      <c r="C167" s="15"/>
      <c r="D167" s="8"/>
      <c r="E167" s="8"/>
      <c r="F167" s="9"/>
      <c r="G167" s="10"/>
      <c r="I167" s="10"/>
      <c r="J167" s="4"/>
    </row>
    <row r="168" spans="1:12" ht="13.5" customHeight="1" x14ac:dyDescent="0.2">
      <c r="A168" s="2" t="s">
        <v>23</v>
      </c>
      <c r="B168" s="76">
        <v>45523</v>
      </c>
      <c r="C168" s="55">
        <v>14110</v>
      </c>
      <c r="D168" s="20">
        <v>45658</v>
      </c>
      <c r="E168" s="20">
        <v>45687</v>
      </c>
      <c r="F168" s="11">
        <f>(E168-D168)+1</f>
        <v>30</v>
      </c>
      <c r="G168" s="12">
        <v>235</v>
      </c>
      <c r="H168" s="13">
        <v>1</v>
      </c>
      <c r="I168" s="182">
        <f t="shared" ref="I168:I173" si="37">G168/30*H168*F168</f>
        <v>235</v>
      </c>
      <c r="J168" s="32" t="s">
        <v>204</v>
      </c>
      <c r="K168" s="13">
        <v>66722</v>
      </c>
    </row>
    <row r="169" spans="1:12" ht="13.5" customHeight="1" x14ac:dyDescent="0.2">
      <c r="A169" s="2" t="s">
        <v>23</v>
      </c>
      <c r="B169" s="76">
        <v>45595</v>
      </c>
      <c r="C169" s="228">
        <v>16184</v>
      </c>
      <c r="D169" s="20">
        <v>45658</v>
      </c>
      <c r="E169" s="20">
        <v>45687</v>
      </c>
      <c r="F169" s="11">
        <f>(E169-D169)+1</f>
        <v>30</v>
      </c>
      <c r="G169" s="12">
        <v>235</v>
      </c>
      <c r="H169" s="13">
        <v>1</v>
      </c>
      <c r="I169" s="182">
        <f t="shared" si="37"/>
        <v>235</v>
      </c>
      <c r="J169" s="32" t="s">
        <v>330</v>
      </c>
      <c r="K169" s="13">
        <v>70781</v>
      </c>
    </row>
    <row r="170" spans="1:12" ht="13.5" customHeight="1" x14ac:dyDescent="0.2">
      <c r="A170" s="2" t="s">
        <v>24</v>
      </c>
      <c r="B170" s="76">
        <v>45597</v>
      </c>
      <c r="C170" s="177">
        <v>16500</v>
      </c>
      <c r="D170" s="20">
        <v>45658</v>
      </c>
      <c r="E170" s="20">
        <v>45687</v>
      </c>
      <c r="F170" s="11">
        <f>(E170-D170)+1</f>
        <v>30</v>
      </c>
      <c r="G170" s="12">
        <v>238</v>
      </c>
      <c r="H170" s="13">
        <v>1</v>
      </c>
      <c r="I170" s="182">
        <f t="shared" si="37"/>
        <v>238</v>
      </c>
      <c r="J170" s="32" t="s">
        <v>791</v>
      </c>
      <c r="K170" s="13">
        <v>70774</v>
      </c>
    </row>
    <row r="171" spans="1:12" ht="13.5" customHeight="1" x14ac:dyDescent="0.2">
      <c r="A171" s="2" t="s">
        <v>24</v>
      </c>
      <c r="B171" s="76">
        <v>45597</v>
      </c>
      <c r="C171" s="177">
        <v>16498</v>
      </c>
      <c r="D171" s="20">
        <v>45658</v>
      </c>
      <c r="E171" s="20">
        <v>45687</v>
      </c>
      <c r="F171" s="11">
        <f>(E171-D171)+1</f>
        <v>30</v>
      </c>
      <c r="G171" s="12">
        <v>238</v>
      </c>
      <c r="H171" s="13">
        <v>1</v>
      </c>
      <c r="I171" s="182">
        <f t="shared" si="37"/>
        <v>238</v>
      </c>
      <c r="J171" s="32" t="s">
        <v>792</v>
      </c>
      <c r="K171" s="13">
        <v>70774</v>
      </c>
    </row>
    <row r="172" spans="1:12" ht="13.5" customHeight="1" x14ac:dyDescent="0.2">
      <c r="A172" s="2" t="s">
        <v>26</v>
      </c>
      <c r="B172" s="76">
        <v>45597</v>
      </c>
      <c r="C172" s="177">
        <v>16334</v>
      </c>
      <c r="D172" s="20">
        <v>45658</v>
      </c>
      <c r="E172" s="20">
        <v>45687</v>
      </c>
      <c r="F172" s="11">
        <f>(E172-D172)+1</f>
        <v>30</v>
      </c>
      <c r="G172" s="12">
        <v>260</v>
      </c>
      <c r="H172" s="13">
        <v>1</v>
      </c>
      <c r="I172" s="182">
        <f t="shared" si="37"/>
        <v>260</v>
      </c>
      <c r="J172" s="32" t="s">
        <v>477</v>
      </c>
      <c r="K172" s="13">
        <v>70774</v>
      </c>
      <c r="L172" s="7" t="s">
        <v>854</v>
      </c>
    </row>
    <row r="173" spans="1:12" ht="13.5" customHeight="1" x14ac:dyDescent="0.25">
      <c r="A173" s="14"/>
      <c r="B173" s="20"/>
      <c r="C173" s="135"/>
      <c r="D173" s="20"/>
      <c r="E173" s="20"/>
      <c r="F173" s="11"/>
      <c r="G173" s="12"/>
      <c r="H173" s="13"/>
      <c r="I173" s="19">
        <f t="shared" si="37"/>
        <v>0</v>
      </c>
      <c r="J173" s="32"/>
      <c r="K173" s="13"/>
    </row>
    <row r="174" spans="1:12" ht="13.5" customHeight="1" x14ac:dyDescent="0.25">
      <c r="A174" s="21" t="s">
        <v>250</v>
      </c>
      <c r="B174" s="26"/>
      <c r="C174" s="26"/>
      <c r="D174" s="23"/>
      <c r="E174" s="23"/>
      <c r="F174" s="24"/>
      <c r="G174" s="23"/>
      <c r="H174" s="22">
        <f>SUM(H168:H173)</f>
        <v>5</v>
      </c>
      <c r="I174" s="112">
        <f>SUM(I168:I173)</f>
        <v>1206</v>
      </c>
      <c r="J174" s="33"/>
      <c r="K174" s="116"/>
    </row>
    <row r="175" spans="1:12" ht="13.5" customHeight="1" x14ac:dyDescent="0.25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</row>
    <row r="176" spans="1:12" ht="13.5" customHeight="1" x14ac:dyDescent="0.2">
      <c r="A176" s="2" t="s">
        <v>23</v>
      </c>
      <c r="B176" s="76">
        <v>45617</v>
      </c>
      <c r="C176" s="177">
        <v>16142</v>
      </c>
      <c r="D176" s="20">
        <v>45658</v>
      </c>
      <c r="E176" s="20">
        <v>45687</v>
      </c>
      <c r="F176" s="11">
        <f>(E176-D176)+1</f>
        <v>30</v>
      </c>
      <c r="G176" s="12">
        <v>235</v>
      </c>
      <c r="H176" s="13">
        <v>1</v>
      </c>
      <c r="I176" s="182">
        <f t="shared" ref="I176:I177" si="38">G176/30*H176*F176</f>
        <v>235</v>
      </c>
      <c r="J176" s="32" t="s">
        <v>103</v>
      </c>
      <c r="K176" s="13">
        <v>71767</v>
      </c>
      <c r="L176" s="223"/>
    </row>
    <row r="177" spans="1:12" ht="13.5" customHeight="1" x14ac:dyDescent="0.25">
      <c r="A177" s="14"/>
      <c r="B177" s="20"/>
      <c r="C177" s="135"/>
      <c r="D177" s="20"/>
      <c r="E177" s="20"/>
      <c r="F177" s="11"/>
      <c r="G177" s="12"/>
      <c r="H177" s="13"/>
      <c r="I177" s="19">
        <f t="shared" si="38"/>
        <v>0</v>
      </c>
      <c r="J177" s="32"/>
      <c r="K177" s="13"/>
    </row>
    <row r="178" spans="1:12" ht="13.5" customHeight="1" x14ac:dyDescent="0.25">
      <c r="A178" s="21" t="s">
        <v>824</v>
      </c>
      <c r="B178" s="26"/>
      <c r="C178" s="26"/>
      <c r="D178" s="23"/>
      <c r="E178" s="23"/>
      <c r="F178" s="24"/>
      <c r="G178" s="23"/>
      <c r="H178" s="22">
        <f>SUM(H176:H177)</f>
        <v>1</v>
      </c>
      <c r="I178" s="112">
        <f>SUM(I176:I177)</f>
        <v>235</v>
      </c>
      <c r="J178" s="33"/>
      <c r="K178" s="116"/>
    </row>
    <row r="179" spans="1:12" ht="13.5" customHeight="1" x14ac:dyDescent="0.25">
      <c r="A179" s="322"/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</row>
    <row r="180" spans="1:12" ht="13.5" customHeight="1" x14ac:dyDescent="0.2">
      <c r="A180" s="2" t="s">
        <v>19</v>
      </c>
      <c r="B180" s="76">
        <v>45597</v>
      </c>
      <c r="C180" s="177">
        <v>15848</v>
      </c>
      <c r="D180" s="20">
        <v>45658</v>
      </c>
      <c r="E180" s="20">
        <v>45687</v>
      </c>
      <c r="F180" s="11">
        <f>(E180-D180)+1</f>
        <v>30</v>
      </c>
      <c r="G180" s="12">
        <v>210</v>
      </c>
      <c r="H180" s="13">
        <v>1</v>
      </c>
      <c r="I180" s="182">
        <f t="shared" ref="I180:I181" si="39">G180/30*H180*F180</f>
        <v>210</v>
      </c>
      <c r="J180" s="32" t="s">
        <v>794</v>
      </c>
      <c r="K180" s="13">
        <v>71005</v>
      </c>
    </row>
    <row r="181" spans="1:12" ht="13.5" customHeight="1" x14ac:dyDescent="0.25">
      <c r="A181" s="14"/>
      <c r="B181" s="20"/>
      <c r="C181" s="135"/>
      <c r="D181" s="20"/>
      <c r="E181" s="20"/>
      <c r="F181" s="11"/>
      <c r="G181" s="12"/>
      <c r="H181" s="13"/>
      <c r="I181" s="19">
        <f t="shared" si="39"/>
        <v>0</v>
      </c>
      <c r="J181" s="32"/>
      <c r="K181" s="13"/>
    </row>
    <row r="182" spans="1:12" ht="13.5" customHeight="1" x14ac:dyDescent="0.25">
      <c r="A182" s="21" t="s">
        <v>793</v>
      </c>
      <c r="B182" s="26"/>
      <c r="C182" s="26"/>
      <c r="D182" s="23"/>
      <c r="E182" s="23"/>
      <c r="F182" s="24"/>
      <c r="G182" s="23"/>
      <c r="H182" s="22">
        <f>SUM(H180:H181)</f>
        <v>1</v>
      </c>
      <c r="I182" s="112">
        <f>SUM(I180:I181)</f>
        <v>210</v>
      </c>
      <c r="J182" s="33"/>
      <c r="K182" s="116"/>
    </row>
    <row r="183" spans="1:12" ht="13.5" customHeight="1" x14ac:dyDescent="0.25">
      <c r="D183" s="8"/>
      <c r="E183" s="8"/>
      <c r="F183" s="9"/>
      <c r="G183" s="10"/>
      <c r="I183" s="10"/>
      <c r="J183" s="4"/>
    </row>
    <row r="184" spans="1:12" ht="13.5" customHeight="1" x14ac:dyDescent="0.2">
      <c r="A184" s="2" t="s">
        <v>23</v>
      </c>
      <c r="B184" s="76">
        <v>45609</v>
      </c>
      <c r="C184" s="55">
        <v>16127</v>
      </c>
      <c r="D184" s="20">
        <v>45658</v>
      </c>
      <c r="E184" s="20">
        <v>45687</v>
      </c>
      <c r="F184" s="11">
        <f>(E184-D184)+1</f>
        <v>30</v>
      </c>
      <c r="G184" s="12">
        <v>235</v>
      </c>
      <c r="H184" s="13">
        <v>1</v>
      </c>
      <c r="I184" s="182">
        <f t="shared" ref="I184:I186" si="40">G184/30*H184*F184</f>
        <v>235</v>
      </c>
      <c r="J184" s="32" t="s">
        <v>809</v>
      </c>
      <c r="K184" s="13">
        <v>71292</v>
      </c>
    </row>
    <row r="185" spans="1:12" ht="13.5" customHeight="1" x14ac:dyDescent="0.2">
      <c r="A185" s="2" t="s">
        <v>26</v>
      </c>
      <c r="B185" s="76">
        <v>45595</v>
      </c>
      <c r="C185" s="205">
        <v>14498</v>
      </c>
      <c r="D185" s="20">
        <v>45658</v>
      </c>
      <c r="E185" s="20">
        <v>45687</v>
      </c>
      <c r="F185" s="11">
        <f>(E185-D185)+1</f>
        <v>30</v>
      </c>
      <c r="G185" s="12">
        <v>260</v>
      </c>
      <c r="H185" s="13">
        <v>1</v>
      </c>
      <c r="I185" s="182">
        <f t="shared" si="40"/>
        <v>260</v>
      </c>
      <c r="J185" s="32" t="s">
        <v>712</v>
      </c>
      <c r="K185" s="13">
        <v>70494</v>
      </c>
      <c r="L185" s="7" t="s">
        <v>852</v>
      </c>
    </row>
    <row r="186" spans="1:12" ht="13.5" customHeight="1" x14ac:dyDescent="0.25">
      <c r="A186" s="14"/>
      <c r="B186" s="20"/>
      <c r="C186" s="135"/>
      <c r="D186" s="20"/>
      <c r="E186" s="20"/>
      <c r="F186" s="11"/>
      <c r="G186" s="12"/>
      <c r="H186" s="13"/>
      <c r="I186" s="19">
        <f t="shared" si="40"/>
        <v>0</v>
      </c>
      <c r="J186" s="32"/>
      <c r="K186" s="13"/>
    </row>
    <row r="187" spans="1:12" ht="13.5" customHeight="1" x14ac:dyDescent="0.25">
      <c r="A187" s="21" t="s">
        <v>711</v>
      </c>
      <c r="B187" s="26"/>
      <c r="C187" s="26"/>
      <c r="D187" s="23"/>
      <c r="E187" s="23"/>
      <c r="F187" s="24"/>
      <c r="G187" s="23"/>
      <c r="H187" s="22">
        <f>SUM(H184:H186)</f>
        <v>2</v>
      </c>
      <c r="I187" s="112">
        <f>SUM(I184:I186)</f>
        <v>495</v>
      </c>
      <c r="J187" s="33"/>
      <c r="K187" s="116"/>
    </row>
    <row r="188" spans="1:12" s="158" customFormat="1" ht="13.5" customHeight="1" x14ac:dyDescent="0.25">
      <c r="A188" s="156"/>
      <c r="B188" s="157"/>
      <c r="C188" s="157"/>
      <c r="F188" s="159"/>
      <c r="H188" s="201"/>
      <c r="I188" s="202"/>
      <c r="J188" s="203"/>
      <c r="K188" s="162"/>
    </row>
    <row r="189" spans="1:12" ht="13.5" customHeight="1" x14ac:dyDescent="0.25">
      <c r="D189" s="8"/>
      <c r="E189" s="8"/>
      <c r="F189" s="9"/>
      <c r="G189" s="10"/>
      <c r="H189" s="50">
        <f>H27+H139+H174+H125+H60+H43+H149+H187+H105+H73+H182+H87+H98+H113+H166+H178</f>
        <v>126</v>
      </c>
      <c r="I189" s="25">
        <f>I27+I139+I174+I125+I60+I43+I149+I187+I105+I73+I182+I87+I98+I113+I166+I178</f>
        <v>35806.233333333337</v>
      </c>
      <c r="J189" s="16"/>
    </row>
    <row r="190" spans="1:12" ht="13.5" customHeight="1" x14ac:dyDescent="0.25">
      <c r="D190" s="8"/>
      <c r="E190" s="8"/>
      <c r="F190" s="9"/>
      <c r="G190" s="10"/>
      <c r="I190" s="10"/>
      <c r="J190" s="16"/>
      <c r="L190" s="165"/>
    </row>
    <row r="191" spans="1:12" ht="13.5" customHeight="1" x14ac:dyDescent="0.25">
      <c r="D191" s="8"/>
      <c r="E191" s="8"/>
      <c r="F191" s="9"/>
      <c r="G191" s="10"/>
      <c r="I191" s="10"/>
      <c r="J191" s="165">
        <f>I161+I134+I133+I132+I122++I123+I101+I102+I103+I85+I68+I69+I56+I53+I39</f>
        <v>4775.2333333333336</v>
      </c>
      <c r="K191" s="204"/>
    </row>
    <row r="192" spans="1:12" ht="13.5" customHeight="1" x14ac:dyDescent="0.25">
      <c r="A192" s="289" t="s">
        <v>124</v>
      </c>
      <c r="B192" s="289"/>
      <c r="C192" s="289"/>
      <c r="D192" s="289"/>
      <c r="E192" s="289"/>
      <c r="F192" s="289"/>
      <c r="G192" s="289"/>
      <c r="H192" s="289"/>
      <c r="I192" s="289"/>
      <c r="J192" s="165"/>
      <c r="L192" s="165"/>
    </row>
    <row r="193" spans="1:10" ht="13.5" customHeight="1" x14ac:dyDescent="0.25">
      <c r="J193" s="165"/>
    </row>
    <row r="194" spans="1:10" ht="13.5" customHeight="1" x14ac:dyDescent="0.2">
      <c r="A194" s="27" t="s">
        <v>125</v>
      </c>
      <c r="B194" s="7"/>
      <c r="F194" s="71"/>
      <c r="G194" s="10"/>
      <c r="I194" s="72"/>
      <c r="J194" s="7"/>
    </row>
    <row r="195" spans="1:10" ht="60" customHeight="1" x14ac:dyDescent="0.25">
      <c r="A195" s="291"/>
      <c r="B195" s="275"/>
      <c r="C195" s="292"/>
      <c r="D195" s="290"/>
      <c r="E195" s="290"/>
      <c r="F195" s="290"/>
      <c r="G195" s="290"/>
      <c r="H195" s="290"/>
      <c r="I195" s="290"/>
      <c r="J195" s="7"/>
    </row>
    <row r="196" spans="1:10" ht="13.5" customHeight="1" x14ac:dyDescent="0.25">
      <c r="A196" s="274" t="s">
        <v>126</v>
      </c>
      <c r="B196" s="274"/>
      <c r="C196" s="274"/>
      <c r="D196" s="274" t="s">
        <v>127</v>
      </c>
      <c r="E196" s="274"/>
      <c r="F196" s="274"/>
      <c r="G196" s="274"/>
      <c r="H196" s="274"/>
      <c r="I196" s="274"/>
      <c r="J196" s="7"/>
    </row>
    <row r="197" spans="1:10" ht="13.5" customHeight="1" x14ac:dyDescent="0.25">
      <c r="D197" s="8"/>
      <c r="E197" s="8"/>
      <c r="F197" s="9"/>
      <c r="G197" s="10"/>
      <c r="I197" s="10"/>
      <c r="J197" s="7"/>
    </row>
    <row r="198" spans="1:10" ht="13.5" customHeight="1" x14ac:dyDescent="0.25">
      <c r="D198" s="8"/>
      <c r="E198" s="8"/>
      <c r="F198" s="9"/>
      <c r="G198" s="10"/>
      <c r="I198" s="10"/>
      <c r="J198" s="7"/>
    </row>
    <row r="199" spans="1:10" ht="13.5" customHeight="1" x14ac:dyDescent="0.25">
      <c r="D199" s="8"/>
      <c r="E199" s="8"/>
      <c r="F199" s="9"/>
      <c r="G199" s="10"/>
      <c r="I199" s="10"/>
      <c r="J199" s="7"/>
    </row>
    <row r="200" spans="1:10" ht="13.5" customHeight="1" x14ac:dyDescent="0.2">
      <c r="A200" s="266" t="s">
        <v>29</v>
      </c>
      <c r="B200" s="266"/>
      <c r="C200" s="266"/>
      <c r="D200" s="266"/>
      <c r="E200" s="266"/>
      <c r="F200" s="266"/>
      <c r="G200" s="51"/>
      <c r="I200" s="10"/>
      <c r="J200" s="16"/>
    </row>
    <row r="201" spans="1:10" ht="13.5" customHeight="1" x14ac:dyDescent="0.2">
      <c r="A201" s="267" t="s">
        <v>45</v>
      </c>
      <c r="B201" s="267"/>
      <c r="C201" s="267"/>
      <c r="D201" s="267"/>
      <c r="E201" s="283" t="s">
        <v>5</v>
      </c>
      <c r="F201" s="282" t="s">
        <v>6</v>
      </c>
      <c r="G201" s="52"/>
      <c r="I201" s="10"/>
      <c r="J201" s="16"/>
    </row>
    <row r="202" spans="1:10" ht="13.5" customHeight="1" x14ac:dyDescent="0.2">
      <c r="A202" s="34" t="s">
        <v>0</v>
      </c>
      <c r="B202" s="34" t="s">
        <v>3</v>
      </c>
      <c r="C202" s="34" t="s">
        <v>2</v>
      </c>
      <c r="D202" s="34" t="s">
        <v>4</v>
      </c>
      <c r="E202" s="284"/>
      <c r="F202" s="282"/>
      <c r="G202" s="53"/>
    </row>
    <row r="203" spans="1:10" ht="13.5" customHeight="1" x14ac:dyDescent="0.2">
      <c r="A203" s="2" t="s">
        <v>18</v>
      </c>
      <c r="B203" s="39"/>
      <c r="C203" s="35">
        <v>37</v>
      </c>
      <c r="D203" s="35">
        <v>0</v>
      </c>
      <c r="E203" s="13">
        <f>COUNTIFS($A$12:$A$191,"Cond Ar Janela 7.500 BTU/h")</f>
        <v>0</v>
      </c>
      <c r="F203" s="40">
        <f>B203-E203</f>
        <v>0</v>
      </c>
      <c r="G203" s="1"/>
    </row>
    <row r="204" spans="1:10" ht="13.5" customHeight="1" x14ac:dyDescent="0.2">
      <c r="A204" s="2" t="s">
        <v>19</v>
      </c>
      <c r="B204" s="39">
        <v>1</v>
      </c>
      <c r="C204" s="3">
        <v>210</v>
      </c>
      <c r="D204" s="3">
        <f t="shared" ref="D204:D213" si="41">B204*C204</f>
        <v>210</v>
      </c>
      <c r="E204" s="13">
        <f>COUNTIFS($A$12:$A$191,"Cond Ar Janela 10.000 BTU/h")</f>
        <v>1</v>
      </c>
      <c r="F204" s="40">
        <f t="shared" ref="F204:F225" si="42">B204-E204</f>
        <v>0</v>
      </c>
      <c r="G204" s="1"/>
    </row>
    <row r="205" spans="1:10" ht="13.5" customHeight="1" x14ac:dyDescent="0.2">
      <c r="A205" s="2" t="s">
        <v>20</v>
      </c>
      <c r="B205" s="39">
        <v>9</v>
      </c>
      <c r="C205" s="3">
        <v>208</v>
      </c>
      <c r="D205" s="3">
        <f t="shared" si="41"/>
        <v>1872</v>
      </c>
      <c r="E205" s="13">
        <f>COUNTIFS($A$12:$A$191,"Cond Ar Janela 18.000 BTU/h")</f>
        <v>0</v>
      </c>
      <c r="F205" s="40">
        <f t="shared" si="42"/>
        <v>9</v>
      </c>
      <c r="G205" s="1"/>
    </row>
    <row r="206" spans="1:10" ht="13.5" customHeight="1" x14ac:dyDescent="0.2">
      <c r="A206" s="2" t="s">
        <v>21</v>
      </c>
      <c r="B206" s="39">
        <v>3</v>
      </c>
      <c r="C206" s="3">
        <v>57</v>
      </c>
      <c r="D206" s="3">
        <f t="shared" si="41"/>
        <v>171</v>
      </c>
      <c r="E206" s="13">
        <f>COUNTIFS($A$12:$A$191,"Cond Ar Janela 21.000 BTU/h")</f>
        <v>0</v>
      </c>
      <c r="F206" s="40">
        <f t="shared" si="42"/>
        <v>3</v>
      </c>
      <c r="G206" s="1"/>
    </row>
    <row r="207" spans="1:10" ht="13.5" customHeight="1" x14ac:dyDescent="0.2">
      <c r="A207" s="2" t="s">
        <v>22</v>
      </c>
      <c r="B207" s="39">
        <v>19</v>
      </c>
      <c r="C207" s="3">
        <v>147</v>
      </c>
      <c r="D207" s="3">
        <f t="shared" si="41"/>
        <v>2793</v>
      </c>
      <c r="E207" s="13">
        <f>COUNTIFS($A$12:$A$191,"Cond Ar Split 9.000 BTU/h Hi Wall")</f>
        <v>1</v>
      </c>
      <c r="F207" s="40">
        <f t="shared" si="42"/>
        <v>18</v>
      </c>
      <c r="G207" s="1"/>
    </row>
    <row r="208" spans="1:10" ht="13.5" customHeight="1" x14ac:dyDescent="0.2">
      <c r="A208" s="2" t="s">
        <v>23</v>
      </c>
      <c r="B208" s="39">
        <v>90</v>
      </c>
      <c r="C208" s="3">
        <v>235</v>
      </c>
      <c r="D208" s="3">
        <f t="shared" si="41"/>
        <v>21150</v>
      </c>
      <c r="E208" s="13">
        <f>COUNTIFS($A$12:$A$191,"Cond Ar Split 12.000 BTU/h Hi Wall")</f>
        <v>61</v>
      </c>
      <c r="F208" s="40">
        <f t="shared" si="42"/>
        <v>29</v>
      </c>
      <c r="G208" s="1"/>
    </row>
    <row r="209" spans="1:9" ht="13.5" customHeight="1" x14ac:dyDescent="0.2">
      <c r="A209" s="2" t="s">
        <v>24</v>
      </c>
      <c r="B209" s="39">
        <v>40</v>
      </c>
      <c r="C209" s="3">
        <v>238</v>
      </c>
      <c r="D209" s="3">
        <f t="shared" si="41"/>
        <v>9520</v>
      </c>
      <c r="E209" s="13">
        <f>COUNTIFS($A$12:$A$191,"Cond Ar Split 18.000 BTU/h Hi Wall")</f>
        <v>27</v>
      </c>
      <c r="F209" s="40">
        <f t="shared" si="42"/>
        <v>13</v>
      </c>
      <c r="G209" s="1"/>
    </row>
    <row r="210" spans="1:9" ht="13.5" customHeight="1" x14ac:dyDescent="0.2">
      <c r="A210" s="2" t="s">
        <v>25</v>
      </c>
      <c r="B210" s="39">
        <v>27</v>
      </c>
      <c r="C210" s="3">
        <v>242</v>
      </c>
      <c r="D210" s="3">
        <f t="shared" si="41"/>
        <v>6534</v>
      </c>
      <c r="E210" s="13">
        <f>COUNTIFS($A$12:$A$191,"Cond Ar Split 22.000 BTU/h Hi Wall")</f>
        <v>1</v>
      </c>
      <c r="F210" s="40">
        <f t="shared" si="42"/>
        <v>26</v>
      </c>
      <c r="G210" s="1"/>
    </row>
    <row r="211" spans="1:9" ht="13.5" customHeight="1" x14ac:dyDescent="0.2">
      <c r="A211" s="2" t="s">
        <v>26</v>
      </c>
      <c r="B211" s="39">
        <v>12</v>
      </c>
      <c r="C211" s="3">
        <v>260</v>
      </c>
      <c r="D211" s="3">
        <f t="shared" si="41"/>
        <v>3120</v>
      </c>
      <c r="E211" s="13">
        <f>COUNTIFS($A$12:$A$191,"Cond Ar Split 24.000 BTU/h Hi Wall")</f>
        <v>4</v>
      </c>
      <c r="F211" s="40">
        <f t="shared" si="42"/>
        <v>8</v>
      </c>
      <c r="G211" s="1"/>
    </row>
    <row r="212" spans="1:9" ht="13.5" customHeight="1" x14ac:dyDescent="0.2">
      <c r="A212" s="2" t="s">
        <v>27</v>
      </c>
      <c r="B212" s="39">
        <v>7</v>
      </c>
      <c r="C212" s="3">
        <v>347</v>
      </c>
      <c r="D212" s="3">
        <f t="shared" si="41"/>
        <v>2429</v>
      </c>
      <c r="E212" s="13">
        <f>COUNTIFS($A$12:$A$191,"Cond Ar Split 30.000 BTU/h Hi Wall")</f>
        <v>7</v>
      </c>
      <c r="F212" s="227">
        <f t="shared" si="42"/>
        <v>0</v>
      </c>
      <c r="G212" s="1"/>
    </row>
    <row r="213" spans="1:9" ht="13.5" customHeight="1" x14ac:dyDescent="0.2">
      <c r="A213" s="2" t="s">
        <v>30</v>
      </c>
      <c r="B213" s="39"/>
      <c r="C213" s="3">
        <v>367</v>
      </c>
      <c r="D213" s="3">
        <f t="shared" si="41"/>
        <v>0</v>
      </c>
      <c r="E213" s="13">
        <f>COUNTIFS($A$12:$A$191,"Cond Ar Split 24.000 BTU/h Piso/Teto")</f>
        <v>0</v>
      </c>
      <c r="F213" s="40">
        <f t="shared" si="42"/>
        <v>0</v>
      </c>
      <c r="G213" s="1"/>
    </row>
    <row r="214" spans="1:9" ht="13.5" customHeight="1" x14ac:dyDescent="0.2">
      <c r="A214" s="2" t="s">
        <v>31</v>
      </c>
      <c r="B214" s="39"/>
      <c r="C214" s="3">
        <v>367</v>
      </c>
      <c r="D214" s="3">
        <f>B214*C214</f>
        <v>0</v>
      </c>
      <c r="E214" s="13">
        <f>COUNTIFS($A$12:$A$191,"Cond Ar Split 30.000 BTU/h Piso/Teto")</f>
        <v>0</v>
      </c>
      <c r="F214" s="40">
        <f t="shared" si="42"/>
        <v>0</v>
      </c>
      <c r="G214" s="1"/>
    </row>
    <row r="215" spans="1:9" ht="13.5" customHeight="1" x14ac:dyDescent="0.2">
      <c r="A215" s="2" t="s">
        <v>32</v>
      </c>
      <c r="B215" s="39">
        <v>13</v>
      </c>
      <c r="C215" s="3">
        <v>447</v>
      </c>
      <c r="D215" s="3">
        <f>B215*C215</f>
        <v>5811</v>
      </c>
      <c r="E215" s="13">
        <f>COUNTIFS($A$12:$A$191,"Cond Ar Split 36.000 BTU/h Piso/Teto")</f>
        <v>11</v>
      </c>
      <c r="F215" s="40">
        <f t="shared" si="42"/>
        <v>2</v>
      </c>
      <c r="G215" s="1"/>
    </row>
    <row r="216" spans="1:9" ht="13.5" customHeight="1" x14ac:dyDescent="0.2">
      <c r="A216" s="2" t="s">
        <v>33</v>
      </c>
      <c r="B216" s="39">
        <v>36</v>
      </c>
      <c r="C216" s="3">
        <v>497</v>
      </c>
      <c r="D216" s="3">
        <f>B216*C216</f>
        <v>17892</v>
      </c>
      <c r="E216" s="13">
        <f>COUNTIFS($A$12:$A$191,"Cond Ar Split 48.000 BTU/h Piso/Teto")</f>
        <v>3</v>
      </c>
      <c r="F216" s="40">
        <f t="shared" si="42"/>
        <v>33</v>
      </c>
      <c r="G216" s="1"/>
    </row>
    <row r="217" spans="1:9" ht="13.5" customHeight="1" x14ac:dyDescent="0.2">
      <c r="A217" s="2" t="s">
        <v>34</v>
      </c>
      <c r="B217" s="39">
        <v>35</v>
      </c>
      <c r="C217" s="3">
        <v>597</v>
      </c>
      <c r="D217" s="3">
        <f t="shared" ref="D217:D225" si="43">B217*C217</f>
        <v>20895</v>
      </c>
      <c r="E217" s="13">
        <f>COUNTIFS($A$12:$A$191,"Cond Ar Split 60.000 BTU/h Piso/Teto")</f>
        <v>10</v>
      </c>
      <c r="F217" s="40">
        <f t="shared" si="42"/>
        <v>25</v>
      </c>
      <c r="G217" s="1"/>
    </row>
    <row r="218" spans="1:9" s="15" customFormat="1" ht="13.5" customHeight="1" x14ac:dyDescent="0.2">
      <c r="A218" s="2" t="s">
        <v>35</v>
      </c>
      <c r="B218" s="39"/>
      <c r="C218" s="3">
        <v>395</v>
      </c>
      <c r="D218" s="3">
        <f t="shared" si="43"/>
        <v>0</v>
      </c>
      <c r="E218" s="13">
        <f>COUNTIFS($A$12:$A$191,"Cond Ar Split 18.000 BTU/h Cassete")</f>
        <v>0</v>
      </c>
      <c r="F218" s="40">
        <f t="shared" si="42"/>
        <v>0</v>
      </c>
      <c r="G218" s="1"/>
      <c r="H218" s="7"/>
      <c r="I218" s="7"/>
    </row>
    <row r="219" spans="1:9" s="15" customFormat="1" ht="13.5" customHeight="1" x14ac:dyDescent="0.2">
      <c r="A219" s="2" t="s">
        <v>36</v>
      </c>
      <c r="B219" s="39"/>
      <c r="C219" s="3">
        <v>442.75</v>
      </c>
      <c r="D219" s="3">
        <f t="shared" si="43"/>
        <v>0</v>
      </c>
      <c r="E219" s="13">
        <f>COUNTIFS($A$12:$A$191,"Cond Ar Split 24.000 BTU/h Cassete")</f>
        <v>0</v>
      </c>
      <c r="F219" s="40">
        <f t="shared" si="42"/>
        <v>0</v>
      </c>
      <c r="G219" s="1"/>
      <c r="H219" s="7"/>
      <c r="I219" s="7"/>
    </row>
    <row r="220" spans="1:9" s="15" customFormat="1" ht="13.5" customHeight="1" x14ac:dyDescent="0.2">
      <c r="A220" s="2" t="s">
        <v>37</v>
      </c>
      <c r="B220" s="39"/>
      <c r="C220" s="3">
        <v>430</v>
      </c>
      <c r="D220" s="3">
        <f t="shared" si="43"/>
        <v>0</v>
      </c>
      <c r="E220" s="13">
        <f>COUNTIFS($A$12:$A$191,"Cond Ar Split 30.000 BTU/h Cassete")</f>
        <v>0</v>
      </c>
      <c r="F220" s="40">
        <f t="shared" si="42"/>
        <v>0</v>
      </c>
      <c r="G220" s="1"/>
      <c r="H220" s="7"/>
      <c r="I220" s="7"/>
    </row>
    <row r="221" spans="1:9" s="15" customFormat="1" ht="13.5" customHeight="1" x14ac:dyDescent="0.2">
      <c r="A221" s="2" t="s">
        <v>38</v>
      </c>
      <c r="B221" s="39"/>
      <c r="C221" s="3">
        <v>478</v>
      </c>
      <c r="D221" s="3">
        <f t="shared" si="43"/>
        <v>0</v>
      </c>
      <c r="E221" s="13">
        <f>COUNTIFS($A$12:$A$191,"Cond Ar Split 36.000 BTU/h Cassete")</f>
        <v>0</v>
      </c>
      <c r="F221" s="40">
        <f t="shared" si="42"/>
        <v>0</v>
      </c>
      <c r="G221" s="1"/>
      <c r="H221" s="7"/>
      <c r="I221" s="7"/>
    </row>
    <row r="222" spans="1:9" s="15" customFormat="1" ht="13.5" customHeight="1" x14ac:dyDescent="0.2">
      <c r="A222" s="2" t="s">
        <v>39</v>
      </c>
      <c r="B222" s="39"/>
      <c r="C222" s="3">
        <v>577</v>
      </c>
      <c r="D222" s="3">
        <f t="shared" si="43"/>
        <v>0</v>
      </c>
      <c r="E222" s="13">
        <f>COUNTIFS($A$12:$A$191,"Cond Ar Split 48.000 BTU/h Cassete")</f>
        <v>0</v>
      </c>
      <c r="F222" s="40">
        <f t="shared" si="42"/>
        <v>0</v>
      </c>
      <c r="G222" s="1"/>
      <c r="H222" s="7"/>
      <c r="I222" s="7"/>
    </row>
    <row r="223" spans="1:9" s="15" customFormat="1" ht="13.5" customHeight="1" x14ac:dyDescent="0.2">
      <c r="A223" s="2" t="s">
        <v>40</v>
      </c>
      <c r="B223" s="39"/>
      <c r="C223" s="3">
        <v>645</v>
      </c>
      <c r="D223" s="3">
        <f t="shared" si="43"/>
        <v>0</v>
      </c>
      <c r="E223" s="13">
        <f>COUNTIFS($A$12:$A$191,"Cond Ar Split 60.000 BTU/h Cassete")</f>
        <v>0</v>
      </c>
      <c r="F223" s="40">
        <f t="shared" si="42"/>
        <v>0</v>
      </c>
      <c r="G223" s="1"/>
      <c r="H223" s="7"/>
      <c r="I223" s="7"/>
    </row>
    <row r="224" spans="1:9" s="15" customFormat="1" ht="13.5" customHeight="1" x14ac:dyDescent="0.2">
      <c r="A224" s="2" t="s">
        <v>41</v>
      </c>
      <c r="B224" s="39"/>
      <c r="C224" s="3">
        <v>147</v>
      </c>
      <c r="D224" s="3">
        <f t="shared" si="43"/>
        <v>0</v>
      </c>
      <c r="E224" s="13">
        <f>COUNTIFS($A$12:$A$191,"Cond Ar Tri Split 36.000 BTU/h (3x12.000)")</f>
        <v>0</v>
      </c>
      <c r="F224" s="40">
        <f t="shared" si="42"/>
        <v>0</v>
      </c>
      <c r="G224" s="1"/>
      <c r="H224" s="7"/>
      <c r="I224" s="7"/>
    </row>
    <row r="225" spans="1:10" s="15" customFormat="1" ht="13.5" customHeight="1" x14ac:dyDescent="0.2">
      <c r="A225" s="2" t="s">
        <v>42</v>
      </c>
      <c r="B225" s="39">
        <v>3</v>
      </c>
      <c r="C225" s="3">
        <v>100</v>
      </c>
      <c r="D225" s="3">
        <f t="shared" si="43"/>
        <v>300</v>
      </c>
      <c r="E225" s="13">
        <f>COUNTIFS($A$12:$A$191,"Cond Ar Portátil 12.000 BTU/h")</f>
        <v>0</v>
      </c>
      <c r="F225" s="40">
        <f t="shared" si="42"/>
        <v>3</v>
      </c>
      <c r="G225" s="1"/>
      <c r="H225" s="7"/>
      <c r="I225" s="7"/>
    </row>
    <row r="226" spans="1:10" s="15" customFormat="1" ht="13.5" customHeight="1" x14ac:dyDescent="0.2">
      <c r="A226" s="36" t="s">
        <v>7</v>
      </c>
      <c r="B226" s="22">
        <f>SUM(B203:B225)</f>
        <v>295</v>
      </c>
      <c r="C226" s="38"/>
      <c r="D226" s="37">
        <f>SUM(D203:D225)</f>
        <v>92697</v>
      </c>
      <c r="E226" s="22">
        <f>SUM(E203:E225)</f>
        <v>126</v>
      </c>
      <c r="F226" s="41">
        <f>SUM(F203:F225)</f>
        <v>169</v>
      </c>
      <c r="G226" s="54"/>
      <c r="H226" s="7"/>
      <c r="I226" s="7"/>
    </row>
    <row r="230" spans="1:10" s="15" customFormat="1" ht="13.5" customHeight="1" x14ac:dyDescent="0.25">
      <c r="A230" s="7"/>
      <c r="C230" s="7"/>
      <c r="D230" s="7"/>
      <c r="E230" s="7"/>
      <c r="F230" s="17"/>
      <c r="G230" s="7"/>
      <c r="H230" s="7"/>
      <c r="I230" s="7"/>
      <c r="J230" s="16"/>
    </row>
  </sheetData>
  <mergeCells count="37">
    <mergeCell ref="A5:C5"/>
    <mergeCell ref="D5:F5"/>
    <mergeCell ref="G5:I5"/>
    <mergeCell ref="A1:I1"/>
    <mergeCell ref="A3:I3"/>
    <mergeCell ref="A4:C4"/>
    <mergeCell ref="D4:F4"/>
    <mergeCell ref="G4:I4"/>
    <mergeCell ref="A10:I10"/>
    <mergeCell ref="C11:E11"/>
    <mergeCell ref="G11:I11"/>
    <mergeCell ref="D13:E13"/>
    <mergeCell ref="A192:I192"/>
    <mergeCell ref="A28:K28"/>
    <mergeCell ref="A140:K140"/>
    <mergeCell ref="A61:K61"/>
    <mergeCell ref="A99:K99"/>
    <mergeCell ref="A88:K88"/>
    <mergeCell ref="A106:K106"/>
    <mergeCell ref="A150:K150"/>
    <mergeCell ref="A179:K179"/>
    <mergeCell ref="A74:K74"/>
    <mergeCell ref="A175:K175"/>
    <mergeCell ref="A6:I6"/>
    <mergeCell ref="A7:I7"/>
    <mergeCell ref="A8:I8"/>
    <mergeCell ref="A9:B9"/>
    <mergeCell ref="C9:F9"/>
    <mergeCell ref="G9:I9"/>
    <mergeCell ref="A201:D201"/>
    <mergeCell ref="E201:E202"/>
    <mergeCell ref="F201:F202"/>
    <mergeCell ref="A195:C195"/>
    <mergeCell ref="D195:I195"/>
    <mergeCell ref="A196:C196"/>
    <mergeCell ref="D196:I196"/>
    <mergeCell ref="A200:F200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  <ignoredErrors>
    <ignoredError sqref="C40:C41 C55 C120 C31:C33 C49:C52 C35:C38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5">
    <pageSetUpPr fitToPage="1"/>
  </sheetPr>
  <dimension ref="A1:I29"/>
  <sheetViews>
    <sheetView showGridLines="0" workbookViewId="0">
      <pane ySplit="11" topLeftCell="A12" activePane="bottomLeft" state="frozen"/>
      <selection activeCell="N190" sqref="N190"/>
      <selection pane="bottomLeft" activeCell="N190" sqref="N190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680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194</v>
      </c>
      <c r="B8" s="297"/>
      <c r="C8" s="297"/>
      <c r="D8" s="297"/>
      <c r="E8" s="297"/>
      <c r="F8" s="298"/>
    </row>
    <row r="9" spans="1:6" ht="13.5" customHeight="1" x14ac:dyDescent="0.25">
      <c r="A9" s="60" t="s">
        <v>196</v>
      </c>
      <c r="B9" s="270" t="s">
        <v>195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5" customHeight="1" x14ac:dyDescent="0.2">
      <c r="A12" s="299" t="s">
        <v>34</v>
      </c>
      <c r="B12" s="300"/>
      <c r="C12" s="155">
        <v>3</v>
      </c>
      <c r="D12" s="166">
        <v>597</v>
      </c>
      <c r="E12" s="82">
        <v>30</v>
      </c>
      <c r="F12" s="109">
        <f>D12/30*C12*E12</f>
        <v>1790.9999999999998</v>
      </c>
    </row>
    <row r="13" spans="1:6" ht="15" customHeight="1" x14ac:dyDescent="0.2">
      <c r="A13" s="299" t="s">
        <v>33</v>
      </c>
      <c r="B13" s="300"/>
      <c r="C13" s="155">
        <v>1</v>
      </c>
      <c r="D13" s="166">
        <v>497</v>
      </c>
      <c r="E13" s="82">
        <v>30</v>
      </c>
      <c r="F13" s="109">
        <f>D13/30*C13*E13</f>
        <v>497</v>
      </c>
    </row>
    <row r="14" spans="1:6" ht="15" customHeight="1" x14ac:dyDescent="0.2">
      <c r="A14" s="299" t="s">
        <v>24</v>
      </c>
      <c r="B14" s="300"/>
      <c r="C14" s="155">
        <v>1</v>
      </c>
      <c r="D14" s="166">
        <v>238</v>
      </c>
      <c r="E14" s="82">
        <v>30</v>
      </c>
      <c r="F14" s="109">
        <f t="shared" ref="F14:F21" si="0">D14/30*C14*E14</f>
        <v>238</v>
      </c>
    </row>
    <row r="15" spans="1:6" ht="15" customHeight="1" x14ac:dyDescent="0.2">
      <c r="A15" s="299" t="s">
        <v>23</v>
      </c>
      <c r="B15" s="300"/>
      <c r="C15" s="155">
        <v>2</v>
      </c>
      <c r="D15" s="166">
        <v>235</v>
      </c>
      <c r="E15" s="82">
        <v>24</v>
      </c>
      <c r="F15" s="109">
        <f t="shared" si="0"/>
        <v>376</v>
      </c>
    </row>
    <row r="16" spans="1:6" ht="15" customHeight="1" x14ac:dyDescent="0.2">
      <c r="A16" s="299" t="s">
        <v>32</v>
      </c>
      <c r="B16" s="300"/>
      <c r="C16" s="155">
        <v>2</v>
      </c>
      <c r="D16" s="166">
        <v>447</v>
      </c>
      <c r="E16" s="82">
        <v>23</v>
      </c>
      <c r="F16" s="109">
        <f t="shared" si="0"/>
        <v>685.4</v>
      </c>
    </row>
    <row r="17" spans="1:9" ht="15" customHeight="1" x14ac:dyDescent="0.2">
      <c r="A17" s="299" t="s">
        <v>24</v>
      </c>
      <c r="B17" s="300"/>
      <c r="C17" s="155">
        <v>1</v>
      </c>
      <c r="D17" s="166">
        <v>238</v>
      </c>
      <c r="E17" s="82">
        <v>20</v>
      </c>
      <c r="F17" s="109">
        <f t="shared" si="0"/>
        <v>158.66666666666669</v>
      </c>
    </row>
    <row r="18" spans="1:9" ht="15" customHeight="1" x14ac:dyDescent="0.2">
      <c r="A18" s="299" t="s">
        <v>32</v>
      </c>
      <c r="B18" s="300"/>
      <c r="C18" s="155">
        <v>3</v>
      </c>
      <c r="D18" s="166">
        <v>447</v>
      </c>
      <c r="E18" s="82">
        <v>18</v>
      </c>
      <c r="F18" s="109">
        <f t="shared" si="0"/>
        <v>804.6</v>
      </c>
    </row>
    <row r="19" spans="1:9" ht="15" customHeight="1" x14ac:dyDescent="0.2">
      <c r="A19" s="299" t="s">
        <v>32</v>
      </c>
      <c r="B19" s="300"/>
      <c r="C19" s="155">
        <v>1</v>
      </c>
      <c r="D19" s="166">
        <v>447</v>
      </c>
      <c r="E19" s="82">
        <v>11</v>
      </c>
      <c r="F19" s="109">
        <f t="shared" si="0"/>
        <v>163.9</v>
      </c>
    </row>
    <row r="20" spans="1:9" ht="15" customHeight="1" x14ac:dyDescent="0.2">
      <c r="A20" s="299" t="s">
        <v>26</v>
      </c>
      <c r="B20" s="300"/>
      <c r="C20" s="155">
        <v>1</v>
      </c>
      <c r="D20" s="166">
        <v>260</v>
      </c>
      <c r="E20" s="82">
        <v>7</v>
      </c>
      <c r="F20" s="109">
        <f t="shared" si="0"/>
        <v>60.666666666666664</v>
      </c>
    </row>
    <row r="21" spans="1:9" ht="13.5" customHeight="1" x14ac:dyDescent="0.2">
      <c r="A21" s="299"/>
      <c r="B21" s="300"/>
      <c r="C21" s="102"/>
      <c r="D21" s="104"/>
      <c r="E21" s="82"/>
      <c r="F21" s="109">
        <f t="shared" si="0"/>
        <v>0</v>
      </c>
    </row>
    <row r="22" spans="1:9" ht="17.25" customHeight="1" x14ac:dyDescent="0.25">
      <c r="A22" s="271" t="s">
        <v>210</v>
      </c>
      <c r="B22" s="273"/>
      <c r="C22" s="58">
        <f>SUM(C12:C21)</f>
        <v>15</v>
      </c>
      <c r="D22" s="57"/>
      <c r="E22" s="57"/>
      <c r="F22" s="73">
        <f>SUM(F12:F21)</f>
        <v>4775.2333333333336</v>
      </c>
      <c r="I22" s="165"/>
    </row>
    <row r="23" spans="1:9" ht="13.5" customHeight="1" x14ac:dyDescent="0.25">
      <c r="A23" s="105"/>
      <c r="B23" s="105"/>
      <c r="C23" s="105"/>
      <c r="D23" s="106"/>
      <c r="E23" s="107"/>
      <c r="F23" s="108"/>
    </row>
    <row r="24" spans="1:9" ht="13.5" customHeight="1" x14ac:dyDescent="0.25">
      <c r="H24" s="165"/>
    </row>
    <row r="25" spans="1:9" ht="13.5" customHeight="1" x14ac:dyDescent="0.25">
      <c r="A25" s="289" t="s">
        <v>124</v>
      </c>
      <c r="B25" s="289"/>
      <c r="C25" s="289"/>
      <c r="D25" s="289"/>
      <c r="E25" s="289"/>
      <c r="F25" s="289"/>
      <c r="G25" s="74"/>
      <c r="H25" s="74"/>
      <c r="I25" s="74"/>
    </row>
    <row r="27" spans="1:9" ht="13.5" customHeight="1" x14ac:dyDescent="0.2">
      <c r="A27" s="27" t="s">
        <v>125</v>
      </c>
      <c r="B27" s="27"/>
      <c r="F27" s="110"/>
      <c r="G27" s="10"/>
      <c r="I27" s="111"/>
    </row>
    <row r="28" spans="1:9" ht="60" customHeight="1" x14ac:dyDescent="0.25">
      <c r="A28" s="291"/>
      <c r="B28" s="275"/>
      <c r="C28" s="292"/>
      <c r="D28" s="290"/>
      <c r="E28" s="290"/>
      <c r="F28" s="290"/>
    </row>
    <row r="29" spans="1:9" ht="13.5" customHeight="1" x14ac:dyDescent="0.25">
      <c r="A29" s="274" t="s">
        <v>126</v>
      </c>
      <c r="B29" s="274"/>
      <c r="C29" s="274"/>
      <c r="D29" s="75"/>
      <c r="E29" s="75" t="s">
        <v>127</v>
      </c>
      <c r="F29" s="75"/>
      <c r="G29" s="27"/>
      <c r="H29" s="27"/>
      <c r="I29" s="27"/>
    </row>
  </sheetData>
  <mergeCells count="26"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  <mergeCell ref="A12:B12"/>
    <mergeCell ref="A14:B14"/>
    <mergeCell ref="A15:B15"/>
    <mergeCell ref="A29:C29"/>
    <mergeCell ref="A21:B21"/>
    <mergeCell ref="A22:B22"/>
    <mergeCell ref="A25:F25"/>
    <mergeCell ref="A28:C28"/>
    <mergeCell ref="D28:F28"/>
    <mergeCell ref="A16:B16"/>
    <mergeCell ref="A17:B17"/>
    <mergeCell ref="A18:B18"/>
    <mergeCell ref="A19:B19"/>
    <mergeCell ref="A20:B20"/>
    <mergeCell ref="A13:B13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6">
    <pageSetUpPr fitToPage="1"/>
  </sheetPr>
  <dimension ref="A1:L130"/>
  <sheetViews>
    <sheetView showGridLines="0" workbookViewId="0">
      <pane ySplit="13" topLeftCell="A83" activePane="bottomLeft" state="frozen"/>
      <selection activeCell="B13" sqref="B13"/>
      <selection pane="bottomLeft" activeCell="E88" sqref="E88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39.85546875" style="15" customWidth="1"/>
    <col min="11" max="11" width="13" style="15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B2" s="225"/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344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325</v>
      </c>
      <c r="B9" s="270"/>
      <c r="C9" s="271" t="s">
        <v>326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45512</v>
      </c>
      <c r="C15" s="13" t="s">
        <v>492</v>
      </c>
      <c r="D15" s="20">
        <v>45658</v>
      </c>
      <c r="E15" s="20">
        <v>45687</v>
      </c>
      <c r="F15" s="11">
        <f t="shared" ref="F15:F58" si="0">(E15-D15)+1</f>
        <v>30</v>
      </c>
      <c r="G15" s="12">
        <v>235</v>
      </c>
      <c r="H15" s="13">
        <v>1</v>
      </c>
      <c r="I15" s="19">
        <f t="shared" ref="I15:I58" si="1">G15/30*H15*F15</f>
        <v>235</v>
      </c>
      <c r="J15" s="32" t="s">
        <v>493</v>
      </c>
      <c r="K15" s="13"/>
    </row>
    <row r="16" spans="1:11" ht="13.5" customHeight="1" x14ac:dyDescent="0.2">
      <c r="A16" s="2" t="s">
        <v>23</v>
      </c>
      <c r="B16" s="76">
        <v>45512</v>
      </c>
      <c r="C16" s="13">
        <v>1116</v>
      </c>
      <c r="D16" s="20">
        <v>45658</v>
      </c>
      <c r="E16" s="20">
        <v>45687</v>
      </c>
      <c r="F16" s="11">
        <f t="shared" si="0"/>
        <v>30</v>
      </c>
      <c r="G16" s="12">
        <v>235</v>
      </c>
      <c r="H16" s="13">
        <v>1</v>
      </c>
      <c r="I16" s="19">
        <f t="shared" si="1"/>
        <v>235</v>
      </c>
      <c r="J16" s="32" t="s">
        <v>500</v>
      </c>
      <c r="K16" s="13"/>
    </row>
    <row r="17" spans="1:11" ht="13.5" customHeight="1" x14ac:dyDescent="0.2">
      <c r="A17" s="2" t="s">
        <v>23</v>
      </c>
      <c r="B17" s="76">
        <v>45512</v>
      </c>
      <c r="C17" s="13">
        <v>1118</v>
      </c>
      <c r="D17" s="20">
        <v>45658</v>
      </c>
      <c r="E17" s="20">
        <v>45687</v>
      </c>
      <c r="F17" s="11">
        <f t="shared" si="0"/>
        <v>30</v>
      </c>
      <c r="G17" s="154">
        <v>235</v>
      </c>
      <c r="H17" s="13">
        <v>1</v>
      </c>
      <c r="I17" s="19">
        <f t="shared" si="1"/>
        <v>235</v>
      </c>
      <c r="J17" s="32" t="s">
        <v>503</v>
      </c>
      <c r="K17" s="13"/>
    </row>
    <row r="18" spans="1:11" ht="13.5" customHeight="1" x14ac:dyDescent="0.2">
      <c r="A18" s="2" t="s">
        <v>23</v>
      </c>
      <c r="B18" s="76">
        <v>45512</v>
      </c>
      <c r="C18" s="13">
        <v>1347</v>
      </c>
      <c r="D18" s="20">
        <v>45658</v>
      </c>
      <c r="E18" s="20">
        <v>45687</v>
      </c>
      <c r="F18" s="11">
        <f t="shared" si="0"/>
        <v>30</v>
      </c>
      <c r="G18" s="154">
        <v>235</v>
      </c>
      <c r="H18" s="13">
        <v>1</v>
      </c>
      <c r="I18" s="19">
        <f t="shared" si="1"/>
        <v>235</v>
      </c>
      <c r="J18" s="32" t="s">
        <v>505</v>
      </c>
      <c r="K18" s="13"/>
    </row>
    <row r="19" spans="1:11" ht="13.5" customHeight="1" x14ac:dyDescent="0.2">
      <c r="A19" s="2" t="s">
        <v>23</v>
      </c>
      <c r="B19" s="76">
        <v>45512</v>
      </c>
      <c r="C19" s="13">
        <v>1364</v>
      </c>
      <c r="D19" s="20">
        <v>45658</v>
      </c>
      <c r="E19" s="20">
        <v>45687</v>
      </c>
      <c r="F19" s="11">
        <f t="shared" si="0"/>
        <v>30</v>
      </c>
      <c r="G19" s="154">
        <v>235</v>
      </c>
      <c r="H19" s="13">
        <v>1</v>
      </c>
      <c r="I19" s="19">
        <f t="shared" si="1"/>
        <v>235</v>
      </c>
      <c r="J19" s="32" t="s">
        <v>506</v>
      </c>
      <c r="K19" s="13"/>
    </row>
    <row r="20" spans="1:11" ht="13.5" customHeight="1" x14ac:dyDescent="0.2">
      <c r="A20" s="2" t="s">
        <v>23</v>
      </c>
      <c r="B20" s="76">
        <v>45512</v>
      </c>
      <c r="C20" s="13">
        <v>1351</v>
      </c>
      <c r="D20" s="20">
        <v>45658</v>
      </c>
      <c r="E20" s="20">
        <v>45687</v>
      </c>
      <c r="F20" s="11">
        <f t="shared" si="0"/>
        <v>30</v>
      </c>
      <c r="G20" s="154">
        <v>235</v>
      </c>
      <c r="H20" s="13">
        <v>1</v>
      </c>
      <c r="I20" s="19">
        <f t="shared" si="1"/>
        <v>235</v>
      </c>
      <c r="J20" s="32" t="s">
        <v>508</v>
      </c>
      <c r="K20" s="13"/>
    </row>
    <row r="21" spans="1:11" ht="13.5" customHeight="1" x14ac:dyDescent="0.2">
      <c r="A21" s="2" t="s">
        <v>23</v>
      </c>
      <c r="B21" s="76">
        <v>45512</v>
      </c>
      <c r="C21" s="13">
        <v>1310</v>
      </c>
      <c r="D21" s="20">
        <v>45658</v>
      </c>
      <c r="E21" s="20">
        <v>45687</v>
      </c>
      <c r="F21" s="11">
        <f t="shared" si="0"/>
        <v>30</v>
      </c>
      <c r="G21" s="154">
        <v>235</v>
      </c>
      <c r="H21" s="13">
        <v>1</v>
      </c>
      <c r="I21" s="19">
        <f t="shared" si="1"/>
        <v>235</v>
      </c>
      <c r="J21" s="32" t="s">
        <v>517</v>
      </c>
      <c r="K21" s="13"/>
    </row>
    <row r="22" spans="1:11" ht="13.5" customHeight="1" x14ac:dyDescent="0.2">
      <c r="A22" s="2" t="s">
        <v>23</v>
      </c>
      <c r="B22" s="76">
        <v>45512</v>
      </c>
      <c r="C22" s="13">
        <v>1318</v>
      </c>
      <c r="D22" s="20">
        <v>45658</v>
      </c>
      <c r="E22" s="20">
        <v>45687</v>
      </c>
      <c r="F22" s="11">
        <f t="shared" si="0"/>
        <v>30</v>
      </c>
      <c r="G22" s="154">
        <v>235</v>
      </c>
      <c r="H22" s="13">
        <v>1</v>
      </c>
      <c r="I22" s="19">
        <f t="shared" si="1"/>
        <v>235</v>
      </c>
      <c r="J22" s="32" t="s">
        <v>518</v>
      </c>
      <c r="K22" s="13"/>
    </row>
    <row r="23" spans="1:11" ht="13.5" customHeight="1" x14ac:dyDescent="0.2">
      <c r="A23" s="2" t="s">
        <v>23</v>
      </c>
      <c r="B23" s="76">
        <v>45512</v>
      </c>
      <c r="C23" s="13">
        <v>1315</v>
      </c>
      <c r="D23" s="20">
        <v>45658</v>
      </c>
      <c r="E23" s="20">
        <v>45687</v>
      </c>
      <c r="F23" s="11">
        <f t="shared" si="0"/>
        <v>30</v>
      </c>
      <c r="G23" s="154">
        <v>235</v>
      </c>
      <c r="H23" s="13">
        <v>1</v>
      </c>
      <c r="I23" s="19">
        <f t="shared" si="1"/>
        <v>235</v>
      </c>
      <c r="J23" s="32" t="s">
        <v>519</v>
      </c>
      <c r="K23" s="13"/>
    </row>
    <row r="24" spans="1:11" ht="13.5" customHeight="1" x14ac:dyDescent="0.2">
      <c r="A24" s="2" t="s">
        <v>23</v>
      </c>
      <c r="B24" s="76">
        <v>45512</v>
      </c>
      <c r="C24" s="13">
        <v>1324</v>
      </c>
      <c r="D24" s="20">
        <v>45658</v>
      </c>
      <c r="E24" s="20">
        <v>45687</v>
      </c>
      <c r="F24" s="11">
        <f t="shared" si="0"/>
        <v>30</v>
      </c>
      <c r="G24" s="154">
        <v>235</v>
      </c>
      <c r="H24" s="13">
        <v>1</v>
      </c>
      <c r="I24" s="19">
        <f t="shared" si="1"/>
        <v>235</v>
      </c>
      <c r="J24" s="32" t="s">
        <v>522</v>
      </c>
      <c r="K24" s="13"/>
    </row>
    <row r="25" spans="1:11" ht="13.5" customHeight="1" x14ac:dyDescent="0.2">
      <c r="A25" s="2" t="s">
        <v>23</v>
      </c>
      <c r="B25" s="76">
        <v>45512</v>
      </c>
      <c r="C25" s="13">
        <v>14099</v>
      </c>
      <c r="D25" s="20">
        <v>45658</v>
      </c>
      <c r="E25" s="20">
        <v>45687</v>
      </c>
      <c r="F25" s="11">
        <f t="shared" si="0"/>
        <v>30</v>
      </c>
      <c r="G25" s="154">
        <v>235</v>
      </c>
      <c r="H25" s="13">
        <v>1</v>
      </c>
      <c r="I25" s="19">
        <f t="shared" si="1"/>
        <v>235</v>
      </c>
      <c r="J25" s="32" t="s">
        <v>522</v>
      </c>
      <c r="K25" s="13"/>
    </row>
    <row r="26" spans="1:11" ht="13.5" customHeight="1" x14ac:dyDescent="0.2">
      <c r="A26" s="2" t="s">
        <v>23</v>
      </c>
      <c r="B26" s="76">
        <v>45512</v>
      </c>
      <c r="C26" s="13">
        <v>1328</v>
      </c>
      <c r="D26" s="20">
        <v>45658</v>
      </c>
      <c r="E26" s="20">
        <v>45687</v>
      </c>
      <c r="F26" s="11">
        <f t="shared" si="0"/>
        <v>30</v>
      </c>
      <c r="G26" s="154">
        <v>235</v>
      </c>
      <c r="H26" s="13">
        <v>1</v>
      </c>
      <c r="I26" s="19">
        <f t="shared" si="1"/>
        <v>235</v>
      </c>
      <c r="J26" s="32" t="s">
        <v>523</v>
      </c>
      <c r="K26" s="13"/>
    </row>
    <row r="27" spans="1:11" ht="13.5" customHeight="1" x14ac:dyDescent="0.2">
      <c r="A27" s="2" t="s">
        <v>23</v>
      </c>
      <c r="B27" s="76">
        <v>45512</v>
      </c>
      <c r="C27" s="13">
        <v>1330</v>
      </c>
      <c r="D27" s="20">
        <v>45658</v>
      </c>
      <c r="E27" s="20">
        <v>45687</v>
      </c>
      <c r="F27" s="11">
        <f t="shared" si="0"/>
        <v>30</v>
      </c>
      <c r="G27" s="154">
        <v>235</v>
      </c>
      <c r="H27" s="13">
        <v>1</v>
      </c>
      <c r="I27" s="19">
        <f t="shared" si="1"/>
        <v>235</v>
      </c>
      <c r="J27" s="32" t="s">
        <v>523</v>
      </c>
      <c r="K27" s="13"/>
    </row>
    <row r="28" spans="1:11" ht="13.5" customHeight="1" x14ac:dyDescent="0.2">
      <c r="A28" s="2" t="s">
        <v>23</v>
      </c>
      <c r="B28" s="76">
        <v>45512</v>
      </c>
      <c r="C28" s="13">
        <v>1332</v>
      </c>
      <c r="D28" s="20">
        <v>45658</v>
      </c>
      <c r="E28" s="20">
        <v>45687</v>
      </c>
      <c r="F28" s="11">
        <f t="shared" si="0"/>
        <v>30</v>
      </c>
      <c r="G28" s="154">
        <v>235</v>
      </c>
      <c r="H28" s="13">
        <v>1</v>
      </c>
      <c r="I28" s="19">
        <f t="shared" si="1"/>
        <v>235</v>
      </c>
      <c r="J28" s="32" t="s">
        <v>524</v>
      </c>
      <c r="K28" s="13"/>
    </row>
    <row r="29" spans="1:11" ht="13.5" customHeight="1" x14ac:dyDescent="0.2">
      <c r="A29" s="2" t="s">
        <v>23</v>
      </c>
      <c r="B29" s="76">
        <v>45512</v>
      </c>
      <c r="C29" s="13">
        <v>1334</v>
      </c>
      <c r="D29" s="20">
        <v>45658</v>
      </c>
      <c r="E29" s="20">
        <v>45687</v>
      </c>
      <c r="F29" s="11">
        <f t="shared" si="0"/>
        <v>30</v>
      </c>
      <c r="G29" s="154">
        <v>235</v>
      </c>
      <c r="H29" s="13">
        <v>1</v>
      </c>
      <c r="I29" s="19">
        <f t="shared" si="1"/>
        <v>235</v>
      </c>
      <c r="J29" s="32" t="s">
        <v>526</v>
      </c>
      <c r="K29" s="13"/>
    </row>
    <row r="30" spans="1:11" ht="13.5" customHeight="1" x14ac:dyDescent="0.2">
      <c r="A30" s="2" t="s">
        <v>23</v>
      </c>
      <c r="B30" s="76">
        <v>45512</v>
      </c>
      <c r="C30" s="13">
        <v>14098</v>
      </c>
      <c r="D30" s="20">
        <v>45658</v>
      </c>
      <c r="E30" s="20">
        <v>45687</v>
      </c>
      <c r="F30" s="11">
        <f t="shared" si="0"/>
        <v>30</v>
      </c>
      <c r="G30" s="12">
        <v>235</v>
      </c>
      <c r="H30" s="13">
        <v>1</v>
      </c>
      <c r="I30" s="19">
        <f t="shared" si="1"/>
        <v>235</v>
      </c>
      <c r="J30" s="32" t="s">
        <v>527</v>
      </c>
      <c r="K30" s="13" t="s">
        <v>528</v>
      </c>
    </row>
    <row r="31" spans="1:11" ht="13.5" customHeight="1" x14ac:dyDescent="0.2">
      <c r="A31" s="2" t="s">
        <v>23</v>
      </c>
      <c r="B31" s="76">
        <v>45512</v>
      </c>
      <c r="C31" s="13">
        <v>1298</v>
      </c>
      <c r="D31" s="20">
        <v>45658</v>
      </c>
      <c r="E31" s="20">
        <v>45687</v>
      </c>
      <c r="F31" s="11">
        <f t="shared" si="0"/>
        <v>30</v>
      </c>
      <c r="G31" s="12">
        <v>235</v>
      </c>
      <c r="H31" s="13">
        <v>1</v>
      </c>
      <c r="I31" s="19">
        <f t="shared" si="1"/>
        <v>235</v>
      </c>
      <c r="J31" s="32" t="s">
        <v>529</v>
      </c>
      <c r="K31" s="13"/>
    </row>
    <row r="32" spans="1:11" ht="13.5" customHeight="1" x14ac:dyDescent="0.2">
      <c r="A32" s="2" t="s">
        <v>23</v>
      </c>
      <c r="B32" s="76">
        <v>45512</v>
      </c>
      <c r="C32" s="13">
        <v>1296</v>
      </c>
      <c r="D32" s="20">
        <v>45658</v>
      </c>
      <c r="E32" s="20">
        <v>45687</v>
      </c>
      <c r="F32" s="11">
        <f t="shared" si="0"/>
        <v>30</v>
      </c>
      <c r="G32" s="12">
        <v>235</v>
      </c>
      <c r="H32" s="13">
        <v>1</v>
      </c>
      <c r="I32" s="19">
        <f t="shared" si="1"/>
        <v>235</v>
      </c>
      <c r="J32" s="32" t="s">
        <v>530</v>
      </c>
      <c r="K32" s="13"/>
    </row>
    <row r="33" spans="1:11" ht="13.5" customHeight="1" x14ac:dyDescent="0.2">
      <c r="A33" s="2" t="s">
        <v>23</v>
      </c>
      <c r="B33" s="76">
        <v>45512</v>
      </c>
      <c r="C33" s="13">
        <v>1299</v>
      </c>
      <c r="D33" s="20">
        <v>45658</v>
      </c>
      <c r="E33" s="20">
        <v>45687</v>
      </c>
      <c r="F33" s="11">
        <f t="shared" si="0"/>
        <v>30</v>
      </c>
      <c r="G33" s="12">
        <v>235</v>
      </c>
      <c r="H33" s="13">
        <v>1</v>
      </c>
      <c r="I33" s="19">
        <f t="shared" si="1"/>
        <v>235</v>
      </c>
      <c r="J33" s="32" t="s">
        <v>531</v>
      </c>
      <c r="K33" s="13"/>
    </row>
    <row r="34" spans="1:11" ht="13.5" customHeight="1" x14ac:dyDescent="0.2">
      <c r="A34" s="2" t="s">
        <v>23</v>
      </c>
      <c r="B34" s="76">
        <v>45512</v>
      </c>
      <c r="C34" s="13">
        <v>1302</v>
      </c>
      <c r="D34" s="20">
        <v>45658</v>
      </c>
      <c r="E34" s="20">
        <v>45687</v>
      </c>
      <c r="F34" s="11">
        <f t="shared" si="0"/>
        <v>30</v>
      </c>
      <c r="G34" s="12">
        <v>235</v>
      </c>
      <c r="H34" s="13">
        <v>1</v>
      </c>
      <c r="I34" s="19">
        <f t="shared" si="1"/>
        <v>235</v>
      </c>
      <c r="J34" s="32" t="s">
        <v>532</v>
      </c>
      <c r="K34" s="13"/>
    </row>
    <row r="35" spans="1:11" ht="13.5" customHeight="1" x14ac:dyDescent="0.2">
      <c r="A35" s="2" t="s">
        <v>23</v>
      </c>
      <c r="B35" s="76">
        <v>45512</v>
      </c>
      <c r="C35" s="13">
        <v>1304</v>
      </c>
      <c r="D35" s="20">
        <v>45658</v>
      </c>
      <c r="E35" s="20">
        <v>45687</v>
      </c>
      <c r="F35" s="11">
        <f t="shared" si="0"/>
        <v>30</v>
      </c>
      <c r="G35" s="12">
        <v>235</v>
      </c>
      <c r="H35" s="13">
        <v>1</v>
      </c>
      <c r="I35" s="19">
        <f t="shared" si="1"/>
        <v>235</v>
      </c>
      <c r="J35" s="32" t="s">
        <v>533</v>
      </c>
      <c r="K35" s="13"/>
    </row>
    <row r="36" spans="1:11" ht="13.5" customHeight="1" x14ac:dyDescent="0.2">
      <c r="A36" s="2" t="s">
        <v>23</v>
      </c>
      <c r="B36" s="76">
        <v>45512</v>
      </c>
      <c r="C36" s="13">
        <v>2097</v>
      </c>
      <c r="D36" s="20">
        <v>45658</v>
      </c>
      <c r="E36" s="20">
        <v>45687</v>
      </c>
      <c r="F36" s="11">
        <f t="shared" si="0"/>
        <v>30</v>
      </c>
      <c r="G36" s="12">
        <v>235</v>
      </c>
      <c r="H36" s="13">
        <v>1</v>
      </c>
      <c r="I36" s="19">
        <f t="shared" si="1"/>
        <v>235</v>
      </c>
      <c r="J36" s="32" t="s">
        <v>535</v>
      </c>
      <c r="K36" s="13"/>
    </row>
    <row r="37" spans="1:11" ht="13.5" customHeight="1" x14ac:dyDescent="0.2">
      <c r="A37" s="2" t="s">
        <v>23</v>
      </c>
      <c r="B37" s="76">
        <v>45512</v>
      </c>
      <c r="C37" s="13">
        <v>2037</v>
      </c>
      <c r="D37" s="20">
        <v>45658</v>
      </c>
      <c r="E37" s="20">
        <v>45687</v>
      </c>
      <c r="F37" s="11">
        <f t="shared" si="0"/>
        <v>30</v>
      </c>
      <c r="G37" s="12">
        <v>235</v>
      </c>
      <c r="H37" s="13">
        <v>1</v>
      </c>
      <c r="I37" s="19">
        <f t="shared" si="1"/>
        <v>235</v>
      </c>
      <c r="J37" s="32" t="s">
        <v>542</v>
      </c>
      <c r="K37" s="13"/>
    </row>
    <row r="38" spans="1:11" ht="13.5" customHeight="1" x14ac:dyDescent="0.2">
      <c r="A38" s="2" t="s">
        <v>23</v>
      </c>
      <c r="B38" s="76">
        <v>45512</v>
      </c>
      <c r="C38" s="13">
        <v>1339</v>
      </c>
      <c r="D38" s="20">
        <v>45658</v>
      </c>
      <c r="E38" s="20">
        <v>45687</v>
      </c>
      <c r="F38" s="11">
        <f t="shared" si="0"/>
        <v>30</v>
      </c>
      <c r="G38" s="12">
        <v>235</v>
      </c>
      <c r="H38" s="13">
        <v>1</v>
      </c>
      <c r="I38" s="19">
        <f t="shared" si="1"/>
        <v>235</v>
      </c>
      <c r="J38" s="32" t="s">
        <v>543</v>
      </c>
      <c r="K38" s="13"/>
    </row>
    <row r="39" spans="1:11" ht="13.5" customHeight="1" x14ac:dyDescent="0.2">
      <c r="A39" s="2" t="s">
        <v>23</v>
      </c>
      <c r="B39" s="76">
        <v>45512</v>
      </c>
      <c r="C39" s="13">
        <v>1265</v>
      </c>
      <c r="D39" s="20">
        <v>45658</v>
      </c>
      <c r="E39" s="20">
        <v>45687</v>
      </c>
      <c r="F39" s="11">
        <f t="shared" si="0"/>
        <v>30</v>
      </c>
      <c r="G39" s="12">
        <v>235</v>
      </c>
      <c r="H39" s="13">
        <v>1</v>
      </c>
      <c r="I39" s="19">
        <f t="shared" si="1"/>
        <v>235</v>
      </c>
      <c r="J39" s="32" t="s">
        <v>545</v>
      </c>
      <c r="K39" s="13"/>
    </row>
    <row r="40" spans="1:11" ht="13.5" customHeight="1" x14ac:dyDescent="0.2">
      <c r="A40" s="2" t="s">
        <v>23</v>
      </c>
      <c r="B40" s="76">
        <v>45512</v>
      </c>
      <c r="C40" s="13">
        <v>1261</v>
      </c>
      <c r="D40" s="20">
        <v>45658</v>
      </c>
      <c r="E40" s="20">
        <v>45687</v>
      </c>
      <c r="F40" s="11">
        <f t="shared" si="0"/>
        <v>30</v>
      </c>
      <c r="G40" s="12">
        <v>235</v>
      </c>
      <c r="H40" s="13">
        <v>1</v>
      </c>
      <c r="I40" s="19">
        <f t="shared" si="1"/>
        <v>235</v>
      </c>
      <c r="J40" s="32" t="s">
        <v>549</v>
      </c>
      <c r="K40" s="13"/>
    </row>
    <row r="41" spans="1:11" ht="13.5" customHeight="1" x14ac:dyDescent="0.2">
      <c r="A41" s="2" t="s">
        <v>24</v>
      </c>
      <c r="B41" s="76">
        <v>45512</v>
      </c>
      <c r="C41" s="13">
        <v>1366</v>
      </c>
      <c r="D41" s="20">
        <v>45658</v>
      </c>
      <c r="E41" s="20">
        <v>45687</v>
      </c>
      <c r="F41" s="11">
        <f t="shared" si="0"/>
        <v>30</v>
      </c>
      <c r="G41" s="12">
        <v>238</v>
      </c>
      <c r="H41" s="13">
        <v>1</v>
      </c>
      <c r="I41" s="19">
        <f t="shared" si="1"/>
        <v>238</v>
      </c>
      <c r="J41" s="32" t="s">
        <v>489</v>
      </c>
      <c r="K41" s="13"/>
    </row>
    <row r="42" spans="1:11" ht="13.5" customHeight="1" x14ac:dyDescent="0.2">
      <c r="A42" s="2" t="s">
        <v>24</v>
      </c>
      <c r="B42" s="76">
        <v>45512</v>
      </c>
      <c r="C42" s="13" t="s">
        <v>496</v>
      </c>
      <c r="D42" s="20">
        <v>45658</v>
      </c>
      <c r="E42" s="20">
        <v>45687</v>
      </c>
      <c r="F42" s="11">
        <f t="shared" si="0"/>
        <v>30</v>
      </c>
      <c r="G42" s="12">
        <v>238</v>
      </c>
      <c r="H42" s="13">
        <v>1</v>
      </c>
      <c r="I42" s="19">
        <f t="shared" si="1"/>
        <v>238</v>
      </c>
      <c r="J42" s="32" t="s">
        <v>497</v>
      </c>
      <c r="K42" s="13"/>
    </row>
    <row r="43" spans="1:11" ht="13.5" customHeight="1" x14ac:dyDescent="0.2">
      <c r="A43" s="2" t="s">
        <v>24</v>
      </c>
      <c r="B43" s="76">
        <v>45512</v>
      </c>
      <c r="C43" s="13">
        <v>1344</v>
      </c>
      <c r="D43" s="20">
        <v>45658</v>
      </c>
      <c r="E43" s="20">
        <v>45687</v>
      </c>
      <c r="F43" s="11">
        <f t="shared" si="0"/>
        <v>30</v>
      </c>
      <c r="G43" s="154">
        <v>238</v>
      </c>
      <c r="H43" s="13">
        <v>1</v>
      </c>
      <c r="I43" s="19">
        <f t="shared" si="1"/>
        <v>238</v>
      </c>
      <c r="J43" s="32" t="s">
        <v>504</v>
      </c>
      <c r="K43" s="13"/>
    </row>
    <row r="44" spans="1:11" ht="13.5" customHeight="1" x14ac:dyDescent="0.2">
      <c r="A44" s="2" t="s">
        <v>24</v>
      </c>
      <c r="B44" s="76">
        <v>45512</v>
      </c>
      <c r="C44" s="13">
        <v>1363</v>
      </c>
      <c r="D44" s="20">
        <v>45658</v>
      </c>
      <c r="E44" s="20">
        <v>45687</v>
      </c>
      <c r="F44" s="11">
        <f t="shared" si="0"/>
        <v>30</v>
      </c>
      <c r="G44" s="154">
        <v>238</v>
      </c>
      <c r="H44" s="13">
        <v>1</v>
      </c>
      <c r="I44" s="19">
        <f t="shared" si="1"/>
        <v>238</v>
      </c>
      <c r="J44" s="32" t="s">
        <v>511</v>
      </c>
      <c r="K44" s="13"/>
    </row>
    <row r="45" spans="1:11" ht="13.5" customHeight="1" x14ac:dyDescent="0.2">
      <c r="A45" s="2" t="s">
        <v>24</v>
      </c>
      <c r="B45" s="76">
        <v>45512</v>
      </c>
      <c r="C45" s="13">
        <v>1360</v>
      </c>
      <c r="D45" s="20">
        <v>45658</v>
      </c>
      <c r="E45" s="20">
        <v>45687</v>
      </c>
      <c r="F45" s="11">
        <f t="shared" si="0"/>
        <v>30</v>
      </c>
      <c r="G45" s="154">
        <v>238</v>
      </c>
      <c r="H45" s="13">
        <v>1</v>
      </c>
      <c r="I45" s="19">
        <f t="shared" si="1"/>
        <v>238</v>
      </c>
      <c r="J45" s="32" t="s">
        <v>512</v>
      </c>
      <c r="K45" s="13"/>
    </row>
    <row r="46" spans="1:11" ht="13.5" customHeight="1" x14ac:dyDescent="0.2">
      <c r="A46" s="2" t="s">
        <v>24</v>
      </c>
      <c r="B46" s="76">
        <v>45512</v>
      </c>
      <c r="C46" s="13">
        <v>1361</v>
      </c>
      <c r="D46" s="20">
        <v>45658</v>
      </c>
      <c r="E46" s="20">
        <v>45687</v>
      </c>
      <c r="F46" s="11">
        <f t="shared" si="0"/>
        <v>30</v>
      </c>
      <c r="G46" s="154">
        <v>238</v>
      </c>
      <c r="H46" s="13">
        <v>1</v>
      </c>
      <c r="I46" s="19">
        <f t="shared" si="1"/>
        <v>238</v>
      </c>
      <c r="J46" s="32" t="s">
        <v>513</v>
      </c>
      <c r="K46" s="13"/>
    </row>
    <row r="47" spans="1:11" ht="13.5" customHeight="1" x14ac:dyDescent="0.2">
      <c r="A47" s="2" t="s">
        <v>24</v>
      </c>
      <c r="B47" s="76">
        <v>45512</v>
      </c>
      <c r="C47" s="13">
        <v>1308</v>
      </c>
      <c r="D47" s="20">
        <v>45658</v>
      </c>
      <c r="E47" s="20">
        <v>45687</v>
      </c>
      <c r="F47" s="11">
        <f t="shared" si="0"/>
        <v>30</v>
      </c>
      <c r="G47" s="154">
        <v>238</v>
      </c>
      <c r="H47" s="13">
        <v>1</v>
      </c>
      <c r="I47" s="19">
        <f t="shared" si="1"/>
        <v>238</v>
      </c>
      <c r="J47" s="32" t="s">
        <v>514</v>
      </c>
      <c r="K47" s="13"/>
    </row>
    <row r="48" spans="1:11" ht="13.5" customHeight="1" x14ac:dyDescent="0.2">
      <c r="A48" s="2" t="s">
        <v>24</v>
      </c>
      <c r="B48" s="76">
        <v>45512</v>
      </c>
      <c r="C48" s="13">
        <v>1314</v>
      </c>
      <c r="D48" s="20">
        <v>45658</v>
      </c>
      <c r="E48" s="20">
        <v>45687</v>
      </c>
      <c r="F48" s="11">
        <f t="shared" si="0"/>
        <v>30</v>
      </c>
      <c r="G48" s="154">
        <v>238</v>
      </c>
      <c r="H48" s="13">
        <v>1</v>
      </c>
      <c r="I48" s="19">
        <f t="shared" si="1"/>
        <v>238</v>
      </c>
      <c r="J48" s="32" t="s">
        <v>515</v>
      </c>
      <c r="K48" s="13"/>
    </row>
    <row r="49" spans="1:11" ht="13.5" customHeight="1" x14ac:dyDescent="0.2">
      <c r="A49" s="2" t="s">
        <v>24</v>
      </c>
      <c r="B49" s="76">
        <v>45512</v>
      </c>
      <c r="C49" s="13">
        <v>1322</v>
      </c>
      <c r="D49" s="20">
        <v>45658</v>
      </c>
      <c r="E49" s="20">
        <v>45687</v>
      </c>
      <c r="F49" s="11">
        <f t="shared" si="0"/>
        <v>30</v>
      </c>
      <c r="G49" s="154">
        <v>238</v>
      </c>
      <c r="H49" s="13">
        <v>1</v>
      </c>
      <c r="I49" s="19">
        <f t="shared" si="1"/>
        <v>238</v>
      </c>
      <c r="J49" s="32" t="s">
        <v>521</v>
      </c>
      <c r="K49" s="13"/>
    </row>
    <row r="50" spans="1:11" ht="13.5" customHeight="1" x14ac:dyDescent="0.2">
      <c r="A50" s="2" t="s">
        <v>24</v>
      </c>
      <c r="B50" s="76">
        <v>45512</v>
      </c>
      <c r="C50" s="13">
        <v>1306</v>
      </c>
      <c r="D50" s="20">
        <v>45658</v>
      </c>
      <c r="E50" s="20">
        <v>45687</v>
      </c>
      <c r="F50" s="11">
        <f t="shared" si="0"/>
        <v>30</v>
      </c>
      <c r="G50" s="12">
        <v>238</v>
      </c>
      <c r="H50" s="13">
        <v>1</v>
      </c>
      <c r="I50" s="19">
        <f t="shared" si="1"/>
        <v>238</v>
      </c>
      <c r="J50" s="32" t="s">
        <v>534</v>
      </c>
      <c r="K50" s="13"/>
    </row>
    <row r="51" spans="1:11" ht="13.5" customHeight="1" x14ac:dyDescent="0.2">
      <c r="A51" s="2" t="s">
        <v>24</v>
      </c>
      <c r="B51" s="76">
        <v>45512</v>
      </c>
      <c r="C51" s="13">
        <v>1278</v>
      </c>
      <c r="D51" s="20">
        <v>45658</v>
      </c>
      <c r="E51" s="20">
        <v>45687</v>
      </c>
      <c r="F51" s="11">
        <f t="shared" si="0"/>
        <v>30</v>
      </c>
      <c r="G51" s="12">
        <v>238</v>
      </c>
      <c r="H51" s="13">
        <v>1</v>
      </c>
      <c r="I51" s="19">
        <f t="shared" si="1"/>
        <v>238</v>
      </c>
      <c r="J51" s="32" t="s">
        <v>536</v>
      </c>
      <c r="K51" s="13"/>
    </row>
    <row r="52" spans="1:11" ht="13.5" customHeight="1" x14ac:dyDescent="0.2">
      <c r="A52" s="2" t="s">
        <v>24</v>
      </c>
      <c r="B52" s="76">
        <v>45512</v>
      </c>
      <c r="C52" s="13">
        <v>1284</v>
      </c>
      <c r="D52" s="20">
        <v>45658</v>
      </c>
      <c r="E52" s="20">
        <v>45687</v>
      </c>
      <c r="F52" s="11">
        <f t="shared" si="0"/>
        <v>30</v>
      </c>
      <c r="G52" s="12">
        <v>238</v>
      </c>
      <c r="H52" s="13">
        <v>1</v>
      </c>
      <c r="I52" s="19">
        <f t="shared" si="1"/>
        <v>238</v>
      </c>
      <c r="J52" s="32" t="s">
        <v>538</v>
      </c>
      <c r="K52" s="13"/>
    </row>
    <row r="53" spans="1:11" ht="13.5" customHeight="1" x14ac:dyDescent="0.2">
      <c r="A53" s="2" t="s">
        <v>24</v>
      </c>
      <c r="B53" s="76">
        <v>45512</v>
      </c>
      <c r="C53" s="13">
        <v>21282</v>
      </c>
      <c r="D53" s="20">
        <v>45658</v>
      </c>
      <c r="E53" s="20">
        <v>45687</v>
      </c>
      <c r="F53" s="11">
        <f t="shared" si="0"/>
        <v>30</v>
      </c>
      <c r="G53" s="12">
        <v>238</v>
      </c>
      <c r="H53" s="13">
        <v>1</v>
      </c>
      <c r="I53" s="19">
        <f t="shared" si="1"/>
        <v>238</v>
      </c>
      <c r="J53" s="32" t="s">
        <v>539</v>
      </c>
      <c r="K53" s="13"/>
    </row>
    <row r="54" spans="1:11" ht="13.5" customHeight="1" x14ac:dyDescent="0.2">
      <c r="A54" s="2" t="s">
        <v>24</v>
      </c>
      <c r="B54" s="76">
        <v>45512</v>
      </c>
      <c r="C54" s="13">
        <v>1268</v>
      </c>
      <c r="D54" s="20">
        <v>45658</v>
      </c>
      <c r="E54" s="20">
        <v>45687</v>
      </c>
      <c r="F54" s="11">
        <f t="shared" si="0"/>
        <v>30</v>
      </c>
      <c r="G54" s="12">
        <v>238</v>
      </c>
      <c r="H54" s="13">
        <v>1</v>
      </c>
      <c r="I54" s="19">
        <f t="shared" si="1"/>
        <v>238</v>
      </c>
      <c r="J54" s="32" t="s">
        <v>546</v>
      </c>
      <c r="K54" s="13"/>
    </row>
    <row r="55" spans="1:11" ht="13.5" customHeight="1" x14ac:dyDescent="0.2">
      <c r="A55" s="2" t="s">
        <v>24</v>
      </c>
      <c r="B55" s="76">
        <v>45512</v>
      </c>
      <c r="C55" s="13">
        <v>1272</v>
      </c>
      <c r="D55" s="20">
        <v>45658</v>
      </c>
      <c r="E55" s="20">
        <v>45687</v>
      </c>
      <c r="F55" s="11">
        <f t="shared" si="0"/>
        <v>30</v>
      </c>
      <c r="G55" s="12">
        <v>238</v>
      </c>
      <c r="H55" s="13">
        <v>1</v>
      </c>
      <c r="I55" s="19">
        <f t="shared" si="1"/>
        <v>238</v>
      </c>
      <c r="J55" s="32" t="s">
        <v>547</v>
      </c>
      <c r="K55" s="13"/>
    </row>
    <row r="56" spans="1:11" ht="13.5" customHeight="1" x14ac:dyDescent="0.2">
      <c r="A56" s="2" t="s">
        <v>24</v>
      </c>
      <c r="B56" s="76">
        <v>45512</v>
      </c>
      <c r="C56" s="13">
        <v>1260</v>
      </c>
      <c r="D56" s="20">
        <v>45658</v>
      </c>
      <c r="E56" s="20">
        <v>45687</v>
      </c>
      <c r="F56" s="11">
        <f t="shared" si="0"/>
        <v>30</v>
      </c>
      <c r="G56" s="12">
        <v>238</v>
      </c>
      <c r="H56" s="13">
        <v>1</v>
      </c>
      <c r="I56" s="19">
        <f t="shared" si="1"/>
        <v>238</v>
      </c>
      <c r="J56" s="32" t="s">
        <v>548</v>
      </c>
      <c r="K56" s="13"/>
    </row>
    <row r="57" spans="1:11" ht="13.5" customHeight="1" x14ac:dyDescent="0.2">
      <c r="A57" s="2" t="s">
        <v>24</v>
      </c>
      <c r="B57" s="76">
        <v>45512</v>
      </c>
      <c r="C57" s="13">
        <v>15155</v>
      </c>
      <c r="D57" s="20">
        <v>45658</v>
      </c>
      <c r="E57" s="20">
        <v>45687</v>
      </c>
      <c r="F57" s="11">
        <f t="shared" si="0"/>
        <v>30</v>
      </c>
      <c r="G57" s="12">
        <v>238</v>
      </c>
      <c r="H57" s="13">
        <v>1</v>
      </c>
      <c r="I57" s="19">
        <f t="shared" si="1"/>
        <v>238</v>
      </c>
      <c r="J57" s="32" t="s">
        <v>552</v>
      </c>
      <c r="K57" s="13" t="s">
        <v>553</v>
      </c>
    </row>
    <row r="58" spans="1:11" ht="13.5" customHeight="1" x14ac:dyDescent="0.2">
      <c r="A58" s="2" t="s">
        <v>24</v>
      </c>
      <c r="B58" s="76">
        <v>45512</v>
      </c>
      <c r="C58" s="13">
        <v>1274</v>
      </c>
      <c r="D58" s="20">
        <v>45658</v>
      </c>
      <c r="E58" s="20">
        <v>45687</v>
      </c>
      <c r="F58" s="11">
        <f t="shared" si="0"/>
        <v>30</v>
      </c>
      <c r="G58" s="12">
        <v>238</v>
      </c>
      <c r="H58" s="13">
        <v>1</v>
      </c>
      <c r="I58" s="19">
        <f t="shared" si="1"/>
        <v>238</v>
      </c>
      <c r="J58" s="32" t="s">
        <v>554</v>
      </c>
      <c r="K58" s="13"/>
    </row>
    <row r="59" spans="1:11" ht="13.5" customHeight="1" x14ac:dyDescent="0.2">
      <c r="A59" s="2" t="s">
        <v>26</v>
      </c>
      <c r="B59" s="76">
        <v>45512</v>
      </c>
      <c r="C59" s="13">
        <v>1161</v>
      </c>
      <c r="D59" s="20">
        <v>45658</v>
      </c>
      <c r="E59" s="20">
        <v>45687</v>
      </c>
      <c r="F59" s="11">
        <f t="shared" ref="F59:F83" si="2">(E59-D59)+1</f>
        <v>30</v>
      </c>
      <c r="G59" s="12">
        <v>260</v>
      </c>
      <c r="H59" s="13">
        <v>1</v>
      </c>
      <c r="I59" s="19">
        <f t="shared" ref="I59:I83" si="3">G59/30*H59*F59</f>
        <v>260</v>
      </c>
      <c r="J59" s="32" t="s">
        <v>487</v>
      </c>
      <c r="K59" s="13"/>
    </row>
    <row r="60" spans="1:11" ht="13.5" customHeight="1" x14ac:dyDescent="0.2">
      <c r="A60" s="2" t="s">
        <v>26</v>
      </c>
      <c r="B60" s="76">
        <v>45512</v>
      </c>
      <c r="C60" s="13" t="s">
        <v>488</v>
      </c>
      <c r="D60" s="20">
        <v>45658</v>
      </c>
      <c r="E60" s="20">
        <v>45687</v>
      </c>
      <c r="F60" s="11">
        <f t="shared" si="2"/>
        <v>30</v>
      </c>
      <c r="G60" s="12">
        <v>260</v>
      </c>
      <c r="H60" s="13">
        <v>1</v>
      </c>
      <c r="I60" s="19">
        <f t="shared" si="3"/>
        <v>260</v>
      </c>
      <c r="J60" s="32" t="s">
        <v>487</v>
      </c>
      <c r="K60" s="13"/>
    </row>
    <row r="61" spans="1:11" ht="13.5" customHeight="1" x14ac:dyDescent="0.2">
      <c r="A61" s="2" t="s">
        <v>26</v>
      </c>
      <c r="B61" s="76">
        <v>45512</v>
      </c>
      <c r="C61" s="13" t="s">
        <v>490</v>
      </c>
      <c r="D61" s="20">
        <v>45658</v>
      </c>
      <c r="E61" s="20">
        <v>45687</v>
      </c>
      <c r="F61" s="11">
        <f t="shared" si="2"/>
        <v>30</v>
      </c>
      <c r="G61" s="12">
        <v>260</v>
      </c>
      <c r="H61" s="13">
        <v>1</v>
      </c>
      <c r="I61" s="19">
        <f t="shared" si="3"/>
        <v>260</v>
      </c>
      <c r="J61" s="32" t="s">
        <v>491</v>
      </c>
      <c r="K61" s="13"/>
    </row>
    <row r="62" spans="1:11" ht="13.5" customHeight="1" x14ac:dyDescent="0.2">
      <c r="A62" s="2" t="s">
        <v>26</v>
      </c>
      <c r="B62" s="76">
        <v>45512</v>
      </c>
      <c r="C62" s="13" t="s">
        <v>494</v>
      </c>
      <c r="D62" s="20">
        <v>45658</v>
      </c>
      <c r="E62" s="20">
        <v>45687</v>
      </c>
      <c r="F62" s="11">
        <f t="shared" si="2"/>
        <v>30</v>
      </c>
      <c r="G62" s="12">
        <v>260</v>
      </c>
      <c r="H62" s="13">
        <v>1</v>
      </c>
      <c r="I62" s="19">
        <f t="shared" si="3"/>
        <v>260</v>
      </c>
      <c r="J62" s="32" t="s">
        <v>495</v>
      </c>
      <c r="K62" s="13"/>
    </row>
    <row r="63" spans="1:11" ht="13.5" customHeight="1" x14ac:dyDescent="0.2">
      <c r="A63" s="2" t="s">
        <v>26</v>
      </c>
      <c r="B63" s="76">
        <v>45512</v>
      </c>
      <c r="C63" s="13" t="s">
        <v>498</v>
      </c>
      <c r="D63" s="20">
        <v>45658</v>
      </c>
      <c r="E63" s="20">
        <v>45687</v>
      </c>
      <c r="F63" s="11">
        <f t="shared" si="2"/>
        <v>30</v>
      </c>
      <c r="G63" s="3">
        <v>260</v>
      </c>
      <c r="H63" s="13">
        <v>1</v>
      </c>
      <c r="I63" s="19">
        <f t="shared" si="3"/>
        <v>260</v>
      </c>
      <c r="J63" s="32" t="s">
        <v>499</v>
      </c>
      <c r="K63" s="13"/>
    </row>
    <row r="64" spans="1:11" ht="13.5" customHeight="1" x14ac:dyDescent="0.2">
      <c r="A64" s="2" t="s">
        <v>26</v>
      </c>
      <c r="B64" s="76">
        <v>45512</v>
      </c>
      <c r="C64" s="13" t="s">
        <v>501</v>
      </c>
      <c r="D64" s="20">
        <v>45658</v>
      </c>
      <c r="E64" s="20">
        <v>45687</v>
      </c>
      <c r="F64" s="11">
        <f t="shared" si="2"/>
        <v>30</v>
      </c>
      <c r="G64" s="12">
        <v>260</v>
      </c>
      <c r="H64" s="13">
        <v>1</v>
      </c>
      <c r="I64" s="19">
        <f t="shared" si="3"/>
        <v>260</v>
      </c>
      <c r="J64" s="32" t="s">
        <v>502</v>
      </c>
      <c r="K64" s="13"/>
    </row>
    <row r="65" spans="1:11" ht="13.5" customHeight="1" x14ac:dyDescent="0.2">
      <c r="A65" s="2" t="s">
        <v>26</v>
      </c>
      <c r="B65" s="76">
        <v>45512</v>
      </c>
      <c r="C65" s="13">
        <v>1158</v>
      </c>
      <c r="D65" s="20">
        <v>45658</v>
      </c>
      <c r="E65" s="20">
        <v>45687</v>
      </c>
      <c r="F65" s="11">
        <f t="shared" si="2"/>
        <v>30</v>
      </c>
      <c r="G65" s="154">
        <v>260</v>
      </c>
      <c r="H65" s="13">
        <v>1</v>
      </c>
      <c r="I65" s="19">
        <f t="shared" si="3"/>
        <v>260</v>
      </c>
      <c r="J65" s="32" t="s">
        <v>502</v>
      </c>
      <c r="K65" s="13"/>
    </row>
    <row r="66" spans="1:11" ht="13.5" customHeight="1" x14ac:dyDescent="0.2">
      <c r="A66" s="2" t="s">
        <v>26</v>
      </c>
      <c r="B66" s="76">
        <v>45512</v>
      </c>
      <c r="C66" s="13">
        <v>1342</v>
      </c>
      <c r="D66" s="20">
        <v>45658</v>
      </c>
      <c r="E66" s="20">
        <v>45687</v>
      </c>
      <c r="F66" s="11">
        <f t="shared" si="2"/>
        <v>30</v>
      </c>
      <c r="G66" s="154">
        <v>260</v>
      </c>
      <c r="H66" s="13">
        <v>1</v>
      </c>
      <c r="I66" s="19">
        <f t="shared" si="3"/>
        <v>260</v>
      </c>
      <c r="J66" s="32" t="s">
        <v>504</v>
      </c>
      <c r="K66" s="13"/>
    </row>
    <row r="67" spans="1:11" ht="13.5" customHeight="1" x14ac:dyDescent="0.2">
      <c r="A67" s="2" t="s">
        <v>26</v>
      </c>
      <c r="B67" s="76">
        <v>45512</v>
      </c>
      <c r="C67" s="13">
        <v>16024</v>
      </c>
      <c r="D67" s="20">
        <v>45658</v>
      </c>
      <c r="E67" s="20">
        <v>45687</v>
      </c>
      <c r="F67" s="11">
        <f t="shared" si="2"/>
        <v>30</v>
      </c>
      <c r="G67" s="154">
        <v>260</v>
      </c>
      <c r="H67" s="13">
        <v>1</v>
      </c>
      <c r="I67" s="19">
        <f t="shared" si="3"/>
        <v>260</v>
      </c>
      <c r="J67" s="32" t="s">
        <v>507</v>
      </c>
      <c r="K67" s="13" t="s">
        <v>706</v>
      </c>
    </row>
    <row r="68" spans="1:11" ht="13.5" customHeight="1" x14ac:dyDescent="0.2">
      <c r="A68" s="2" t="s">
        <v>26</v>
      </c>
      <c r="B68" s="76">
        <v>45512</v>
      </c>
      <c r="C68" s="13">
        <v>1320</v>
      </c>
      <c r="D68" s="20">
        <v>45658</v>
      </c>
      <c r="E68" s="20">
        <v>45687</v>
      </c>
      <c r="F68" s="11">
        <f t="shared" ref="F68:F79" si="4">(E68-D68)+1</f>
        <v>30</v>
      </c>
      <c r="G68" s="154">
        <v>260</v>
      </c>
      <c r="H68" s="13">
        <v>1</v>
      </c>
      <c r="I68" s="19">
        <f t="shared" ref="I68:I79" si="5">G68/30*H68*F68</f>
        <v>260</v>
      </c>
      <c r="J68" s="32" t="s">
        <v>520</v>
      </c>
      <c r="K68" s="13"/>
    </row>
    <row r="69" spans="1:11" ht="13.5" customHeight="1" x14ac:dyDescent="0.2">
      <c r="A69" s="2" t="s">
        <v>26</v>
      </c>
      <c r="B69" s="76">
        <v>45512</v>
      </c>
      <c r="C69" s="13">
        <v>1286</v>
      </c>
      <c r="D69" s="20">
        <v>45658</v>
      </c>
      <c r="E69" s="20">
        <v>45687</v>
      </c>
      <c r="F69" s="11">
        <f t="shared" si="4"/>
        <v>30</v>
      </c>
      <c r="G69" s="12">
        <v>260</v>
      </c>
      <c r="H69" s="13">
        <v>1</v>
      </c>
      <c r="I69" s="19">
        <f t="shared" si="5"/>
        <v>260</v>
      </c>
      <c r="J69" s="32" t="s">
        <v>537</v>
      </c>
      <c r="K69" s="13"/>
    </row>
    <row r="70" spans="1:11" ht="13.5" customHeight="1" x14ac:dyDescent="0.2">
      <c r="A70" s="2" t="s">
        <v>26</v>
      </c>
      <c r="B70" s="76">
        <v>45512</v>
      </c>
      <c r="C70" s="13">
        <v>1292</v>
      </c>
      <c r="D70" s="20">
        <v>45658</v>
      </c>
      <c r="E70" s="20">
        <v>45687</v>
      </c>
      <c r="F70" s="11">
        <f t="shared" si="4"/>
        <v>30</v>
      </c>
      <c r="G70" s="12">
        <v>260</v>
      </c>
      <c r="H70" s="13">
        <v>1</v>
      </c>
      <c r="I70" s="19">
        <f t="shared" si="5"/>
        <v>260</v>
      </c>
      <c r="J70" s="32" t="s">
        <v>540</v>
      </c>
      <c r="K70" s="13"/>
    </row>
    <row r="71" spans="1:11" ht="13.5" customHeight="1" x14ac:dyDescent="0.2">
      <c r="A71" s="2" t="s">
        <v>26</v>
      </c>
      <c r="B71" s="76">
        <v>45512</v>
      </c>
      <c r="C71" s="13">
        <v>1294</v>
      </c>
      <c r="D71" s="20">
        <v>45658</v>
      </c>
      <c r="E71" s="20">
        <v>45687</v>
      </c>
      <c r="F71" s="11">
        <f t="shared" si="4"/>
        <v>30</v>
      </c>
      <c r="G71" s="12">
        <v>260</v>
      </c>
      <c r="H71" s="13">
        <v>1</v>
      </c>
      <c r="I71" s="19">
        <f t="shared" si="5"/>
        <v>260</v>
      </c>
      <c r="J71" s="32" t="s">
        <v>541</v>
      </c>
      <c r="K71" s="13"/>
    </row>
    <row r="72" spans="1:11" ht="13.5" customHeight="1" x14ac:dyDescent="0.2">
      <c r="A72" s="2" t="s">
        <v>26</v>
      </c>
      <c r="B72" s="76">
        <v>45512</v>
      </c>
      <c r="C72" s="13">
        <v>1264</v>
      </c>
      <c r="D72" s="20">
        <v>45658</v>
      </c>
      <c r="E72" s="20">
        <v>45687</v>
      </c>
      <c r="F72" s="11">
        <f t="shared" si="4"/>
        <v>30</v>
      </c>
      <c r="G72" s="12">
        <v>260</v>
      </c>
      <c r="H72" s="13">
        <v>1</v>
      </c>
      <c r="I72" s="19">
        <f t="shared" si="5"/>
        <v>260</v>
      </c>
      <c r="J72" s="32" t="s">
        <v>544</v>
      </c>
      <c r="K72" s="13"/>
    </row>
    <row r="73" spans="1:11" ht="13.5" customHeight="1" x14ac:dyDescent="0.2">
      <c r="A73" s="2" t="s">
        <v>26</v>
      </c>
      <c r="B73" s="76">
        <v>45512</v>
      </c>
      <c r="C73" s="13">
        <v>1258</v>
      </c>
      <c r="D73" s="20">
        <v>45658</v>
      </c>
      <c r="E73" s="20">
        <v>45687</v>
      </c>
      <c r="F73" s="11">
        <f t="shared" si="4"/>
        <v>30</v>
      </c>
      <c r="G73" s="12">
        <v>260</v>
      </c>
      <c r="H73" s="13">
        <v>1</v>
      </c>
      <c r="I73" s="19">
        <f t="shared" si="5"/>
        <v>260</v>
      </c>
      <c r="J73" s="32" t="s">
        <v>550</v>
      </c>
      <c r="K73" s="13"/>
    </row>
    <row r="74" spans="1:11" ht="13.5" customHeight="1" x14ac:dyDescent="0.2">
      <c r="A74" s="2" t="s">
        <v>26</v>
      </c>
      <c r="B74" s="76">
        <v>45512</v>
      </c>
      <c r="C74" s="13">
        <v>15944</v>
      </c>
      <c r="D74" s="20">
        <v>45658</v>
      </c>
      <c r="E74" s="20">
        <v>45687</v>
      </c>
      <c r="F74" s="11">
        <f t="shared" si="4"/>
        <v>30</v>
      </c>
      <c r="G74" s="12">
        <v>260</v>
      </c>
      <c r="H74" s="13">
        <v>1</v>
      </c>
      <c r="I74" s="19">
        <f t="shared" si="5"/>
        <v>260</v>
      </c>
      <c r="J74" s="32" t="s">
        <v>551</v>
      </c>
      <c r="K74" s="13" t="s">
        <v>705</v>
      </c>
    </row>
    <row r="75" spans="1:11" ht="13.5" customHeight="1" x14ac:dyDescent="0.2">
      <c r="A75" s="2" t="s">
        <v>26</v>
      </c>
      <c r="B75" s="76">
        <v>45512</v>
      </c>
      <c r="C75" s="13">
        <v>15936</v>
      </c>
      <c r="D75" s="20">
        <v>45658</v>
      </c>
      <c r="E75" s="20">
        <v>45687</v>
      </c>
      <c r="F75" s="11">
        <f t="shared" si="4"/>
        <v>30</v>
      </c>
      <c r="G75" s="12">
        <v>260</v>
      </c>
      <c r="H75" s="13">
        <v>1</v>
      </c>
      <c r="I75" s="19">
        <f t="shared" si="5"/>
        <v>260</v>
      </c>
      <c r="J75" s="32" t="s">
        <v>556</v>
      </c>
      <c r="K75" s="13" t="s">
        <v>708</v>
      </c>
    </row>
    <row r="76" spans="1:11" ht="13.5" customHeight="1" x14ac:dyDescent="0.2">
      <c r="A76" s="2" t="s">
        <v>26</v>
      </c>
      <c r="B76" s="76">
        <v>45512</v>
      </c>
      <c r="C76" s="13">
        <v>16057</v>
      </c>
      <c r="D76" s="20">
        <v>45658</v>
      </c>
      <c r="E76" s="20">
        <v>45687</v>
      </c>
      <c r="F76" s="11">
        <f t="shared" si="4"/>
        <v>30</v>
      </c>
      <c r="G76" s="12">
        <v>260</v>
      </c>
      <c r="H76" s="13">
        <v>1</v>
      </c>
      <c r="I76" s="19">
        <f t="shared" si="5"/>
        <v>260</v>
      </c>
      <c r="J76" s="32" t="s">
        <v>557</v>
      </c>
      <c r="K76" s="13" t="s">
        <v>707</v>
      </c>
    </row>
    <row r="77" spans="1:11" ht="13.5" customHeight="1" x14ac:dyDescent="0.2">
      <c r="A77" s="2" t="s">
        <v>26</v>
      </c>
      <c r="B77" s="76">
        <v>45512</v>
      </c>
      <c r="C77" s="13">
        <v>1826</v>
      </c>
      <c r="D77" s="20">
        <v>45658</v>
      </c>
      <c r="E77" s="20">
        <v>45687</v>
      </c>
      <c r="F77" s="11">
        <f t="shared" si="4"/>
        <v>30</v>
      </c>
      <c r="G77" s="12">
        <v>260</v>
      </c>
      <c r="H77" s="13">
        <v>1</v>
      </c>
      <c r="I77" s="19">
        <f t="shared" si="5"/>
        <v>260</v>
      </c>
      <c r="J77" s="32" t="s">
        <v>558</v>
      </c>
      <c r="K77" s="13"/>
    </row>
    <row r="78" spans="1:11" ht="13.5" customHeight="1" x14ac:dyDescent="0.2">
      <c r="A78" s="2" t="s">
        <v>26</v>
      </c>
      <c r="B78" s="76">
        <v>45512</v>
      </c>
      <c r="C78" s="13">
        <v>1357</v>
      </c>
      <c r="D78" s="20">
        <v>45658</v>
      </c>
      <c r="E78" s="20">
        <v>45687</v>
      </c>
      <c r="F78" s="11">
        <f t="shared" si="4"/>
        <v>30</v>
      </c>
      <c r="G78" s="12">
        <v>260</v>
      </c>
      <c r="H78" s="13">
        <v>1</v>
      </c>
      <c r="I78" s="19">
        <f t="shared" si="5"/>
        <v>260</v>
      </c>
      <c r="J78" s="32" t="s">
        <v>558</v>
      </c>
      <c r="K78" s="13" t="s">
        <v>559</v>
      </c>
    </row>
    <row r="79" spans="1:11" ht="13.5" customHeight="1" x14ac:dyDescent="0.2">
      <c r="A79" s="2" t="s">
        <v>27</v>
      </c>
      <c r="B79" s="76">
        <v>45512</v>
      </c>
      <c r="C79" s="13">
        <v>1356</v>
      </c>
      <c r="D79" s="20">
        <v>45658</v>
      </c>
      <c r="E79" s="20">
        <v>45687</v>
      </c>
      <c r="F79" s="11">
        <f t="shared" si="4"/>
        <v>30</v>
      </c>
      <c r="G79" s="154">
        <v>347</v>
      </c>
      <c r="H79" s="13">
        <v>1</v>
      </c>
      <c r="I79" s="19">
        <f t="shared" si="5"/>
        <v>347</v>
      </c>
      <c r="J79" s="32" t="s">
        <v>509</v>
      </c>
      <c r="K79" s="13"/>
    </row>
    <row r="80" spans="1:11" ht="13.5" customHeight="1" x14ac:dyDescent="0.2">
      <c r="A80" s="2" t="s">
        <v>27</v>
      </c>
      <c r="B80" s="76">
        <v>45512</v>
      </c>
      <c r="C80" s="13">
        <v>1352</v>
      </c>
      <c r="D80" s="20">
        <v>45658</v>
      </c>
      <c r="E80" s="20">
        <v>45687</v>
      </c>
      <c r="F80" s="11">
        <f t="shared" si="2"/>
        <v>30</v>
      </c>
      <c r="G80" s="154">
        <v>347</v>
      </c>
      <c r="H80" s="13">
        <v>1</v>
      </c>
      <c r="I80" s="19">
        <f t="shared" si="3"/>
        <v>347</v>
      </c>
      <c r="J80" s="32" t="s">
        <v>510</v>
      </c>
      <c r="K80" s="13"/>
    </row>
    <row r="81" spans="1:12" ht="13.5" customHeight="1" x14ac:dyDescent="0.2">
      <c r="A81" s="2" t="s">
        <v>27</v>
      </c>
      <c r="B81" s="76">
        <v>45512</v>
      </c>
      <c r="C81" s="13">
        <v>1311</v>
      </c>
      <c r="D81" s="20">
        <v>45658</v>
      </c>
      <c r="E81" s="20">
        <v>45687</v>
      </c>
      <c r="F81" s="11">
        <f t="shared" si="2"/>
        <v>30</v>
      </c>
      <c r="G81" s="154">
        <v>347</v>
      </c>
      <c r="H81" s="13">
        <v>1</v>
      </c>
      <c r="I81" s="19">
        <f t="shared" si="3"/>
        <v>347</v>
      </c>
      <c r="J81" s="32" t="s">
        <v>516</v>
      </c>
      <c r="K81" s="13"/>
    </row>
    <row r="82" spans="1:12" ht="13.5" customHeight="1" x14ac:dyDescent="0.2">
      <c r="A82" s="2" t="s">
        <v>27</v>
      </c>
      <c r="B82" s="76">
        <v>45512</v>
      </c>
      <c r="C82" s="13">
        <v>1335</v>
      </c>
      <c r="D82" s="20">
        <v>45658</v>
      </c>
      <c r="E82" s="20">
        <v>45687</v>
      </c>
      <c r="F82" s="11">
        <f t="shared" si="2"/>
        <v>30</v>
      </c>
      <c r="G82" s="154">
        <v>347</v>
      </c>
      <c r="H82" s="13">
        <v>1</v>
      </c>
      <c r="I82" s="19">
        <f t="shared" si="3"/>
        <v>347</v>
      </c>
      <c r="J82" s="32" t="s">
        <v>525</v>
      </c>
      <c r="K82" s="13"/>
    </row>
    <row r="83" spans="1:12" ht="13.5" customHeight="1" x14ac:dyDescent="0.2">
      <c r="A83" s="2" t="s">
        <v>27</v>
      </c>
      <c r="B83" s="76">
        <v>45512</v>
      </c>
      <c r="C83" s="13">
        <v>1287</v>
      </c>
      <c r="D83" s="20">
        <v>45658</v>
      </c>
      <c r="E83" s="20">
        <v>45687</v>
      </c>
      <c r="F83" s="11">
        <f t="shared" si="2"/>
        <v>30</v>
      </c>
      <c r="G83" s="12">
        <v>347</v>
      </c>
      <c r="H83" s="13">
        <v>1</v>
      </c>
      <c r="I83" s="19">
        <f t="shared" si="3"/>
        <v>347</v>
      </c>
      <c r="J83" s="32" t="s">
        <v>530</v>
      </c>
      <c r="K83" s="13"/>
    </row>
    <row r="84" spans="1:12" ht="13.5" customHeight="1" x14ac:dyDescent="0.2">
      <c r="A84" s="2" t="s">
        <v>27</v>
      </c>
      <c r="B84" s="76">
        <v>45512</v>
      </c>
      <c r="C84" s="13">
        <v>1862</v>
      </c>
      <c r="D84" s="20">
        <v>45658</v>
      </c>
      <c r="E84" s="20">
        <v>45687</v>
      </c>
      <c r="F84" s="11">
        <f t="shared" ref="F84:F85" si="6">(E84-D84)+1</f>
        <v>30</v>
      </c>
      <c r="G84" s="12">
        <v>347</v>
      </c>
      <c r="H84" s="13">
        <v>1</v>
      </c>
      <c r="I84" s="19">
        <f t="shared" ref="I84:I85" si="7">G84/30*H84*F84</f>
        <v>347</v>
      </c>
      <c r="J84" s="32" t="s">
        <v>555</v>
      </c>
      <c r="K84" s="13"/>
    </row>
    <row r="85" spans="1:12" ht="13.5" customHeight="1" x14ac:dyDescent="0.2">
      <c r="A85" s="2" t="s">
        <v>26</v>
      </c>
      <c r="B85" s="76">
        <v>45617</v>
      </c>
      <c r="C85" s="173">
        <v>16532</v>
      </c>
      <c r="D85" s="20">
        <v>45658</v>
      </c>
      <c r="E85" s="20">
        <v>45687</v>
      </c>
      <c r="F85" s="11">
        <f t="shared" si="6"/>
        <v>30</v>
      </c>
      <c r="G85" s="12">
        <v>260</v>
      </c>
      <c r="H85" s="13">
        <v>1</v>
      </c>
      <c r="I85" s="19">
        <f t="shared" si="7"/>
        <v>260</v>
      </c>
      <c r="J85" s="32" t="s">
        <v>830</v>
      </c>
      <c r="K85" s="13">
        <v>71781</v>
      </c>
      <c r="L85" s="7" t="s">
        <v>835</v>
      </c>
    </row>
    <row r="86" spans="1:12" ht="13.5" customHeight="1" x14ac:dyDescent="0.25">
      <c r="A86" s="14"/>
      <c r="B86" s="20"/>
      <c r="C86" s="13"/>
      <c r="D86" s="20"/>
      <c r="E86" s="20"/>
      <c r="F86" s="11"/>
      <c r="G86" s="12"/>
      <c r="H86" s="13"/>
      <c r="I86" s="19">
        <f t="shared" ref="I86" si="8">G86/30*H86*F86</f>
        <v>0</v>
      </c>
      <c r="J86" s="32"/>
      <c r="K86" s="13"/>
    </row>
    <row r="87" spans="1:12" ht="13.5" customHeight="1" x14ac:dyDescent="0.25">
      <c r="A87" s="21" t="s">
        <v>181</v>
      </c>
      <c r="B87" s="26"/>
      <c r="C87" s="137"/>
      <c r="D87" s="23"/>
      <c r="E87" s="23"/>
      <c r="F87" s="24"/>
      <c r="G87" s="23"/>
      <c r="H87" s="22">
        <f>SUM(H15:H86)</f>
        <v>71</v>
      </c>
      <c r="I87" s="112">
        <f>SUM(I15:I86)</f>
        <v>17936</v>
      </c>
      <c r="J87" s="33"/>
      <c r="K87" s="116"/>
    </row>
    <row r="88" spans="1:12" ht="13.5" customHeight="1" x14ac:dyDescent="0.25">
      <c r="D88" s="8"/>
      <c r="E88" s="8"/>
      <c r="F88" s="9"/>
      <c r="G88" s="10"/>
      <c r="I88" s="10"/>
      <c r="J88" s="4"/>
    </row>
    <row r="89" spans="1:12" ht="13.5" customHeight="1" x14ac:dyDescent="0.25">
      <c r="D89" s="8"/>
      <c r="E89" s="8"/>
      <c r="F89" s="9"/>
      <c r="G89" s="10"/>
      <c r="H89" s="50">
        <f>H87</f>
        <v>71</v>
      </c>
      <c r="I89" s="25">
        <f>I87</f>
        <v>17936</v>
      </c>
      <c r="J89" s="16"/>
    </row>
    <row r="90" spans="1:12" ht="13.5" customHeight="1" x14ac:dyDescent="0.25">
      <c r="D90" s="8"/>
      <c r="E90" s="8"/>
      <c r="F90" s="9"/>
      <c r="G90" s="10"/>
      <c r="I90" s="10"/>
      <c r="J90" s="16"/>
    </row>
    <row r="91" spans="1:12" ht="13.5" customHeight="1" x14ac:dyDescent="0.25">
      <c r="D91" s="8"/>
      <c r="E91" s="8"/>
      <c r="F91" s="9"/>
      <c r="G91" s="10"/>
      <c r="I91" s="10"/>
      <c r="J91" s="7"/>
    </row>
    <row r="92" spans="1:12" ht="13.5" customHeight="1" x14ac:dyDescent="0.25">
      <c r="A92" s="289" t="s">
        <v>124</v>
      </c>
      <c r="B92" s="289"/>
      <c r="C92" s="289"/>
      <c r="D92" s="289"/>
      <c r="E92" s="289"/>
      <c r="F92" s="289"/>
      <c r="G92" s="289"/>
      <c r="H92" s="289"/>
      <c r="I92" s="289"/>
      <c r="J92" s="7"/>
    </row>
    <row r="93" spans="1:12" ht="13.5" customHeight="1" x14ac:dyDescent="0.25">
      <c r="J93" s="7"/>
    </row>
    <row r="94" spans="1:12" ht="13.5" customHeight="1" x14ac:dyDescent="0.2">
      <c r="A94" s="27" t="s">
        <v>125</v>
      </c>
      <c r="B94" s="7"/>
      <c r="F94" s="71"/>
      <c r="G94" s="10"/>
      <c r="I94" s="72"/>
      <c r="J94" s="7"/>
    </row>
    <row r="95" spans="1:12" ht="60" customHeight="1" x14ac:dyDescent="0.25">
      <c r="A95" s="291"/>
      <c r="B95" s="275"/>
      <c r="C95" s="292"/>
      <c r="D95" s="290"/>
      <c r="E95" s="290"/>
      <c r="F95" s="290"/>
      <c r="G95" s="290"/>
      <c r="H95" s="290"/>
      <c r="I95" s="290"/>
      <c r="J95" s="7"/>
    </row>
    <row r="96" spans="1:12" ht="13.5" customHeight="1" x14ac:dyDescent="0.25">
      <c r="A96" s="274" t="s">
        <v>126</v>
      </c>
      <c r="B96" s="274"/>
      <c r="C96" s="274"/>
      <c r="D96" s="274" t="s">
        <v>127</v>
      </c>
      <c r="E96" s="274"/>
      <c r="F96" s="274"/>
      <c r="G96" s="274"/>
      <c r="H96" s="274"/>
      <c r="I96" s="274"/>
      <c r="J96" s="7"/>
    </row>
    <row r="97" spans="1:10" ht="13.5" customHeight="1" x14ac:dyDescent="0.25">
      <c r="D97" s="8"/>
      <c r="E97" s="8"/>
      <c r="F97" s="9"/>
      <c r="G97" s="10"/>
      <c r="I97" s="10"/>
      <c r="J97" s="7"/>
    </row>
    <row r="98" spans="1:10" ht="13.5" customHeight="1" x14ac:dyDescent="0.25">
      <c r="D98" s="8"/>
      <c r="E98" s="8"/>
      <c r="F98" s="9"/>
      <c r="G98" s="10"/>
      <c r="I98" s="10"/>
      <c r="J98" s="7"/>
    </row>
    <row r="99" spans="1:10" ht="13.5" customHeight="1" x14ac:dyDescent="0.25">
      <c r="D99" s="8"/>
      <c r="E99" s="8"/>
      <c r="F99" s="9"/>
      <c r="G99" s="10"/>
      <c r="I99" s="10"/>
      <c r="J99" s="7"/>
    </row>
    <row r="100" spans="1:10" ht="13.5" customHeight="1" x14ac:dyDescent="0.2">
      <c r="A100" s="266" t="s">
        <v>29</v>
      </c>
      <c r="B100" s="266"/>
      <c r="C100" s="266"/>
      <c r="D100" s="266"/>
      <c r="E100" s="266"/>
      <c r="F100" s="266"/>
      <c r="G100" s="51"/>
      <c r="I100" s="10"/>
      <c r="J100" s="16"/>
    </row>
    <row r="101" spans="1:10" ht="13.5" customHeight="1" x14ac:dyDescent="0.2">
      <c r="A101" s="267" t="s">
        <v>45</v>
      </c>
      <c r="B101" s="267"/>
      <c r="C101" s="267"/>
      <c r="D101" s="267"/>
      <c r="E101" s="283" t="s">
        <v>5</v>
      </c>
      <c r="F101" s="282" t="s">
        <v>6</v>
      </c>
      <c r="G101" s="52"/>
      <c r="I101" s="10"/>
      <c r="J101" s="16"/>
    </row>
    <row r="102" spans="1:10" ht="13.5" customHeight="1" x14ac:dyDescent="0.2">
      <c r="A102" s="34" t="s">
        <v>0</v>
      </c>
      <c r="B102" s="34" t="s">
        <v>3</v>
      </c>
      <c r="C102" s="34" t="s">
        <v>2</v>
      </c>
      <c r="D102" s="34" t="s">
        <v>4</v>
      </c>
      <c r="E102" s="284"/>
      <c r="F102" s="282"/>
      <c r="G102" s="53"/>
    </row>
    <row r="103" spans="1:10" ht="13.5" customHeight="1" x14ac:dyDescent="0.2">
      <c r="A103" s="2" t="s">
        <v>18</v>
      </c>
      <c r="B103" s="39"/>
      <c r="C103" s="35">
        <v>37</v>
      </c>
      <c r="D103" s="35">
        <v>0</v>
      </c>
      <c r="E103" s="13">
        <f>COUNTIFS($A$12:$A$91,"Cond Ar Janela 7.500 BTU/h")</f>
        <v>0</v>
      </c>
      <c r="F103" s="40">
        <f>B103-E103</f>
        <v>0</v>
      </c>
      <c r="G103" s="1"/>
    </row>
    <row r="104" spans="1:10" ht="13.5" customHeight="1" x14ac:dyDescent="0.2">
      <c r="A104" s="2" t="s">
        <v>19</v>
      </c>
      <c r="B104" s="39"/>
      <c r="C104" s="3">
        <v>210</v>
      </c>
      <c r="D104" s="3">
        <f t="shared" ref="D104:D113" si="9">B104*C104</f>
        <v>0</v>
      </c>
      <c r="E104" s="13">
        <f>COUNTIFS($A$12:$A$91,"Cond Ar Janela 10.000 BTU/h")</f>
        <v>0</v>
      </c>
      <c r="F104" s="40">
        <f t="shared" ref="F104:F125" si="10">B104-E104</f>
        <v>0</v>
      </c>
      <c r="G104" s="1"/>
    </row>
    <row r="105" spans="1:10" ht="13.5" customHeight="1" x14ac:dyDescent="0.2">
      <c r="A105" s="2" t="s">
        <v>20</v>
      </c>
      <c r="B105" s="39"/>
      <c r="C105" s="3">
        <v>208</v>
      </c>
      <c r="D105" s="3">
        <f t="shared" si="9"/>
        <v>0</v>
      </c>
      <c r="E105" s="13">
        <f>COUNTIFS($A$12:$A$91,"Cond Ar Janela 18.000 BTU/h")</f>
        <v>0</v>
      </c>
      <c r="F105" s="40">
        <f t="shared" si="10"/>
        <v>0</v>
      </c>
      <c r="G105" s="1"/>
    </row>
    <row r="106" spans="1:10" ht="13.5" customHeight="1" x14ac:dyDescent="0.2">
      <c r="A106" s="2" t="s">
        <v>21</v>
      </c>
      <c r="B106" s="39"/>
      <c r="C106" s="3">
        <v>57</v>
      </c>
      <c r="D106" s="3">
        <f t="shared" si="9"/>
        <v>0</v>
      </c>
      <c r="E106" s="13">
        <f>COUNTIFS($A$12:$A$91,"Cond Ar Janela 21.000 BTU/h")</f>
        <v>0</v>
      </c>
      <c r="F106" s="40">
        <f t="shared" si="10"/>
        <v>0</v>
      </c>
      <c r="G106" s="1"/>
    </row>
    <row r="107" spans="1:10" ht="13.5" customHeight="1" x14ac:dyDescent="0.2">
      <c r="A107" s="2" t="s">
        <v>22</v>
      </c>
      <c r="B107" s="39"/>
      <c r="C107" s="3">
        <v>147</v>
      </c>
      <c r="D107" s="3">
        <f t="shared" si="9"/>
        <v>0</v>
      </c>
      <c r="E107" s="13">
        <f>COUNTIFS($A$12:$A$91,"Cond Ar Split 9.000 BTU/h Hi Wall")</f>
        <v>0</v>
      </c>
      <c r="F107" s="40">
        <f t="shared" si="10"/>
        <v>0</v>
      </c>
      <c r="G107" s="1"/>
    </row>
    <row r="108" spans="1:10" ht="13.5" customHeight="1" x14ac:dyDescent="0.2">
      <c r="A108" s="2" t="s">
        <v>23</v>
      </c>
      <c r="B108" s="39">
        <v>30</v>
      </c>
      <c r="C108" s="3">
        <v>235</v>
      </c>
      <c r="D108" s="3">
        <f t="shared" si="9"/>
        <v>7050</v>
      </c>
      <c r="E108" s="13">
        <f>COUNTIFS($A$12:$A$91,"Cond Ar Split 12.000 BTU/h Hi Wall")</f>
        <v>26</v>
      </c>
      <c r="F108" s="40">
        <f t="shared" si="10"/>
        <v>4</v>
      </c>
      <c r="G108" s="1"/>
    </row>
    <row r="109" spans="1:10" ht="13.5" customHeight="1" x14ac:dyDescent="0.2">
      <c r="A109" s="2" t="s">
        <v>24</v>
      </c>
      <c r="B109" s="39">
        <v>23</v>
      </c>
      <c r="C109" s="3">
        <v>238</v>
      </c>
      <c r="D109" s="3">
        <f t="shared" si="9"/>
        <v>5474</v>
      </c>
      <c r="E109" s="13">
        <f>COUNTIFS($A$12:$A$91,"Cond Ar Split 18.000 BTU/h Hi Wall")</f>
        <v>18</v>
      </c>
      <c r="F109" s="40">
        <f t="shared" si="10"/>
        <v>5</v>
      </c>
      <c r="G109" s="1"/>
    </row>
    <row r="110" spans="1:10" ht="13.5" customHeight="1" x14ac:dyDescent="0.2">
      <c r="A110" s="2" t="s">
        <v>25</v>
      </c>
      <c r="B110" s="39"/>
      <c r="C110" s="3">
        <v>242</v>
      </c>
      <c r="D110" s="3">
        <f t="shared" si="9"/>
        <v>0</v>
      </c>
      <c r="E110" s="13">
        <f>COUNTIFS($A$12:$A$91,"Cond Ar Split 22.000 BTU/h Hi Wall")</f>
        <v>0</v>
      </c>
      <c r="F110" s="40">
        <f t="shared" si="10"/>
        <v>0</v>
      </c>
      <c r="G110" s="1"/>
    </row>
    <row r="111" spans="1:10" ht="13.5" customHeight="1" x14ac:dyDescent="0.2">
      <c r="A111" s="2" t="s">
        <v>26</v>
      </c>
      <c r="B111" s="39">
        <v>25</v>
      </c>
      <c r="C111" s="3">
        <v>260</v>
      </c>
      <c r="D111" s="3">
        <f t="shared" si="9"/>
        <v>6500</v>
      </c>
      <c r="E111" s="13">
        <f>COUNTIFS($A$12:$A$91,"Cond Ar Split 24.000 BTU/h Hi Wall")</f>
        <v>21</v>
      </c>
      <c r="F111" s="40">
        <f t="shared" si="10"/>
        <v>4</v>
      </c>
      <c r="G111" s="1"/>
    </row>
    <row r="112" spans="1:10" ht="13.5" customHeight="1" x14ac:dyDescent="0.2">
      <c r="A112" s="2" t="s">
        <v>27</v>
      </c>
      <c r="B112" s="39">
        <v>6</v>
      </c>
      <c r="C112" s="3">
        <v>347</v>
      </c>
      <c r="D112" s="3">
        <f t="shared" si="9"/>
        <v>2082</v>
      </c>
      <c r="E112" s="13">
        <f>COUNTIFS($A$12:$A$91,"Cond Ar Split 30.000 BTU/h Hi Wall")</f>
        <v>6</v>
      </c>
      <c r="F112" s="40">
        <f t="shared" si="10"/>
        <v>0</v>
      </c>
      <c r="G112" s="1"/>
    </row>
    <row r="113" spans="1:9" ht="13.5" customHeight="1" x14ac:dyDescent="0.2">
      <c r="A113" s="2" t="s">
        <v>30</v>
      </c>
      <c r="B113" s="39"/>
      <c r="C113" s="3">
        <v>367</v>
      </c>
      <c r="D113" s="3">
        <f t="shared" si="9"/>
        <v>0</v>
      </c>
      <c r="E113" s="13">
        <f>COUNTIFS($A$12:$A$91,"Cond Ar Split 24.000 BTU/h Piso/Teto")</f>
        <v>0</v>
      </c>
      <c r="F113" s="40">
        <f t="shared" si="10"/>
        <v>0</v>
      </c>
      <c r="G113" s="1"/>
    </row>
    <row r="114" spans="1:9" ht="13.5" customHeight="1" x14ac:dyDescent="0.2">
      <c r="A114" s="2" t="s">
        <v>31</v>
      </c>
      <c r="B114" s="39"/>
      <c r="C114" s="3">
        <v>367</v>
      </c>
      <c r="D114" s="3">
        <f>B114*C114</f>
        <v>0</v>
      </c>
      <c r="E114" s="13">
        <f>COUNTIFS($A$12:$A$91,"Cond Ar Split 30.000 BTU/h Piso/Teto")</f>
        <v>0</v>
      </c>
      <c r="F114" s="40">
        <f t="shared" si="10"/>
        <v>0</v>
      </c>
      <c r="G114" s="1"/>
    </row>
    <row r="115" spans="1:9" ht="13.5" customHeight="1" x14ac:dyDescent="0.2">
      <c r="A115" s="2" t="s">
        <v>32</v>
      </c>
      <c r="B115" s="39"/>
      <c r="C115" s="3">
        <v>447</v>
      </c>
      <c r="D115" s="3">
        <f>B115*C115</f>
        <v>0</v>
      </c>
      <c r="E115" s="13">
        <f>COUNTIFS($A$12:$A$91,"Cond Ar Split 36.000 BTU/h Piso/Teto")</f>
        <v>0</v>
      </c>
      <c r="F115" s="40">
        <f t="shared" si="10"/>
        <v>0</v>
      </c>
      <c r="G115" s="1"/>
    </row>
    <row r="116" spans="1:9" ht="13.5" customHeight="1" x14ac:dyDescent="0.2">
      <c r="A116" s="2" t="s">
        <v>33</v>
      </c>
      <c r="B116" s="39"/>
      <c r="C116" s="3">
        <v>497</v>
      </c>
      <c r="D116" s="3">
        <f>B116*C116</f>
        <v>0</v>
      </c>
      <c r="E116" s="13">
        <f>COUNTIFS($A$12:$A$91,"Cond Ar Split 48.000 BTU/h Piso/Teto")</f>
        <v>0</v>
      </c>
      <c r="F116" s="40">
        <f t="shared" si="10"/>
        <v>0</v>
      </c>
      <c r="G116" s="1"/>
    </row>
    <row r="117" spans="1:9" ht="13.5" customHeight="1" x14ac:dyDescent="0.2">
      <c r="A117" s="2" t="s">
        <v>34</v>
      </c>
      <c r="B117" s="39"/>
      <c r="C117" s="3">
        <v>597</v>
      </c>
      <c r="D117" s="3">
        <f t="shared" ref="D117:D125" si="11">B117*C117</f>
        <v>0</v>
      </c>
      <c r="E117" s="13">
        <f>COUNTIFS($A$12:$A$91,"Cond Ar Split 60.000 BTU/h Piso/Teto")</f>
        <v>0</v>
      </c>
      <c r="F117" s="40">
        <f t="shared" si="10"/>
        <v>0</v>
      </c>
      <c r="G117" s="1"/>
    </row>
    <row r="118" spans="1:9" s="15" customFormat="1" ht="13.5" customHeight="1" x14ac:dyDescent="0.2">
      <c r="A118" s="2" t="s">
        <v>35</v>
      </c>
      <c r="B118" s="39"/>
      <c r="C118" s="3">
        <v>395</v>
      </c>
      <c r="D118" s="3">
        <f t="shared" si="11"/>
        <v>0</v>
      </c>
      <c r="E118" s="13">
        <f>COUNTIFS($A$12:$A$91,"Cond Ar Split 18.000 BTU/h Cassete")</f>
        <v>0</v>
      </c>
      <c r="F118" s="40">
        <f t="shared" si="10"/>
        <v>0</v>
      </c>
      <c r="G118" s="1"/>
      <c r="H118" s="7"/>
      <c r="I118" s="7"/>
    </row>
    <row r="119" spans="1:9" s="15" customFormat="1" ht="13.5" customHeight="1" x14ac:dyDescent="0.2">
      <c r="A119" s="2" t="s">
        <v>36</v>
      </c>
      <c r="B119" s="39"/>
      <c r="C119" s="3">
        <v>442.75</v>
      </c>
      <c r="D119" s="3">
        <f t="shared" si="11"/>
        <v>0</v>
      </c>
      <c r="E119" s="13">
        <f>COUNTIFS($A$12:$A$91,"Cond Ar Split 24.000 BTU/h Cassete")</f>
        <v>0</v>
      </c>
      <c r="F119" s="40">
        <f t="shared" si="10"/>
        <v>0</v>
      </c>
      <c r="G119" s="1"/>
      <c r="H119" s="7"/>
      <c r="I119" s="7"/>
    </row>
    <row r="120" spans="1:9" s="15" customFormat="1" ht="13.5" customHeight="1" x14ac:dyDescent="0.2">
      <c r="A120" s="2" t="s">
        <v>37</v>
      </c>
      <c r="B120" s="39"/>
      <c r="C120" s="3">
        <v>430</v>
      </c>
      <c r="D120" s="3">
        <f t="shared" si="11"/>
        <v>0</v>
      </c>
      <c r="E120" s="13">
        <f>COUNTIFS($A$12:$A$91,"Cond Ar Split 30.000 BTU/h Cassete")</f>
        <v>0</v>
      </c>
      <c r="F120" s="40">
        <f t="shared" si="10"/>
        <v>0</v>
      </c>
      <c r="G120" s="1"/>
      <c r="H120" s="7"/>
      <c r="I120" s="7"/>
    </row>
    <row r="121" spans="1:9" s="15" customFormat="1" ht="13.5" customHeight="1" x14ac:dyDescent="0.2">
      <c r="A121" s="2" t="s">
        <v>38</v>
      </c>
      <c r="B121" s="39">
        <v>2</v>
      </c>
      <c r="C121" s="3">
        <v>478</v>
      </c>
      <c r="D121" s="3">
        <f t="shared" si="11"/>
        <v>956</v>
      </c>
      <c r="E121" s="13">
        <f>COUNTIFS($A$12:$A$91,"Cond Ar Split 36.000 BTU/h Cassete")</f>
        <v>0</v>
      </c>
      <c r="F121" s="40">
        <f t="shared" si="10"/>
        <v>2</v>
      </c>
      <c r="G121" s="1"/>
      <c r="H121" s="7"/>
      <c r="I121" s="7"/>
    </row>
    <row r="122" spans="1:9" s="15" customFormat="1" ht="13.5" customHeight="1" x14ac:dyDescent="0.2">
      <c r="A122" s="2" t="s">
        <v>39</v>
      </c>
      <c r="B122" s="39">
        <v>1</v>
      </c>
      <c r="C122" s="3">
        <v>577</v>
      </c>
      <c r="D122" s="3">
        <f t="shared" si="11"/>
        <v>577</v>
      </c>
      <c r="E122" s="13">
        <f>COUNTIFS($A$12:$A$91,"Cond Ar Split 48.000 BTU/h Cassete")</f>
        <v>0</v>
      </c>
      <c r="F122" s="40">
        <f t="shared" si="10"/>
        <v>1</v>
      </c>
      <c r="G122" s="1"/>
      <c r="H122" s="7"/>
      <c r="I122" s="7"/>
    </row>
    <row r="123" spans="1:9" s="15" customFormat="1" ht="13.5" customHeight="1" x14ac:dyDescent="0.2">
      <c r="A123" s="2" t="s">
        <v>40</v>
      </c>
      <c r="B123" s="39">
        <v>1</v>
      </c>
      <c r="C123" s="3">
        <v>645</v>
      </c>
      <c r="D123" s="3">
        <f t="shared" si="11"/>
        <v>645</v>
      </c>
      <c r="E123" s="13">
        <f>COUNTIFS($A$12:$A$91,"Cond Ar Split 60.000 BTU/h Cassete")</f>
        <v>0</v>
      </c>
      <c r="F123" s="40">
        <f t="shared" si="10"/>
        <v>1</v>
      </c>
      <c r="G123" s="1"/>
      <c r="H123" s="7"/>
      <c r="I123" s="7"/>
    </row>
    <row r="124" spans="1:9" s="15" customFormat="1" ht="13.5" customHeight="1" x14ac:dyDescent="0.2">
      <c r="A124" s="2" t="s">
        <v>41</v>
      </c>
      <c r="B124" s="39"/>
      <c r="C124" s="3">
        <v>147</v>
      </c>
      <c r="D124" s="3">
        <f t="shared" si="11"/>
        <v>0</v>
      </c>
      <c r="E124" s="13">
        <f>COUNTIFS($A$12:$A$91,"Cond Ar Tri Split 36.000 BTU/h (3x12.000)")</f>
        <v>0</v>
      </c>
      <c r="F124" s="40">
        <f t="shared" si="10"/>
        <v>0</v>
      </c>
      <c r="G124" s="1"/>
      <c r="H124" s="7"/>
      <c r="I124" s="7"/>
    </row>
    <row r="125" spans="1:9" s="15" customFormat="1" ht="13.5" customHeight="1" x14ac:dyDescent="0.2">
      <c r="A125" s="2" t="s">
        <v>42</v>
      </c>
      <c r="B125" s="39"/>
      <c r="C125" s="3">
        <v>100</v>
      </c>
      <c r="D125" s="3">
        <f t="shared" si="11"/>
        <v>0</v>
      </c>
      <c r="E125" s="13">
        <f>COUNTIFS($A$12:$A$91,"Cond Ar Portátil 12.000 BTU/h")</f>
        <v>0</v>
      </c>
      <c r="F125" s="40">
        <f t="shared" si="10"/>
        <v>0</v>
      </c>
      <c r="G125" s="1"/>
      <c r="H125" s="7"/>
      <c r="I125" s="7"/>
    </row>
    <row r="126" spans="1:9" s="15" customFormat="1" ht="13.5" customHeight="1" x14ac:dyDescent="0.2">
      <c r="A126" s="36" t="s">
        <v>7</v>
      </c>
      <c r="B126" s="22">
        <f>SUM(B103:B125)</f>
        <v>88</v>
      </c>
      <c r="C126" s="38"/>
      <c r="D126" s="37">
        <f>SUM(D103:D125)</f>
        <v>23284</v>
      </c>
      <c r="E126" s="22">
        <f>SUM(E103:E125)</f>
        <v>71</v>
      </c>
      <c r="F126" s="41">
        <f>SUM(F103:F125)</f>
        <v>17</v>
      </c>
      <c r="G126" s="54"/>
      <c r="H126" s="7"/>
      <c r="I126" s="7"/>
    </row>
    <row r="130" spans="1:10" s="15" customFormat="1" ht="13.5" customHeight="1" x14ac:dyDescent="0.25">
      <c r="A130" s="7"/>
      <c r="C130" s="7"/>
      <c r="D130" s="7"/>
      <c r="E130" s="7"/>
      <c r="F130" s="17"/>
      <c r="G130" s="7"/>
      <c r="H130" s="7"/>
      <c r="I130" s="7"/>
      <c r="J130" s="16"/>
    </row>
  </sheetData>
  <mergeCells count="27">
    <mergeCell ref="A96:C96"/>
    <mergeCell ref="D96:I96"/>
    <mergeCell ref="A100:F100"/>
    <mergeCell ref="A101:D101"/>
    <mergeCell ref="E101:E102"/>
    <mergeCell ref="F101:F102"/>
    <mergeCell ref="A95:C95"/>
    <mergeCell ref="D95:I95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92:I92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18" right="0.19685039370078741" top="0.27559055118110237" bottom="0.35433070866141736" header="0.23622047244094491" footer="0.15748031496062992"/>
  <pageSetup paperSize="9" scale="52" orientation="portrait" r:id="rId1"/>
  <headerFooter alignWithMargins="0">
    <oddFooter>&amp;L&amp;F/&amp;A&amp;C&amp;D&amp;R&amp;P/&amp;N</oddFooter>
  </headerFooter>
  <colBreaks count="1" manualBreakCount="1">
    <brk id="9" max="36" man="1"/>
  </colBreaks>
  <ignoredErrors>
    <ignoredError sqref="C60 C62 C64:C65 C66 C67 C82 C15 C83 C61 C63 C81 C42 C84 C80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7">
    <pageSetUpPr fitToPage="1"/>
  </sheetPr>
  <dimension ref="A1:I22"/>
  <sheetViews>
    <sheetView showGridLines="0" workbookViewId="0">
      <pane ySplit="11" topLeftCell="A12" activePane="bottomLeft" state="frozen"/>
      <selection activeCell="H91" sqref="H91"/>
      <selection pane="bottomLeft" activeCell="G19" sqref="G1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344</v>
      </c>
      <c r="B8" s="297"/>
      <c r="C8" s="297"/>
      <c r="D8" s="297"/>
      <c r="E8" s="297"/>
      <c r="F8" s="298"/>
    </row>
    <row r="9" spans="1:6" ht="13.5" customHeight="1" x14ac:dyDescent="0.25">
      <c r="A9" s="60" t="s">
        <v>325</v>
      </c>
      <c r="B9" s="270" t="s">
        <v>326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/>
    </row>
    <row r="13" spans="1:6" ht="13.5" customHeight="1" x14ac:dyDescent="0.2">
      <c r="A13" s="299"/>
      <c r="B13" s="300"/>
      <c r="C13" s="224"/>
      <c r="D13" s="104"/>
      <c r="E13" s="82"/>
      <c r="F13" s="109"/>
    </row>
    <row r="14" spans="1:6" ht="13.5" customHeight="1" x14ac:dyDescent="0.2">
      <c r="A14" s="313"/>
      <c r="B14" s="321"/>
      <c r="C14" s="102"/>
      <c r="D14" s="104"/>
      <c r="E14" s="82"/>
      <c r="F14" s="109"/>
    </row>
    <row r="15" spans="1:6" ht="13.5" customHeight="1" x14ac:dyDescent="0.25">
      <c r="A15" s="271" t="s">
        <v>181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22:C22"/>
    <mergeCell ref="A14:B14"/>
    <mergeCell ref="A15:B15"/>
    <mergeCell ref="A18:F18"/>
    <mergeCell ref="A21:C21"/>
    <mergeCell ref="D21:F21"/>
    <mergeCell ref="A13:B13"/>
    <mergeCell ref="A1:F1"/>
    <mergeCell ref="A3:F3"/>
    <mergeCell ref="A4:C4"/>
    <mergeCell ref="D4:E4"/>
    <mergeCell ref="A5:C5"/>
    <mergeCell ref="D5:E5"/>
    <mergeCell ref="A12:B12"/>
    <mergeCell ref="A7:F7"/>
    <mergeCell ref="A8:F8"/>
    <mergeCell ref="B9:D9"/>
    <mergeCell ref="E9:F9"/>
    <mergeCell ref="A11:B1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28">
    <pageSetUpPr fitToPage="1"/>
  </sheetPr>
  <dimension ref="A1:L92"/>
  <sheetViews>
    <sheetView showGridLines="0" zoomScale="90" zoomScaleNormal="90" workbookViewId="0">
      <pane ySplit="13" topLeftCell="A43" activePane="bottomLeft" state="frozen"/>
      <selection activeCell="E19" sqref="E19"/>
      <selection pane="bottomLeft" activeCell="E80" sqref="E80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425781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243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178</v>
      </c>
      <c r="B9" s="270"/>
      <c r="C9" s="271" t="s">
        <v>177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45527</v>
      </c>
      <c r="C15" s="55">
        <v>14642</v>
      </c>
      <c r="D15" s="20">
        <v>45658</v>
      </c>
      <c r="E15" s="20">
        <v>45687</v>
      </c>
      <c r="F15" s="11">
        <f t="shared" ref="F15:F23" si="0">(E15-D15)+1</f>
        <v>30</v>
      </c>
      <c r="G15" s="12">
        <v>235</v>
      </c>
      <c r="H15" s="13">
        <v>1</v>
      </c>
      <c r="I15" s="19">
        <f>G15/30*H15*F15</f>
        <v>235</v>
      </c>
      <c r="J15" s="32" t="s">
        <v>174</v>
      </c>
      <c r="K15" s="13">
        <v>66705</v>
      </c>
    </row>
    <row r="16" spans="1:11" ht="13.5" customHeight="1" x14ac:dyDescent="0.2">
      <c r="A16" s="2" t="s">
        <v>24</v>
      </c>
      <c r="B16" s="76">
        <v>45527</v>
      </c>
      <c r="C16" s="55">
        <v>14840</v>
      </c>
      <c r="D16" s="20">
        <v>45658</v>
      </c>
      <c r="E16" s="20">
        <v>45687</v>
      </c>
      <c r="F16" s="11">
        <f t="shared" si="0"/>
        <v>30</v>
      </c>
      <c r="G16" s="12">
        <v>238</v>
      </c>
      <c r="H16" s="13">
        <v>1</v>
      </c>
      <c r="I16" s="19">
        <f t="shared" ref="I16:I24" si="1">G16/30*H16*F16</f>
        <v>238</v>
      </c>
      <c r="J16" s="32" t="s">
        <v>225</v>
      </c>
      <c r="K16" s="13">
        <v>66705</v>
      </c>
    </row>
    <row r="17" spans="1:12" ht="13.5" customHeight="1" x14ac:dyDescent="0.2">
      <c r="A17" s="2" t="s">
        <v>24</v>
      </c>
      <c r="B17" s="76">
        <v>45551</v>
      </c>
      <c r="C17" s="55">
        <v>14848</v>
      </c>
      <c r="D17" s="20">
        <v>45658</v>
      </c>
      <c r="E17" s="20">
        <v>45687</v>
      </c>
      <c r="F17" s="11">
        <f t="shared" si="0"/>
        <v>30</v>
      </c>
      <c r="G17" s="12">
        <v>238</v>
      </c>
      <c r="H17" s="13">
        <v>1</v>
      </c>
      <c r="I17" s="19">
        <f t="shared" si="1"/>
        <v>238</v>
      </c>
      <c r="J17" s="32" t="s">
        <v>296</v>
      </c>
      <c r="K17" s="13">
        <v>68240</v>
      </c>
    </row>
    <row r="18" spans="1:12" ht="13.5" customHeight="1" x14ac:dyDescent="0.2">
      <c r="A18" s="2" t="s">
        <v>24</v>
      </c>
      <c r="B18" s="76">
        <v>45597</v>
      </c>
      <c r="C18" s="55">
        <v>16506</v>
      </c>
      <c r="D18" s="20">
        <v>45658</v>
      </c>
      <c r="E18" s="20">
        <v>45687</v>
      </c>
      <c r="F18" s="11">
        <f t="shared" si="0"/>
        <v>30</v>
      </c>
      <c r="G18" s="12">
        <v>238</v>
      </c>
      <c r="H18" s="13">
        <v>1</v>
      </c>
      <c r="I18" s="19">
        <f t="shared" si="1"/>
        <v>238</v>
      </c>
      <c r="J18" s="32" t="s">
        <v>978</v>
      </c>
      <c r="K18" s="13">
        <v>70722</v>
      </c>
    </row>
    <row r="19" spans="1:12" ht="13.5" customHeight="1" x14ac:dyDescent="0.2">
      <c r="A19" s="2" t="s">
        <v>27</v>
      </c>
      <c r="B19" s="76">
        <v>45560</v>
      </c>
      <c r="C19" s="55">
        <v>15974</v>
      </c>
      <c r="D19" s="20">
        <v>45658</v>
      </c>
      <c r="E19" s="20">
        <v>45687</v>
      </c>
      <c r="F19" s="11">
        <f t="shared" si="0"/>
        <v>30</v>
      </c>
      <c r="G19" s="12">
        <v>347</v>
      </c>
      <c r="H19" s="13">
        <v>1</v>
      </c>
      <c r="I19" s="19">
        <f t="shared" si="1"/>
        <v>347</v>
      </c>
      <c r="J19" s="32" t="s">
        <v>327</v>
      </c>
      <c r="K19" s="13">
        <v>68520</v>
      </c>
    </row>
    <row r="20" spans="1:12" ht="13.5" customHeight="1" x14ac:dyDescent="0.2">
      <c r="A20" s="2" t="s">
        <v>27</v>
      </c>
      <c r="B20" s="76">
        <v>45602</v>
      </c>
      <c r="C20" s="55">
        <v>16330</v>
      </c>
      <c r="D20" s="20">
        <v>45658</v>
      </c>
      <c r="E20" s="20">
        <v>45687</v>
      </c>
      <c r="F20" s="11">
        <f t="shared" si="0"/>
        <v>30</v>
      </c>
      <c r="G20" s="12">
        <v>347</v>
      </c>
      <c r="H20" s="13">
        <v>1</v>
      </c>
      <c r="I20" s="19">
        <f t="shared" si="1"/>
        <v>347</v>
      </c>
      <c r="J20" s="32" t="s">
        <v>977</v>
      </c>
      <c r="K20" s="13">
        <v>70734</v>
      </c>
    </row>
    <row r="21" spans="1:12" ht="13.5" customHeight="1" x14ac:dyDescent="0.2">
      <c r="A21" s="2" t="s">
        <v>27</v>
      </c>
      <c r="B21" s="76">
        <v>45618</v>
      </c>
      <c r="C21" s="55">
        <v>7226</v>
      </c>
      <c r="D21" s="20">
        <v>45658</v>
      </c>
      <c r="E21" s="20">
        <v>45687</v>
      </c>
      <c r="F21" s="11">
        <f t="shared" si="0"/>
        <v>30</v>
      </c>
      <c r="G21" s="12">
        <v>347</v>
      </c>
      <c r="H21" s="13">
        <v>1</v>
      </c>
      <c r="I21" s="19">
        <f t="shared" si="1"/>
        <v>347</v>
      </c>
      <c r="J21" s="32" t="s">
        <v>976</v>
      </c>
      <c r="K21" s="13">
        <v>71779</v>
      </c>
      <c r="L21" s="7" t="s">
        <v>975</v>
      </c>
    </row>
    <row r="22" spans="1:12" ht="13.5" customHeight="1" x14ac:dyDescent="0.2">
      <c r="A22" s="2" t="s">
        <v>27</v>
      </c>
      <c r="B22" s="76">
        <v>45621</v>
      </c>
      <c r="C22" s="55">
        <v>16577</v>
      </c>
      <c r="D22" s="20">
        <v>45658</v>
      </c>
      <c r="E22" s="20">
        <v>45687</v>
      </c>
      <c r="F22" s="11">
        <f t="shared" si="0"/>
        <v>30</v>
      </c>
      <c r="G22" s="12">
        <v>347</v>
      </c>
      <c r="H22" s="13">
        <v>1</v>
      </c>
      <c r="I22" s="19">
        <f t="shared" si="1"/>
        <v>347</v>
      </c>
      <c r="J22" s="32" t="s">
        <v>297</v>
      </c>
      <c r="K22" s="13">
        <v>71873</v>
      </c>
    </row>
    <row r="23" spans="1:12" ht="13.5" customHeight="1" x14ac:dyDescent="0.2">
      <c r="A23" s="2" t="s">
        <v>24</v>
      </c>
      <c r="B23" s="76">
        <v>45666</v>
      </c>
      <c r="C23" s="177"/>
      <c r="D23" s="20">
        <v>45666</v>
      </c>
      <c r="E23" s="20">
        <v>45687</v>
      </c>
      <c r="F23" s="96">
        <f t="shared" si="0"/>
        <v>22</v>
      </c>
      <c r="G23" s="12">
        <v>238</v>
      </c>
      <c r="H23" s="13">
        <v>1</v>
      </c>
      <c r="I23" s="141">
        <f t="shared" si="1"/>
        <v>174.53333333333333</v>
      </c>
      <c r="J23" s="32" t="s">
        <v>994</v>
      </c>
      <c r="K23" s="13">
        <v>73199</v>
      </c>
    </row>
    <row r="24" spans="1:12" ht="13.5" customHeight="1" x14ac:dyDescent="0.25">
      <c r="A24" s="14"/>
      <c r="B24" s="76"/>
      <c r="C24" s="55"/>
      <c r="D24" s="20"/>
      <c r="E24" s="20"/>
      <c r="F24" s="11"/>
      <c r="G24" s="12"/>
      <c r="H24" s="13"/>
      <c r="I24" s="19">
        <f t="shared" si="1"/>
        <v>0</v>
      </c>
      <c r="J24" s="32"/>
      <c r="K24" s="13"/>
    </row>
    <row r="25" spans="1:12" ht="13.5" customHeight="1" x14ac:dyDescent="0.25">
      <c r="A25" s="56" t="s">
        <v>173</v>
      </c>
      <c r="B25" s="57"/>
      <c r="C25" s="242"/>
      <c r="D25" s="138"/>
      <c r="E25" s="138"/>
      <c r="F25" s="139"/>
      <c r="G25" s="138"/>
      <c r="H25" s="58">
        <f>SUM(H15:H24)</f>
        <v>9</v>
      </c>
      <c r="I25" s="64">
        <f>SUM(I15:I24)</f>
        <v>2511.5333333333333</v>
      </c>
      <c r="J25" s="66"/>
      <c r="K25" s="140"/>
    </row>
    <row r="26" spans="1:12" ht="13.5" customHeight="1" x14ac:dyDescent="0.25">
      <c r="A26" s="88"/>
      <c r="B26" s="89"/>
      <c r="C26" s="243"/>
      <c r="D26" s="89"/>
      <c r="E26" s="89"/>
      <c r="F26" s="91"/>
      <c r="G26" s="93"/>
      <c r="H26" s="88"/>
      <c r="I26" s="93"/>
      <c r="J26" s="67"/>
      <c r="K26" s="232"/>
    </row>
    <row r="27" spans="1:12" ht="13.5" customHeight="1" x14ac:dyDescent="0.2">
      <c r="A27" s="94" t="s">
        <v>22</v>
      </c>
      <c r="B27" s="95">
        <v>45527</v>
      </c>
      <c r="C27" s="164">
        <v>14452</v>
      </c>
      <c r="D27" s="20">
        <v>45658</v>
      </c>
      <c r="E27" s="20">
        <v>45687</v>
      </c>
      <c r="F27" s="96">
        <f>(E27-D27)+1</f>
        <v>30</v>
      </c>
      <c r="G27" s="97">
        <v>147</v>
      </c>
      <c r="H27" s="98">
        <v>1</v>
      </c>
      <c r="I27" s="141">
        <f t="shared" ref="I27:I36" si="2">G27/30*H27*F27</f>
        <v>147</v>
      </c>
      <c r="J27" s="142" t="s">
        <v>180</v>
      </c>
      <c r="K27" s="98">
        <v>66706</v>
      </c>
    </row>
    <row r="28" spans="1:12" ht="13.5" customHeight="1" x14ac:dyDescent="0.2">
      <c r="A28" s="2" t="s">
        <v>22</v>
      </c>
      <c r="B28" s="76">
        <v>45533</v>
      </c>
      <c r="C28" s="55">
        <v>14455</v>
      </c>
      <c r="D28" s="20">
        <v>45658</v>
      </c>
      <c r="E28" s="20">
        <v>45687</v>
      </c>
      <c r="F28" s="96">
        <f t="shared" ref="F28:F37" si="3">(E28-D28)+1</f>
        <v>30</v>
      </c>
      <c r="G28" s="12">
        <v>147</v>
      </c>
      <c r="H28" s="13">
        <v>1</v>
      </c>
      <c r="I28" s="141">
        <f t="shared" si="2"/>
        <v>147</v>
      </c>
      <c r="J28" s="32" t="s">
        <v>175</v>
      </c>
      <c r="K28" s="13">
        <v>67292</v>
      </c>
    </row>
    <row r="29" spans="1:12" ht="13.5" customHeight="1" x14ac:dyDescent="0.2">
      <c r="A29" s="2" t="s">
        <v>23</v>
      </c>
      <c r="B29" s="76">
        <v>45588</v>
      </c>
      <c r="C29" s="177">
        <v>15201</v>
      </c>
      <c r="D29" s="20">
        <v>45658</v>
      </c>
      <c r="E29" s="20">
        <v>45687</v>
      </c>
      <c r="F29" s="96">
        <f t="shared" si="3"/>
        <v>30</v>
      </c>
      <c r="G29" s="12">
        <v>235</v>
      </c>
      <c r="H29" s="13">
        <v>1</v>
      </c>
      <c r="I29" s="141">
        <f t="shared" si="2"/>
        <v>235</v>
      </c>
      <c r="J29" s="32" t="s">
        <v>710</v>
      </c>
      <c r="K29" s="13">
        <v>70381</v>
      </c>
    </row>
    <row r="30" spans="1:12" ht="13.5" customHeight="1" x14ac:dyDescent="0.2">
      <c r="A30" s="2" t="s">
        <v>23</v>
      </c>
      <c r="B30" s="76">
        <v>45601</v>
      </c>
      <c r="C30" s="177">
        <v>16131</v>
      </c>
      <c r="D30" s="20">
        <v>45658</v>
      </c>
      <c r="E30" s="20">
        <v>45687</v>
      </c>
      <c r="F30" s="96">
        <f t="shared" si="3"/>
        <v>30</v>
      </c>
      <c r="G30" s="12">
        <v>235</v>
      </c>
      <c r="H30" s="13">
        <v>1</v>
      </c>
      <c r="I30" s="141">
        <f t="shared" si="2"/>
        <v>235</v>
      </c>
      <c r="J30" s="32" t="s">
        <v>974</v>
      </c>
      <c r="K30" s="13">
        <v>70721</v>
      </c>
    </row>
    <row r="31" spans="1:12" ht="13.5" customHeight="1" x14ac:dyDescent="0.2">
      <c r="A31" s="2" t="s">
        <v>23</v>
      </c>
      <c r="B31" s="76">
        <v>45610</v>
      </c>
      <c r="C31" s="177">
        <v>16170</v>
      </c>
      <c r="D31" s="20">
        <v>45658</v>
      </c>
      <c r="E31" s="20">
        <v>45687</v>
      </c>
      <c r="F31" s="96">
        <f t="shared" si="3"/>
        <v>30</v>
      </c>
      <c r="G31" s="12">
        <v>235</v>
      </c>
      <c r="H31" s="13">
        <v>1</v>
      </c>
      <c r="I31" s="141">
        <f t="shared" si="2"/>
        <v>235</v>
      </c>
      <c r="J31" s="32" t="s">
        <v>103</v>
      </c>
      <c r="K31" s="13">
        <v>71552</v>
      </c>
    </row>
    <row r="32" spans="1:12" ht="13.5" customHeight="1" x14ac:dyDescent="0.2">
      <c r="A32" s="2" t="s">
        <v>24</v>
      </c>
      <c r="B32" s="76">
        <v>45548</v>
      </c>
      <c r="C32" s="55">
        <v>15153</v>
      </c>
      <c r="D32" s="20">
        <v>45658</v>
      </c>
      <c r="E32" s="20">
        <v>45687</v>
      </c>
      <c r="F32" s="96">
        <f t="shared" si="3"/>
        <v>30</v>
      </c>
      <c r="G32" s="12">
        <v>238</v>
      </c>
      <c r="H32" s="13">
        <v>1</v>
      </c>
      <c r="I32" s="141">
        <f t="shared" si="2"/>
        <v>238</v>
      </c>
      <c r="J32" s="32" t="s">
        <v>293</v>
      </c>
      <c r="K32" s="13">
        <v>68122</v>
      </c>
    </row>
    <row r="33" spans="1:12" ht="13.5" customHeight="1" x14ac:dyDescent="0.2">
      <c r="A33" s="2" t="s">
        <v>24</v>
      </c>
      <c r="B33" s="76">
        <v>45588</v>
      </c>
      <c r="C33" s="177">
        <v>14515</v>
      </c>
      <c r="D33" s="20">
        <v>45658</v>
      </c>
      <c r="E33" s="20">
        <v>45687</v>
      </c>
      <c r="F33" s="96">
        <f t="shared" si="3"/>
        <v>30</v>
      </c>
      <c r="G33" s="12">
        <v>238</v>
      </c>
      <c r="H33" s="13">
        <v>1</v>
      </c>
      <c r="I33" s="141">
        <f t="shared" si="2"/>
        <v>238</v>
      </c>
      <c r="J33" s="32" t="s">
        <v>709</v>
      </c>
      <c r="K33" s="13">
        <v>70381</v>
      </c>
    </row>
    <row r="34" spans="1:12" ht="13.5" customHeight="1" x14ac:dyDescent="0.2">
      <c r="A34" s="2" t="s">
        <v>27</v>
      </c>
      <c r="B34" s="76">
        <v>45595</v>
      </c>
      <c r="C34" s="177">
        <v>15975</v>
      </c>
      <c r="D34" s="20">
        <v>45658</v>
      </c>
      <c r="E34" s="20">
        <v>45687</v>
      </c>
      <c r="F34" s="96">
        <f t="shared" si="3"/>
        <v>30</v>
      </c>
      <c r="G34" s="12">
        <v>347</v>
      </c>
      <c r="H34" s="13">
        <v>1</v>
      </c>
      <c r="I34" s="141">
        <f t="shared" si="2"/>
        <v>347</v>
      </c>
      <c r="J34" s="32" t="s">
        <v>725</v>
      </c>
      <c r="K34" s="13">
        <v>70716</v>
      </c>
    </row>
    <row r="35" spans="1:12" ht="13.5" customHeight="1" x14ac:dyDescent="0.2">
      <c r="A35" s="2" t="s">
        <v>34</v>
      </c>
      <c r="B35" s="76">
        <v>45643</v>
      </c>
      <c r="C35" s="177"/>
      <c r="D35" s="20">
        <v>45658</v>
      </c>
      <c r="E35" s="20">
        <v>45687</v>
      </c>
      <c r="F35" s="96">
        <f t="shared" si="3"/>
        <v>30</v>
      </c>
      <c r="G35" s="12">
        <v>597</v>
      </c>
      <c r="H35" s="13">
        <v>1</v>
      </c>
      <c r="I35" s="141">
        <f t="shared" si="2"/>
        <v>597</v>
      </c>
      <c r="J35" s="32" t="s">
        <v>367</v>
      </c>
      <c r="K35" s="13">
        <v>73109</v>
      </c>
    </row>
    <row r="36" spans="1:12" ht="13.5" customHeight="1" x14ac:dyDescent="0.2">
      <c r="A36" s="2" t="s">
        <v>23</v>
      </c>
      <c r="B36" s="76">
        <v>45645</v>
      </c>
      <c r="C36" s="177"/>
      <c r="D36" s="20">
        <v>45658</v>
      </c>
      <c r="E36" s="20">
        <v>45687</v>
      </c>
      <c r="F36" s="96">
        <f t="shared" si="3"/>
        <v>30</v>
      </c>
      <c r="G36" s="12">
        <v>235</v>
      </c>
      <c r="H36" s="13">
        <v>1</v>
      </c>
      <c r="I36" s="141">
        <f t="shared" si="2"/>
        <v>235</v>
      </c>
      <c r="J36" s="32" t="s">
        <v>992</v>
      </c>
      <c r="K36" s="13">
        <v>73190</v>
      </c>
    </row>
    <row r="37" spans="1:12" ht="13.5" customHeight="1" x14ac:dyDescent="0.2">
      <c r="A37" s="2" t="s">
        <v>23</v>
      </c>
      <c r="B37" s="76">
        <v>45645</v>
      </c>
      <c r="C37" s="177"/>
      <c r="D37" s="20">
        <v>45658</v>
      </c>
      <c r="E37" s="20">
        <v>45687</v>
      </c>
      <c r="F37" s="96">
        <f t="shared" si="3"/>
        <v>30</v>
      </c>
      <c r="G37" s="12">
        <v>235</v>
      </c>
      <c r="H37" s="13">
        <v>1</v>
      </c>
      <c r="I37" s="141">
        <f t="shared" ref="I37" si="4">G37/30*H37*F37</f>
        <v>235</v>
      </c>
      <c r="J37" s="32" t="s">
        <v>993</v>
      </c>
      <c r="K37" s="13">
        <v>73190</v>
      </c>
    </row>
    <row r="38" spans="1:12" ht="13.5" customHeight="1" x14ac:dyDescent="0.2">
      <c r="A38" s="2" t="s">
        <v>23</v>
      </c>
      <c r="B38" s="76">
        <v>45645</v>
      </c>
      <c r="C38" s="177"/>
      <c r="D38" s="20">
        <v>45658</v>
      </c>
      <c r="E38" s="20">
        <v>45687</v>
      </c>
      <c r="F38" s="96">
        <f t="shared" ref="F38:F42" si="5">(E38-D38)+1</f>
        <v>30</v>
      </c>
      <c r="G38" s="12">
        <v>235</v>
      </c>
      <c r="H38" s="13">
        <v>1</v>
      </c>
      <c r="I38" s="141">
        <f t="shared" ref="I38:I42" si="6">G38/30*H38*F38</f>
        <v>235</v>
      </c>
      <c r="J38" s="32" t="s">
        <v>255</v>
      </c>
      <c r="K38" s="13">
        <v>73912</v>
      </c>
    </row>
    <row r="39" spans="1:12" ht="13.5" customHeight="1" x14ac:dyDescent="0.2">
      <c r="A39" s="2" t="s">
        <v>24</v>
      </c>
      <c r="B39" s="76">
        <v>45675</v>
      </c>
      <c r="C39" s="177"/>
      <c r="D39" s="20">
        <v>45675</v>
      </c>
      <c r="E39" s="20">
        <v>45687</v>
      </c>
      <c r="F39" s="96">
        <f t="shared" si="5"/>
        <v>13</v>
      </c>
      <c r="G39" s="12">
        <v>238</v>
      </c>
      <c r="H39" s="13">
        <v>1</v>
      </c>
      <c r="I39" s="141">
        <f t="shared" si="6"/>
        <v>103.13333333333334</v>
      </c>
      <c r="J39" s="32" t="s">
        <v>995</v>
      </c>
      <c r="K39" s="13">
        <v>74343</v>
      </c>
      <c r="L39" s="7" t="s">
        <v>996</v>
      </c>
    </row>
    <row r="40" spans="1:12" ht="13.5" customHeight="1" x14ac:dyDescent="0.2">
      <c r="A40" s="2" t="s">
        <v>24</v>
      </c>
      <c r="B40" s="76">
        <v>45675</v>
      </c>
      <c r="C40" s="177"/>
      <c r="D40" s="20">
        <v>45675</v>
      </c>
      <c r="E40" s="20">
        <v>45687</v>
      </c>
      <c r="F40" s="96">
        <f t="shared" si="5"/>
        <v>13</v>
      </c>
      <c r="G40" s="12">
        <v>238</v>
      </c>
      <c r="H40" s="13">
        <v>1</v>
      </c>
      <c r="I40" s="141">
        <f t="shared" si="6"/>
        <v>103.13333333333334</v>
      </c>
      <c r="J40" s="32" t="s">
        <v>995</v>
      </c>
      <c r="K40" s="13">
        <v>74343</v>
      </c>
      <c r="L40" s="7" t="s">
        <v>996</v>
      </c>
    </row>
    <row r="41" spans="1:12" ht="13.5" customHeight="1" x14ac:dyDescent="0.2">
      <c r="A41" s="2" t="s">
        <v>24</v>
      </c>
      <c r="B41" s="76">
        <v>45675</v>
      </c>
      <c r="C41" s="177"/>
      <c r="D41" s="20">
        <v>45675</v>
      </c>
      <c r="E41" s="20">
        <v>45687</v>
      </c>
      <c r="F41" s="96">
        <f t="shared" si="5"/>
        <v>13</v>
      </c>
      <c r="G41" s="12">
        <v>238</v>
      </c>
      <c r="H41" s="13">
        <v>1</v>
      </c>
      <c r="I41" s="141">
        <f t="shared" si="6"/>
        <v>103.13333333333334</v>
      </c>
      <c r="J41" s="32" t="s">
        <v>995</v>
      </c>
      <c r="K41" s="13">
        <v>74343</v>
      </c>
      <c r="L41" s="7" t="s">
        <v>996</v>
      </c>
    </row>
    <row r="42" spans="1:12" ht="13.5" customHeight="1" x14ac:dyDescent="0.2">
      <c r="A42" s="2" t="s">
        <v>24</v>
      </c>
      <c r="B42" s="76">
        <v>45675</v>
      </c>
      <c r="C42" s="177"/>
      <c r="D42" s="20">
        <v>45675</v>
      </c>
      <c r="E42" s="20">
        <v>45687</v>
      </c>
      <c r="F42" s="96">
        <f t="shared" si="5"/>
        <v>13</v>
      </c>
      <c r="G42" s="12">
        <v>238</v>
      </c>
      <c r="H42" s="13">
        <v>1</v>
      </c>
      <c r="I42" s="141">
        <f t="shared" si="6"/>
        <v>103.13333333333334</v>
      </c>
      <c r="J42" s="32" t="s">
        <v>995</v>
      </c>
      <c r="K42" s="13">
        <v>74343</v>
      </c>
      <c r="L42" s="7" t="s">
        <v>996</v>
      </c>
    </row>
    <row r="43" spans="1:12" ht="13.5" customHeight="1" x14ac:dyDescent="0.2">
      <c r="A43" s="2"/>
      <c r="B43" s="76"/>
      <c r="C43" s="55"/>
      <c r="D43" s="20"/>
      <c r="E43" s="20"/>
      <c r="F43" s="11"/>
      <c r="G43" s="12"/>
      <c r="H43" s="13"/>
      <c r="I43" s="19"/>
      <c r="J43" s="32"/>
      <c r="K43" s="13"/>
    </row>
    <row r="44" spans="1:12" ht="13.5" customHeight="1" x14ac:dyDescent="0.25">
      <c r="A44" s="21" t="s">
        <v>176</v>
      </c>
      <c r="B44" s="26"/>
      <c r="C44" s="196"/>
      <c r="D44" s="23"/>
      <c r="E44" s="23"/>
      <c r="F44" s="24"/>
      <c r="G44" s="23"/>
      <c r="H44" s="22">
        <f>SUM(H27:H43)</f>
        <v>16</v>
      </c>
      <c r="I44" s="112">
        <f>SUM(I27:I43)</f>
        <v>3536.5333333333328</v>
      </c>
      <c r="J44" s="33"/>
      <c r="K44" s="116"/>
    </row>
    <row r="45" spans="1:12" ht="13.5" customHeight="1" x14ac:dyDescent="0.25">
      <c r="C45" s="195"/>
      <c r="D45" s="8"/>
      <c r="E45" s="8"/>
      <c r="F45" s="9"/>
      <c r="G45" s="10"/>
      <c r="I45" s="10"/>
      <c r="J45" s="4"/>
    </row>
    <row r="46" spans="1:12" ht="13.5" customHeight="1" x14ac:dyDescent="0.2">
      <c r="A46" s="2" t="s">
        <v>22</v>
      </c>
      <c r="B46" s="76">
        <v>45602</v>
      </c>
      <c r="C46" s="55">
        <v>16520</v>
      </c>
      <c r="D46" s="20">
        <v>45658</v>
      </c>
      <c r="E46" s="20">
        <v>45687</v>
      </c>
      <c r="F46" s="11">
        <f>(E46-D46)+1</f>
        <v>30</v>
      </c>
      <c r="G46" s="12">
        <v>147</v>
      </c>
      <c r="H46" s="13">
        <v>1</v>
      </c>
      <c r="I46" s="19">
        <f t="shared" ref="I46:I47" si="7">G46/30*H46*F46</f>
        <v>147</v>
      </c>
      <c r="J46" s="32" t="s">
        <v>973</v>
      </c>
      <c r="K46" s="13">
        <v>71020</v>
      </c>
    </row>
    <row r="47" spans="1:12" ht="13.5" customHeight="1" x14ac:dyDescent="0.2">
      <c r="A47" s="2" t="s">
        <v>24</v>
      </c>
      <c r="B47" s="76">
        <v>45602</v>
      </c>
      <c r="C47" s="55">
        <v>16514</v>
      </c>
      <c r="D47" s="20">
        <v>45658</v>
      </c>
      <c r="E47" s="20">
        <v>45687</v>
      </c>
      <c r="F47" s="11">
        <f t="shared" ref="F47" si="8">(E47-D47)+1</f>
        <v>30</v>
      </c>
      <c r="G47" s="12">
        <v>238</v>
      </c>
      <c r="H47" s="13">
        <v>1</v>
      </c>
      <c r="I47" s="19">
        <f t="shared" si="7"/>
        <v>238</v>
      </c>
      <c r="J47" s="32" t="s">
        <v>972</v>
      </c>
      <c r="K47" s="13">
        <v>71020</v>
      </c>
    </row>
    <row r="48" spans="1:12" ht="13.5" customHeight="1" x14ac:dyDescent="0.2">
      <c r="A48" s="2"/>
      <c r="B48" s="76"/>
      <c r="C48" s="55"/>
      <c r="D48" s="20"/>
      <c r="E48" s="20"/>
      <c r="F48" s="11"/>
      <c r="G48" s="12"/>
      <c r="H48" s="13"/>
      <c r="I48" s="19"/>
      <c r="J48" s="32"/>
      <c r="K48" s="13"/>
    </row>
    <row r="49" spans="1:11" ht="13.5" customHeight="1" x14ac:dyDescent="0.25">
      <c r="A49" s="21" t="s">
        <v>971</v>
      </c>
      <c r="B49" s="26"/>
      <c r="C49" s="26"/>
      <c r="D49" s="23"/>
      <c r="E49" s="23"/>
      <c r="F49" s="24"/>
      <c r="G49" s="23"/>
      <c r="H49" s="22">
        <f>SUM(H46:H48)</f>
        <v>2</v>
      </c>
      <c r="I49" s="112">
        <f>SUM(I46:I48)</f>
        <v>385</v>
      </c>
      <c r="J49" s="33"/>
      <c r="K49" s="116"/>
    </row>
    <row r="50" spans="1:11" ht="13.5" customHeight="1" x14ac:dyDescent="0.25">
      <c r="D50" s="8"/>
      <c r="E50" s="8"/>
      <c r="F50" s="9"/>
      <c r="G50" s="10"/>
      <c r="I50" s="10"/>
      <c r="J50" s="4"/>
    </row>
    <row r="51" spans="1:11" ht="13.5" customHeight="1" x14ac:dyDescent="0.25">
      <c r="D51" s="8"/>
      <c r="E51" s="8"/>
      <c r="F51" s="9"/>
      <c r="G51" s="10"/>
      <c r="H51" s="50">
        <f>H25+H44+H49</f>
        <v>27</v>
      </c>
      <c r="I51" s="25">
        <f>I25+I44+I49</f>
        <v>6433.0666666666657</v>
      </c>
      <c r="J51" s="16"/>
    </row>
    <row r="52" spans="1:11" ht="13.5" customHeight="1" x14ac:dyDescent="0.25">
      <c r="D52" s="8"/>
      <c r="E52" s="8"/>
      <c r="F52" s="9"/>
      <c r="G52" s="10"/>
      <c r="I52" s="10"/>
      <c r="J52" s="16"/>
    </row>
    <row r="53" spans="1:11" ht="13.5" customHeight="1" x14ac:dyDescent="0.25">
      <c r="D53" s="8"/>
      <c r="E53" s="8"/>
      <c r="F53" s="9"/>
      <c r="G53" s="10"/>
      <c r="I53" s="10"/>
      <c r="J53" s="7"/>
    </row>
    <row r="54" spans="1:11" ht="13.5" customHeight="1" x14ac:dyDescent="0.25">
      <c r="A54" s="289" t="s">
        <v>124</v>
      </c>
      <c r="B54" s="289"/>
      <c r="C54" s="289"/>
      <c r="D54" s="289"/>
      <c r="E54" s="289"/>
      <c r="F54" s="289"/>
      <c r="G54" s="289"/>
      <c r="H54" s="289"/>
      <c r="I54" s="289"/>
      <c r="J54" s="7"/>
    </row>
    <row r="55" spans="1:11" ht="13.5" customHeight="1" x14ac:dyDescent="0.25">
      <c r="J55" s="7"/>
    </row>
    <row r="56" spans="1:11" ht="13.5" customHeight="1" x14ac:dyDescent="0.2">
      <c r="A56" s="27" t="s">
        <v>125</v>
      </c>
      <c r="B56" s="7"/>
      <c r="F56" s="71"/>
      <c r="G56" s="10"/>
      <c r="I56" s="72"/>
      <c r="J56" s="7"/>
    </row>
    <row r="57" spans="1:11" ht="60" customHeight="1" x14ac:dyDescent="0.25">
      <c r="A57" s="291"/>
      <c r="B57" s="275"/>
      <c r="C57" s="292"/>
      <c r="D57" s="290"/>
      <c r="E57" s="290"/>
      <c r="F57" s="290"/>
      <c r="G57" s="290"/>
      <c r="H57" s="290"/>
      <c r="I57" s="290"/>
      <c r="J57" s="7"/>
    </row>
    <row r="58" spans="1:11" ht="13.5" customHeight="1" x14ac:dyDescent="0.25">
      <c r="A58" s="274" t="s">
        <v>126</v>
      </c>
      <c r="B58" s="274"/>
      <c r="C58" s="274"/>
      <c r="D58" s="274" t="s">
        <v>127</v>
      </c>
      <c r="E58" s="274"/>
      <c r="F58" s="274"/>
      <c r="G58" s="274"/>
      <c r="H58" s="274"/>
      <c r="I58" s="274"/>
      <c r="J58" s="7"/>
    </row>
    <row r="59" spans="1:11" ht="13.5" customHeight="1" x14ac:dyDescent="0.25">
      <c r="D59" s="8"/>
      <c r="E59" s="8"/>
      <c r="F59" s="9"/>
      <c r="G59" s="10"/>
      <c r="I59" s="10"/>
      <c r="J59" s="7"/>
    </row>
    <row r="60" spans="1:11" ht="13.5" customHeight="1" x14ac:dyDescent="0.25">
      <c r="D60" s="8"/>
      <c r="E60" s="8"/>
      <c r="F60" s="9"/>
      <c r="G60" s="10"/>
      <c r="I60" s="10"/>
      <c r="J60" s="7"/>
    </row>
    <row r="61" spans="1:11" ht="13.5" customHeight="1" x14ac:dyDescent="0.25">
      <c r="D61" s="8"/>
      <c r="E61" s="8"/>
      <c r="F61" s="9"/>
      <c r="G61" s="10"/>
      <c r="I61" s="10"/>
      <c r="J61" s="7"/>
    </row>
    <row r="62" spans="1:11" ht="13.5" customHeight="1" x14ac:dyDescent="0.2">
      <c r="A62" s="266" t="s">
        <v>29</v>
      </c>
      <c r="B62" s="266"/>
      <c r="C62" s="266"/>
      <c r="D62" s="266"/>
      <c r="E62" s="266"/>
      <c r="F62" s="266"/>
      <c r="G62" s="51"/>
      <c r="I62" s="10"/>
      <c r="J62" s="16"/>
    </row>
    <row r="63" spans="1:11" ht="13.5" customHeight="1" x14ac:dyDescent="0.2">
      <c r="A63" s="267" t="s">
        <v>45</v>
      </c>
      <c r="B63" s="267"/>
      <c r="C63" s="267"/>
      <c r="D63" s="267"/>
      <c r="E63" s="283" t="s">
        <v>5</v>
      </c>
      <c r="F63" s="282" t="s">
        <v>6</v>
      </c>
      <c r="G63" s="52"/>
      <c r="I63" s="10"/>
      <c r="J63" s="16"/>
    </row>
    <row r="64" spans="1:11" ht="13.5" customHeight="1" x14ac:dyDescent="0.2">
      <c r="A64" s="34" t="s">
        <v>0</v>
      </c>
      <c r="B64" s="34" t="s">
        <v>3</v>
      </c>
      <c r="C64" s="34" t="s">
        <v>2</v>
      </c>
      <c r="D64" s="34" t="s">
        <v>4</v>
      </c>
      <c r="E64" s="284"/>
      <c r="F64" s="282"/>
      <c r="G64" s="53"/>
    </row>
    <row r="65" spans="1:7" ht="13.5" customHeight="1" x14ac:dyDescent="0.2">
      <c r="A65" s="2" t="s">
        <v>18</v>
      </c>
      <c r="B65" s="39">
        <v>2</v>
      </c>
      <c r="C65" s="35">
        <v>37</v>
      </c>
      <c r="D65" s="35">
        <v>0</v>
      </c>
      <c r="E65" s="13">
        <f>COUNTIFS($A$12:$A$53,"Cond Ar Janela 7.500 BTU/h")</f>
        <v>0</v>
      </c>
      <c r="F65" s="40">
        <f>B65-E65</f>
        <v>2</v>
      </c>
      <c r="G65" s="1"/>
    </row>
    <row r="66" spans="1:7" ht="13.5" customHeight="1" x14ac:dyDescent="0.2">
      <c r="A66" s="2" t="s">
        <v>19</v>
      </c>
      <c r="B66" s="39"/>
      <c r="C66" s="3">
        <v>210</v>
      </c>
      <c r="D66" s="3">
        <f t="shared" ref="D66:D75" si="9">B66*C66</f>
        <v>0</v>
      </c>
      <c r="E66" s="13">
        <f>COUNTIFS($A$12:$A$53,"Cond Ar Janela 10.000 BTU/h")</f>
        <v>0</v>
      </c>
      <c r="F66" s="40">
        <f t="shared" ref="F66:F87" si="10">B66-E66</f>
        <v>0</v>
      </c>
      <c r="G66" s="1"/>
    </row>
    <row r="67" spans="1:7" ht="13.5" customHeight="1" x14ac:dyDescent="0.2">
      <c r="A67" s="2" t="s">
        <v>20</v>
      </c>
      <c r="B67" s="39"/>
      <c r="C67" s="3">
        <v>208</v>
      </c>
      <c r="D67" s="3">
        <f t="shared" si="9"/>
        <v>0</v>
      </c>
      <c r="E67" s="13">
        <f>COUNTIFS($A$12:$A$53,"Cond Ar Janela 18.000 BTU/h")</f>
        <v>0</v>
      </c>
      <c r="F67" s="40">
        <f t="shared" si="10"/>
        <v>0</v>
      </c>
      <c r="G67" s="1"/>
    </row>
    <row r="68" spans="1:7" ht="13.5" customHeight="1" x14ac:dyDescent="0.2">
      <c r="A68" s="2" t="s">
        <v>21</v>
      </c>
      <c r="B68" s="39"/>
      <c r="C68" s="3">
        <v>57</v>
      </c>
      <c r="D68" s="3">
        <f t="shared" si="9"/>
        <v>0</v>
      </c>
      <c r="E68" s="13">
        <f>COUNTIFS($A$12:$A$53,"Cond Ar Janela 21.000 BTU/h")</f>
        <v>0</v>
      </c>
      <c r="F68" s="40">
        <f t="shared" si="10"/>
        <v>0</v>
      </c>
      <c r="G68" s="1"/>
    </row>
    <row r="69" spans="1:7" ht="13.5" customHeight="1" x14ac:dyDescent="0.2">
      <c r="A69" s="2" t="s">
        <v>22</v>
      </c>
      <c r="B69" s="206">
        <f>5+5</f>
        <v>10</v>
      </c>
      <c r="C69" s="3">
        <v>147</v>
      </c>
      <c r="D69" s="3">
        <f t="shared" si="9"/>
        <v>1470</v>
      </c>
      <c r="E69" s="13">
        <f>COUNTIFS($A$12:$A$53,"Cond Ar Split 9.000 BTU/h Hi Wall")</f>
        <v>3</v>
      </c>
      <c r="F69" s="40">
        <f t="shared" si="10"/>
        <v>7</v>
      </c>
      <c r="G69" s="1"/>
    </row>
    <row r="70" spans="1:7" ht="13.5" customHeight="1" x14ac:dyDescent="0.2">
      <c r="A70" s="2" t="s">
        <v>23</v>
      </c>
      <c r="B70" s="206">
        <f>9+9</f>
        <v>18</v>
      </c>
      <c r="C70" s="3">
        <v>235</v>
      </c>
      <c r="D70" s="3">
        <f t="shared" si="9"/>
        <v>4230</v>
      </c>
      <c r="E70" s="13">
        <f>COUNTIFS($A$12:$A$53,"Cond Ar Split 12.000 BTU/h Hi Wall")</f>
        <v>7</v>
      </c>
      <c r="F70" s="40">
        <f t="shared" si="10"/>
        <v>11</v>
      </c>
      <c r="G70" s="1"/>
    </row>
    <row r="71" spans="1:7" ht="13.5" customHeight="1" x14ac:dyDescent="0.2">
      <c r="A71" s="2" t="s">
        <v>24</v>
      </c>
      <c r="B71" s="206">
        <f>4+14</f>
        <v>18</v>
      </c>
      <c r="C71" s="3">
        <v>238</v>
      </c>
      <c r="D71" s="3">
        <f t="shared" si="9"/>
        <v>4284</v>
      </c>
      <c r="E71" s="13">
        <f>COUNTIFS($A$12:$A$53,"Cond Ar Split 18.000 BTU/h Hi Wall")</f>
        <v>11</v>
      </c>
      <c r="F71" s="40">
        <f t="shared" si="10"/>
        <v>7</v>
      </c>
      <c r="G71" s="1"/>
    </row>
    <row r="72" spans="1:7" ht="13.5" customHeight="1" x14ac:dyDescent="0.2">
      <c r="A72" s="2" t="s">
        <v>25</v>
      </c>
      <c r="B72" s="206">
        <v>6</v>
      </c>
      <c r="C72" s="3">
        <v>242</v>
      </c>
      <c r="D72" s="3">
        <f t="shared" si="9"/>
        <v>1452</v>
      </c>
      <c r="E72" s="13">
        <f>COUNTIFS($A$12:$A$53,"Cond Ar Split 22.000 BTU/h Hi Wall")</f>
        <v>0</v>
      </c>
      <c r="F72" s="40">
        <f t="shared" si="10"/>
        <v>6</v>
      </c>
      <c r="G72" s="1"/>
    </row>
    <row r="73" spans="1:7" ht="13.5" customHeight="1" x14ac:dyDescent="0.2">
      <c r="A73" s="2" t="s">
        <v>26</v>
      </c>
      <c r="B73" s="39"/>
      <c r="C73" s="3">
        <v>260</v>
      </c>
      <c r="D73" s="3">
        <f t="shared" si="9"/>
        <v>0</v>
      </c>
      <c r="E73" s="13">
        <f>COUNTIFS($A$12:$A$53,"Cond Ar Split 24.000 BTU/h Hi Wall")</f>
        <v>0</v>
      </c>
      <c r="F73" s="40">
        <f t="shared" si="10"/>
        <v>0</v>
      </c>
      <c r="G73" s="1"/>
    </row>
    <row r="74" spans="1:7" ht="13.5" customHeight="1" x14ac:dyDescent="0.2">
      <c r="A74" s="2" t="s">
        <v>27</v>
      </c>
      <c r="B74" s="206">
        <f>4+6</f>
        <v>10</v>
      </c>
      <c r="C74" s="3">
        <v>347</v>
      </c>
      <c r="D74" s="3">
        <f t="shared" si="9"/>
        <v>3470</v>
      </c>
      <c r="E74" s="13">
        <f>COUNTIFS($A$12:$A$53,"Cond Ar Split 30.000 BTU/h Hi Wall")</f>
        <v>5</v>
      </c>
      <c r="F74" s="40">
        <f t="shared" si="10"/>
        <v>5</v>
      </c>
      <c r="G74" s="1"/>
    </row>
    <row r="75" spans="1:7" ht="13.5" customHeight="1" x14ac:dyDescent="0.2">
      <c r="A75" s="2" t="s">
        <v>30</v>
      </c>
      <c r="B75" s="39"/>
      <c r="C75" s="3">
        <v>367</v>
      </c>
      <c r="D75" s="3">
        <f t="shared" si="9"/>
        <v>0</v>
      </c>
      <c r="E75" s="13">
        <f>COUNTIFS($A$12:$A$53,"Cond Ar Split 24.000 BTU/h Piso/Teto")</f>
        <v>0</v>
      </c>
      <c r="F75" s="40">
        <f t="shared" si="10"/>
        <v>0</v>
      </c>
      <c r="G75" s="1"/>
    </row>
    <row r="76" spans="1:7" ht="13.5" customHeight="1" x14ac:dyDescent="0.2">
      <c r="A76" s="2" t="s">
        <v>31</v>
      </c>
      <c r="B76" s="39"/>
      <c r="C76" s="3">
        <v>367</v>
      </c>
      <c r="D76" s="3">
        <f>B76*C76</f>
        <v>0</v>
      </c>
      <c r="E76" s="13">
        <f>COUNTIFS($A$12:$A$53,"Cond Ar Split 30.000 BTU/h Piso/Teto")</f>
        <v>0</v>
      </c>
      <c r="F76" s="40">
        <f t="shared" si="10"/>
        <v>0</v>
      </c>
      <c r="G76" s="1"/>
    </row>
    <row r="77" spans="1:7" ht="13.5" customHeight="1" x14ac:dyDescent="0.2">
      <c r="A77" s="2" t="s">
        <v>32</v>
      </c>
      <c r="B77" s="39"/>
      <c r="C77" s="3">
        <v>447</v>
      </c>
      <c r="D77" s="3">
        <f>B77*C77</f>
        <v>0</v>
      </c>
      <c r="E77" s="13">
        <f>COUNTIFS($A$12:$A$53,"Cond Ar Split 36.000 BTU/h Piso/Teto")</f>
        <v>0</v>
      </c>
      <c r="F77" s="40">
        <f t="shared" si="10"/>
        <v>0</v>
      </c>
      <c r="G77" s="1"/>
    </row>
    <row r="78" spans="1:7" ht="13.5" customHeight="1" x14ac:dyDescent="0.2">
      <c r="A78" s="2" t="s">
        <v>33</v>
      </c>
      <c r="B78" s="39"/>
      <c r="C78" s="3">
        <v>497</v>
      </c>
      <c r="D78" s="3">
        <f>B78*C78</f>
        <v>0</v>
      </c>
      <c r="E78" s="13">
        <f>COUNTIFS($A$12:$A$53,"Cond Ar Split 48.000 BTU/h Piso/Teto")</f>
        <v>0</v>
      </c>
      <c r="F78" s="40">
        <f t="shared" si="10"/>
        <v>0</v>
      </c>
      <c r="G78" s="1"/>
    </row>
    <row r="79" spans="1:7" ht="13.5" customHeight="1" x14ac:dyDescent="0.2">
      <c r="A79" s="2" t="s">
        <v>34</v>
      </c>
      <c r="B79" s="39"/>
      <c r="C79" s="3">
        <v>597</v>
      </c>
      <c r="D79" s="3">
        <f t="shared" ref="D79:D87" si="11">B79*C79</f>
        <v>0</v>
      </c>
      <c r="E79" s="13">
        <f>COUNTIFS($A$12:$A$53,"Cond Ar Split 60.000 BTU/h Piso/Teto")</f>
        <v>1</v>
      </c>
      <c r="F79" s="40">
        <f t="shared" si="10"/>
        <v>-1</v>
      </c>
      <c r="G79" s="1"/>
    </row>
    <row r="80" spans="1:7" ht="13.5" customHeight="1" x14ac:dyDescent="0.2">
      <c r="A80" s="2" t="s">
        <v>35</v>
      </c>
      <c r="B80" s="39"/>
      <c r="C80" s="3">
        <v>395</v>
      </c>
      <c r="D80" s="3">
        <f t="shared" si="11"/>
        <v>0</v>
      </c>
      <c r="E80" s="13" t="s">
        <v>986</v>
      </c>
      <c r="F80" s="40" t="e">
        <f t="shared" si="10"/>
        <v>#VALUE!</v>
      </c>
      <c r="G80" s="1"/>
    </row>
    <row r="81" spans="1:10" ht="13.5" customHeight="1" x14ac:dyDescent="0.2">
      <c r="A81" s="2" t="s">
        <v>36</v>
      </c>
      <c r="B81" s="39"/>
      <c r="C81" s="3">
        <v>442.75</v>
      </c>
      <c r="D81" s="3">
        <f t="shared" si="11"/>
        <v>0</v>
      </c>
      <c r="E81" s="13">
        <f>COUNTIFS($A$12:$A$53,"Cond Ar Split 24.000 BTU/h Cassete")</f>
        <v>0</v>
      </c>
      <c r="F81" s="40">
        <f t="shared" si="10"/>
        <v>0</v>
      </c>
      <c r="G81" s="1"/>
    </row>
    <row r="82" spans="1:10" ht="13.5" customHeight="1" x14ac:dyDescent="0.2">
      <c r="A82" s="2" t="s">
        <v>37</v>
      </c>
      <c r="B82" s="39"/>
      <c r="C82" s="3">
        <v>430</v>
      </c>
      <c r="D82" s="3">
        <f t="shared" si="11"/>
        <v>0</v>
      </c>
      <c r="E82" s="13">
        <f>COUNTIFS($A$12:$A$53,"Cond Ar Split 30.000 BTU/h Cassete")</f>
        <v>0</v>
      </c>
      <c r="F82" s="40">
        <f t="shared" si="10"/>
        <v>0</v>
      </c>
      <c r="G82" s="1"/>
    </row>
    <row r="83" spans="1:10" ht="13.5" customHeight="1" x14ac:dyDescent="0.2">
      <c r="A83" s="2" t="s">
        <v>38</v>
      </c>
      <c r="B83" s="39"/>
      <c r="C83" s="3">
        <v>478</v>
      </c>
      <c r="D83" s="3">
        <f t="shared" si="11"/>
        <v>0</v>
      </c>
      <c r="E83" s="13">
        <f>COUNTIFS($A$12:$A$53,"Cond Ar Split 36.000 BTU/h Cassete")</f>
        <v>0</v>
      </c>
      <c r="F83" s="40">
        <f t="shared" si="10"/>
        <v>0</v>
      </c>
      <c r="G83" s="1"/>
    </row>
    <row r="84" spans="1:10" ht="13.5" customHeight="1" x14ac:dyDescent="0.2">
      <c r="A84" s="2" t="s">
        <v>39</v>
      </c>
      <c r="B84" s="39"/>
      <c r="C84" s="3">
        <v>577</v>
      </c>
      <c r="D84" s="3">
        <f t="shared" si="11"/>
        <v>0</v>
      </c>
      <c r="E84" s="13">
        <f>COUNTIFS($A$12:$A$53,"Cond Ar Split 48.000 BTU/h Cassete")</f>
        <v>0</v>
      </c>
      <c r="F84" s="40">
        <f t="shared" si="10"/>
        <v>0</v>
      </c>
      <c r="G84" s="1"/>
    </row>
    <row r="85" spans="1:10" ht="13.5" customHeight="1" x14ac:dyDescent="0.2">
      <c r="A85" s="2" t="s">
        <v>40</v>
      </c>
      <c r="B85" s="39"/>
      <c r="C85" s="3">
        <v>645</v>
      </c>
      <c r="D85" s="3">
        <f t="shared" si="11"/>
        <v>0</v>
      </c>
      <c r="E85" s="13">
        <f>COUNTIFS($A$12:$A$53,"Cond Ar Split 60.000 BTU/h Cassete")</f>
        <v>0</v>
      </c>
      <c r="F85" s="40">
        <f t="shared" si="10"/>
        <v>0</v>
      </c>
      <c r="G85" s="1"/>
    </row>
    <row r="86" spans="1:10" ht="13.5" customHeight="1" x14ac:dyDescent="0.2">
      <c r="A86" s="2" t="s">
        <v>41</v>
      </c>
      <c r="B86" s="39"/>
      <c r="C86" s="3">
        <v>147</v>
      </c>
      <c r="D86" s="3">
        <f t="shared" si="11"/>
        <v>0</v>
      </c>
      <c r="E86" s="13">
        <f>COUNTIFS($A$12:$A$53,"Cond Ar Tri Split 36.000 BTU/h (3x12.000)")</f>
        <v>0</v>
      </c>
      <c r="F86" s="40">
        <f t="shared" si="10"/>
        <v>0</v>
      </c>
      <c r="G86" s="1"/>
    </row>
    <row r="87" spans="1:10" ht="13.5" customHeight="1" x14ac:dyDescent="0.2">
      <c r="A87" s="2" t="s">
        <v>42</v>
      </c>
      <c r="B87" s="39"/>
      <c r="C87" s="3">
        <v>100</v>
      </c>
      <c r="D87" s="3">
        <f t="shared" si="11"/>
        <v>0</v>
      </c>
      <c r="E87" s="13">
        <f>COUNTIFS($A$12:$A$53,"Cond Ar Portátil 12.000 BTU/h")</f>
        <v>0</v>
      </c>
      <c r="F87" s="40">
        <f t="shared" si="10"/>
        <v>0</v>
      </c>
      <c r="G87" s="1"/>
    </row>
    <row r="88" spans="1:10" ht="13.5" customHeight="1" x14ac:dyDescent="0.2">
      <c r="A88" s="36" t="s">
        <v>7</v>
      </c>
      <c r="B88" s="22">
        <f>SUM(B65:B87)</f>
        <v>64</v>
      </c>
      <c r="C88" s="38"/>
      <c r="D88" s="37">
        <f>SUM(D65:D87)</f>
        <v>14906</v>
      </c>
      <c r="E88" s="22">
        <f>SUM(E65:E87)</f>
        <v>27</v>
      </c>
      <c r="F88" s="41" t="e">
        <f>SUM(F65:F87)</f>
        <v>#VALUE!</v>
      </c>
      <c r="G88" s="54"/>
    </row>
    <row r="92" spans="1:10" ht="13.5" customHeight="1" x14ac:dyDescent="0.25">
      <c r="F92" s="17"/>
      <c r="J92" s="16"/>
    </row>
  </sheetData>
  <mergeCells count="27">
    <mergeCell ref="A58:C58"/>
    <mergeCell ref="D58:I58"/>
    <mergeCell ref="A62:F62"/>
    <mergeCell ref="A63:D63"/>
    <mergeCell ref="E63:E64"/>
    <mergeCell ref="F63:F64"/>
    <mergeCell ref="A57:C57"/>
    <mergeCell ref="D57:I57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54:I54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29">
    <pageSetUpPr fitToPage="1"/>
  </sheetPr>
  <dimension ref="A1:I28"/>
  <sheetViews>
    <sheetView showGridLines="0" workbookViewId="0">
      <pane ySplit="11" topLeftCell="A12" activePane="bottomLeft" state="frozen"/>
      <selection activeCell="E19" sqref="E19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7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7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7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7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7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7" ht="13.5" customHeight="1" thickTop="1" x14ac:dyDescent="0.25">
      <c r="A8" s="296" t="s">
        <v>243</v>
      </c>
      <c r="B8" s="297"/>
      <c r="C8" s="297"/>
      <c r="D8" s="297"/>
      <c r="E8" s="297"/>
      <c r="F8" s="298"/>
    </row>
    <row r="9" spans="1:7" ht="13.5" customHeight="1" x14ac:dyDescent="0.25">
      <c r="A9" s="60" t="s">
        <v>178</v>
      </c>
      <c r="B9" s="270" t="s">
        <v>179</v>
      </c>
      <c r="C9" s="270"/>
      <c r="D9" s="270"/>
      <c r="E9" s="271" t="s">
        <v>989</v>
      </c>
      <c r="F9" s="273"/>
      <c r="G9" s="27"/>
    </row>
    <row r="11" spans="1:7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7" ht="13.5" customHeight="1" x14ac:dyDescent="0.2">
      <c r="A12" s="299"/>
      <c r="B12" s="300"/>
      <c r="C12" s="101"/>
      <c r="D12" s="103"/>
      <c r="E12" s="11"/>
      <c r="F12" s="109"/>
    </row>
    <row r="13" spans="1:7" ht="13.5" customHeight="1" x14ac:dyDescent="0.2">
      <c r="A13" s="299"/>
      <c r="B13" s="300"/>
      <c r="C13" s="155"/>
      <c r="D13" s="104"/>
      <c r="E13" s="82"/>
      <c r="F13" s="109"/>
    </row>
    <row r="14" spans="1:7" ht="13.5" customHeight="1" x14ac:dyDescent="0.2">
      <c r="A14" s="299"/>
      <c r="B14" s="300"/>
      <c r="C14" s="155"/>
      <c r="D14" s="104"/>
      <c r="E14" s="82"/>
      <c r="F14" s="109"/>
    </row>
    <row r="15" spans="1:7" ht="13.5" customHeight="1" x14ac:dyDescent="0.2">
      <c r="A15" s="299"/>
      <c r="B15" s="300"/>
      <c r="C15" s="155"/>
      <c r="D15" s="104"/>
      <c r="E15" s="82"/>
      <c r="F15" s="109"/>
    </row>
    <row r="16" spans="1:7" ht="13.5" customHeight="1" x14ac:dyDescent="0.2">
      <c r="A16" s="299"/>
      <c r="B16" s="300"/>
      <c r="C16" s="155"/>
      <c r="D16" s="104"/>
      <c r="E16" s="82"/>
      <c r="F16" s="109"/>
    </row>
    <row r="17" spans="1:9" ht="13.5" customHeight="1" x14ac:dyDescent="0.2">
      <c r="A17" s="299"/>
      <c r="B17" s="300"/>
      <c r="C17" s="155"/>
      <c r="D17" s="104"/>
      <c r="E17" s="82"/>
      <c r="F17" s="109"/>
    </row>
    <row r="18" spans="1:9" ht="13.5" customHeight="1" x14ac:dyDescent="0.2">
      <c r="A18" s="328"/>
      <c r="B18" s="300"/>
      <c r="C18" s="155"/>
      <c r="D18" s="104"/>
      <c r="E18" s="82"/>
      <c r="F18" s="109"/>
    </row>
    <row r="19" spans="1:9" ht="13.5" customHeight="1" x14ac:dyDescent="0.2">
      <c r="A19" s="299"/>
      <c r="B19" s="300"/>
      <c r="C19" s="155"/>
      <c r="D19" s="104"/>
      <c r="E19" s="82"/>
      <c r="F19" s="109"/>
    </row>
    <row r="20" spans="1:9" ht="13.5" customHeight="1" x14ac:dyDescent="0.2">
      <c r="A20" s="313"/>
      <c r="B20" s="321"/>
      <c r="C20" s="102"/>
      <c r="D20" s="104"/>
      <c r="E20" s="82"/>
      <c r="F20" s="109">
        <f t="shared" ref="F20" si="0">D20/30*C20*E20</f>
        <v>0</v>
      </c>
    </row>
    <row r="21" spans="1:9" ht="13.5" customHeight="1" x14ac:dyDescent="0.25">
      <c r="A21" s="271" t="s">
        <v>726</v>
      </c>
      <c r="B21" s="273"/>
      <c r="C21" s="58">
        <f>SUM(C12:C20)</f>
        <v>0</v>
      </c>
      <c r="D21" s="57"/>
      <c r="E21" s="57"/>
      <c r="F21" s="73">
        <f>SUM(F12:F20)</f>
        <v>0</v>
      </c>
    </row>
    <row r="22" spans="1:9" ht="13.5" customHeight="1" x14ac:dyDescent="0.25">
      <c r="A22" s="105"/>
      <c r="B22" s="105"/>
      <c r="C22" s="105"/>
      <c r="D22" s="106"/>
      <c r="E22" s="107"/>
      <c r="F22" s="108"/>
    </row>
    <row r="24" spans="1:9" ht="13.5" customHeight="1" x14ac:dyDescent="0.25">
      <c r="A24" s="289" t="s">
        <v>124</v>
      </c>
      <c r="B24" s="289"/>
      <c r="C24" s="289"/>
      <c r="D24" s="289"/>
      <c r="E24" s="289"/>
      <c r="F24" s="289"/>
      <c r="G24" s="74"/>
      <c r="H24" s="74"/>
      <c r="I24" s="74"/>
    </row>
    <row r="26" spans="1:9" ht="13.5" customHeight="1" x14ac:dyDescent="0.2">
      <c r="A26" s="27" t="s">
        <v>125</v>
      </c>
      <c r="B26" s="27"/>
      <c r="F26" s="110"/>
      <c r="G26" s="10"/>
      <c r="I26" s="111"/>
    </row>
    <row r="27" spans="1:9" ht="60" customHeight="1" x14ac:dyDescent="0.25">
      <c r="A27" s="291"/>
      <c r="B27" s="275"/>
      <c r="C27" s="292"/>
      <c r="D27" s="290"/>
      <c r="E27" s="290"/>
      <c r="F27" s="290"/>
    </row>
    <row r="28" spans="1:9" ht="13.5" customHeight="1" x14ac:dyDescent="0.25">
      <c r="A28" s="274" t="s">
        <v>126</v>
      </c>
      <c r="B28" s="274"/>
      <c r="C28" s="274"/>
      <c r="D28" s="75"/>
      <c r="E28" s="75" t="s">
        <v>127</v>
      </c>
      <c r="F28" s="75"/>
      <c r="G28" s="27"/>
      <c r="H28" s="27"/>
      <c r="I28" s="27"/>
    </row>
  </sheetData>
  <mergeCells count="25">
    <mergeCell ref="A28:C28"/>
    <mergeCell ref="A19:B19"/>
    <mergeCell ref="A20:B20"/>
    <mergeCell ref="A21:B21"/>
    <mergeCell ref="A24:F24"/>
    <mergeCell ref="A27:C27"/>
    <mergeCell ref="D27:F27"/>
    <mergeCell ref="A18:B18"/>
    <mergeCell ref="A7:F7"/>
    <mergeCell ref="A8:F8"/>
    <mergeCell ref="B9:D9"/>
    <mergeCell ref="E9:F9"/>
    <mergeCell ref="A11:B11"/>
    <mergeCell ref="A12:B12"/>
    <mergeCell ref="A13:B13"/>
    <mergeCell ref="A14:B14"/>
    <mergeCell ref="A15:B15"/>
    <mergeCell ref="A16:B16"/>
    <mergeCell ref="A17:B17"/>
    <mergeCell ref="A1:F1"/>
    <mergeCell ref="A3:F3"/>
    <mergeCell ref="A4:C4"/>
    <mergeCell ref="D4:E4"/>
    <mergeCell ref="A5:C5"/>
    <mergeCell ref="D5:E5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1:I28"/>
  <sheetViews>
    <sheetView showGridLines="0" workbookViewId="0">
      <pane ySplit="11" topLeftCell="A12" activePane="bottomLeft" state="frozen"/>
      <selection activeCell="G9" sqref="G9:I9"/>
      <selection pane="bottomLeft" activeCell="D14" sqref="D14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7.28515625" style="7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723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577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581</v>
      </c>
      <c r="B8" s="297"/>
      <c r="C8" s="297"/>
      <c r="D8" s="297"/>
      <c r="E8" s="297"/>
      <c r="F8" s="298"/>
    </row>
    <row r="9" spans="1:6" ht="13.5" customHeight="1" x14ac:dyDescent="0.25">
      <c r="A9" s="60" t="s">
        <v>580</v>
      </c>
      <c r="B9" s="270" t="s">
        <v>579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89"/>
      <c r="D12" s="103"/>
      <c r="E12" s="11"/>
      <c r="F12" s="109"/>
    </row>
    <row r="13" spans="1:6" ht="13.5" customHeight="1" x14ac:dyDescent="0.2">
      <c r="A13" s="299"/>
      <c r="B13" s="300"/>
      <c r="C13" s="189"/>
      <c r="D13" s="103"/>
      <c r="E13" s="11"/>
      <c r="F13" s="109"/>
    </row>
    <row r="14" spans="1:6" ht="13.5" customHeight="1" x14ac:dyDescent="0.2">
      <c r="A14" s="299"/>
      <c r="B14" s="300"/>
      <c r="C14" s="190"/>
      <c r="D14" s="104"/>
      <c r="E14" s="82"/>
      <c r="F14" s="109"/>
    </row>
    <row r="15" spans="1:6" ht="13.5" customHeight="1" x14ac:dyDescent="0.2">
      <c r="A15" s="299"/>
      <c r="B15" s="300"/>
      <c r="C15" s="191"/>
      <c r="D15" s="104"/>
      <c r="E15" s="82"/>
      <c r="F15" s="109"/>
    </row>
    <row r="16" spans="1:6" ht="13.5" customHeight="1" x14ac:dyDescent="0.2">
      <c r="A16" s="299"/>
      <c r="B16" s="300"/>
      <c r="C16" s="191"/>
      <c r="D16" s="104"/>
      <c r="E16" s="82"/>
      <c r="F16" s="109"/>
    </row>
    <row r="17" spans="1:9" ht="13.5" customHeight="1" x14ac:dyDescent="0.2">
      <c r="A17" s="299"/>
      <c r="B17" s="300"/>
      <c r="C17" s="191"/>
      <c r="D17" s="104"/>
      <c r="E17" s="82"/>
      <c r="F17" s="109"/>
    </row>
    <row r="18" spans="1:9" ht="13.5" customHeight="1" x14ac:dyDescent="0.2">
      <c r="A18" s="299"/>
      <c r="B18" s="300"/>
      <c r="C18" s="191"/>
      <c r="D18" s="104"/>
      <c r="E18" s="82"/>
      <c r="F18" s="109"/>
    </row>
    <row r="19" spans="1:9" ht="13.5" customHeight="1" x14ac:dyDescent="0.2">
      <c r="A19" s="299"/>
      <c r="B19" s="300"/>
      <c r="C19" s="191"/>
      <c r="D19" s="104"/>
      <c r="E19" s="82"/>
      <c r="F19" s="109"/>
    </row>
    <row r="20" spans="1:9" ht="13.5" customHeight="1" x14ac:dyDescent="0.2">
      <c r="A20" s="299"/>
      <c r="B20" s="300"/>
      <c r="C20" s="190"/>
      <c r="D20" s="104"/>
      <c r="E20" s="82"/>
      <c r="F20" s="186"/>
    </row>
    <row r="21" spans="1:9" ht="13.5" customHeight="1" x14ac:dyDescent="0.25">
      <c r="A21" s="271" t="s">
        <v>678</v>
      </c>
      <c r="B21" s="273"/>
      <c r="C21" s="185"/>
      <c r="D21" s="57"/>
      <c r="E21" s="57"/>
      <c r="F21" s="73"/>
    </row>
    <row r="22" spans="1:9" ht="13.5" customHeight="1" x14ac:dyDescent="0.25">
      <c r="A22" s="105"/>
      <c r="B22" s="105"/>
      <c r="C22" s="105"/>
      <c r="D22" s="106"/>
      <c r="E22" s="107"/>
      <c r="F22" s="108"/>
    </row>
    <row r="24" spans="1:9" ht="13.5" customHeight="1" x14ac:dyDescent="0.25">
      <c r="A24" s="289" t="s">
        <v>124</v>
      </c>
      <c r="B24" s="289"/>
      <c r="C24" s="289"/>
      <c r="D24" s="289"/>
      <c r="E24" s="289"/>
      <c r="F24" s="289"/>
      <c r="G24" s="74"/>
      <c r="H24" s="74"/>
      <c r="I24" s="74"/>
    </row>
    <row r="26" spans="1:9" ht="13.5" customHeight="1" x14ac:dyDescent="0.2">
      <c r="A26" s="27" t="s">
        <v>125</v>
      </c>
      <c r="B26" s="27"/>
      <c r="F26" s="110"/>
      <c r="G26" s="10"/>
      <c r="I26" s="111"/>
    </row>
    <row r="27" spans="1:9" ht="60" customHeight="1" x14ac:dyDescent="0.25">
      <c r="A27" s="291"/>
      <c r="B27" s="275"/>
      <c r="C27" s="292"/>
      <c r="D27" s="290"/>
      <c r="E27" s="290"/>
      <c r="F27" s="290"/>
    </row>
    <row r="28" spans="1:9" ht="13.5" customHeight="1" x14ac:dyDescent="0.25">
      <c r="A28" s="274" t="s">
        <v>126</v>
      </c>
      <c r="B28" s="274"/>
      <c r="C28" s="274"/>
      <c r="D28" s="75"/>
      <c r="E28" s="75" t="s">
        <v>127</v>
      </c>
      <c r="F28" s="75"/>
      <c r="G28" s="27"/>
      <c r="H28" s="27"/>
      <c r="I28" s="27"/>
    </row>
  </sheetData>
  <mergeCells count="25">
    <mergeCell ref="A28:C28"/>
    <mergeCell ref="A14:B14"/>
    <mergeCell ref="A21:B21"/>
    <mergeCell ref="A24:F24"/>
    <mergeCell ref="A27:C27"/>
    <mergeCell ref="D27:F27"/>
    <mergeCell ref="A15:B15"/>
    <mergeCell ref="A16:B16"/>
    <mergeCell ref="A17:B17"/>
    <mergeCell ref="A20:B20"/>
    <mergeCell ref="A18:B18"/>
    <mergeCell ref="A19:B19"/>
    <mergeCell ref="A13:B13"/>
    <mergeCell ref="A7:F7"/>
    <mergeCell ref="A8:F8"/>
    <mergeCell ref="B9:D9"/>
    <mergeCell ref="E9:F9"/>
    <mergeCell ref="A11:B11"/>
    <mergeCell ref="A12:B12"/>
    <mergeCell ref="A1:F1"/>
    <mergeCell ref="A3:F3"/>
    <mergeCell ref="A4:C4"/>
    <mergeCell ref="D4:E4"/>
    <mergeCell ref="A5:C5"/>
    <mergeCell ref="D5:E5"/>
  </mergeCells>
  <pageMargins left="0.27559055118110237" right="0.19685039370078741" top="0.27559055118110237" bottom="0.35433070866141736" header="0.23622047244094491" footer="0.15748031496062992"/>
  <pageSetup paperSize="9" scale="77" orientation="portrait" r:id="rId1"/>
  <headerFooter alignWithMargins="0">
    <oddFooter>&amp;L&amp;F/&amp;A&amp;C&amp;D&amp;R&amp;P/&amp;N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30">
    <pageSetUpPr fitToPage="1"/>
  </sheetPr>
  <dimension ref="A1:L82"/>
  <sheetViews>
    <sheetView showGridLines="0" workbookViewId="0">
      <pane ySplit="13" topLeftCell="A38" activePane="bottomLeft" state="frozen"/>
      <selection activeCell="B13" sqref="B13"/>
      <selection pane="bottomLeft" activeCell="D32" sqref="D32:E37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425781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242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187</v>
      </c>
      <c r="B9" s="270"/>
      <c r="C9" s="271" t="s">
        <v>189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45512</v>
      </c>
      <c r="C15" s="55">
        <v>10784</v>
      </c>
      <c r="D15" s="20">
        <v>45658</v>
      </c>
      <c r="E15" s="20">
        <v>45687</v>
      </c>
      <c r="F15" s="11">
        <f>(E15-D15)+1</f>
        <v>30</v>
      </c>
      <c r="G15" s="12">
        <v>235</v>
      </c>
      <c r="H15" s="13">
        <v>1</v>
      </c>
      <c r="I15" s="19">
        <f>G15/30*H15*F15</f>
        <v>235</v>
      </c>
      <c r="J15" s="32" t="s">
        <v>338</v>
      </c>
      <c r="K15" s="13"/>
    </row>
    <row r="16" spans="1:11" ht="13.5" customHeight="1" x14ac:dyDescent="0.2">
      <c r="A16" s="2" t="s">
        <v>24</v>
      </c>
      <c r="B16" s="76">
        <v>45512</v>
      </c>
      <c r="C16" s="55">
        <v>10781</v>
      </c>
      <c r="D16" s="20">
        <v>45658</v>
      </c>
      <c r="E16" s="20">
        <v>45687</v>
      </c>
      <c r="F16" s="11">
        <f t="shared" ref="F16:F21" si="0">(E16-D16)+1</f>
        <v>30</v>
      </c>
      <c r="G16" s="12">
        <v>238</v>
      </c>
      <c r="H16" s="13">
        <v>1</v>
      </c>
      <c r="I16" s="19">
        <f t="shared" ref="I16:I20" si="1">G16/30*H16*F16</f>
        <v>238</v>
      </c>
      <c r="J16" s="32" t="s">
        <v>339</v>
      </c>
      <c r="K16" s="13"/>
    </row>
    <row r="17" spans="1:11" ht="13.5" customHeight="1" x14ac:dyDescent="0.2">
      <c r="A17" s="2" t="s">
        <v>24</v>
      </c>
      <c r="B17" s="76">
        <v>45512</v>
      </c>
      <c r="C17" s="55">
        <v>10782</v>
      </c>
      <c r="D17" s="20">
        <v>45658</v>
      </c>
      <c r="E17" s="20">
        <v>45687</v>
      </c>
      <c r="F17" s="11">
        <f t="shared" si="0"/>
        <v>30</v>
      </c>
      <c r="G17" s="12">
        <v>238</v>
      </c>
      <c r="H17" s="13">
        <v>1</v>
      </c>
      <c r="I17" s="19">
        <f t="shared" si="1"/>
        <v>238</v>
      </c>
      <c r="J17" s="32" t="s">
        <v>101</v>
      </c>
      <c r="K17" s="13"/>
    </row>
    <row r="18" spans="1:11" ht="13.5" customHeight="1" x14ac:dyDescent="0.2">
      <c r="A18" s="2" t="s">
        <v>24</v>
      </c>
      <c r="B18" s="76">
        <v>45512</v>
      </c>
      <c r="C18" s="55">
        <v>319</v>
      </c>
      <c r="D18" s="20">
        <v>45658</v>
      </c>
      <c r="E18" s="20">
        <v>45687</v>
      </c>
      <c r="F18" s="11">
        <f t="shared" si="0"/>
        <v>30</v>
      </c>
      <c r="G18" s="12">
        <v>238</v>
      </c>
      <c r="H18" s="13">
        <v>1</v>
      </c>
      <c r="I18" s="19">
        <f t="shared" si="1"/>
        <v>238</v>
      </c>
      <c r="J18" s="32" t="s">
        <v>340</v>
      </c>
      <c r="K18" s="13"/>
    </row>
    <row r="19" spans="1:11" ht="13.5" customHeight="1" x14ac:dyDescent="0.2">
      <c r="A19" s="2" t="s">
        <v>24</v>
      </c>
      <c r="B19" s="76">
        <v>45512</v>
      </c>
      <c r="C19" s="55">
        <v>320</v>
      </c>
      <c r="D19" s="20">
        <v>45658</v>
      </c>
      <c r="E19" s="20">
        <v>45687</v>
      </c>
      <c r="F19" s="11">
        <f t="shared" si="0"/>
        <v>30</v>
      </c>
      <c r="G19" s="12">
        <v>238</v>
      </c>
      <c r="H19" s="13">
        <v>1</v>
      </c>
      <c r="I19" s="19">
        <f t="shared" si="1"/>
        <v>238</v>
      </c>
      <c r="J19" s="32" t="s">
        <v>198</v>
      </c>
      <c r="K19" s="13"/>
    </row>
    <row r="20" spans="1:11" ht="13.5" customHeight="1" x14ac:dyDescent="0.2">
      <c r="A20" s="2" t="s">
        <v>24</v>
      </c>
      <c r="B20" s="76">
        <v>45512</v>
      </c>
      <c r="C20" s="55">
        <v>321</v>
      </c>
      <c r="D20" s="20">
        <v>45658</v>
      </c>
      <c r="E20" s="20">
        <v>45687</v>
      </c>
      <c r="F20" s="11">
        <f t="shared" si="0"/>
        <v>30</v>
      </c>
      <c r="G20" s="12">
        <v>238</v>
      </c>
      <c r="H20" s="13">
        <v>1</v>
      </c>
      <c r="I20" s="19">
        <f t="shared" si="1"/>
        <v>238</v>
      </c>
      <c r="J20" s="32" t="s">
        <v>341</v>
      </c>
      <c r="K20" s="13"/>
    </row>
    <row r="21" spans="1:11" ht="13.5" customHeight="1" x14ac:dyDescent="0.2">
      <c r="A21" s="2" t="s">
        <v>24</v>
      </c>
      <c r="B21" s="76">
        <v>45526</v>
      </c>
      <c r="C21" s="55">
        <v>14847</v>
      </c>
      <c r="D21" s="20">
        <v>45658</v>
      </c>
      <c r="E21" s="20">
        <v>45687</v>
      </c>
      <c r="F21" s="11">
        <f t="shared" si="0"/>
        <v>30</v>
      </c>
      <c r="G21" s="12">
        <v>238</v>
      </c>
      <c r="H21" s="13">
        <v>1</v>
      </c>
      <c r="I21" s="19">
        <f>G21/30*H21*F21</f>
        <v>238</v>
      </c>
      <c r="J21" s="32" t="s">
        <v>186</v>
      </c>
      <c r="K21" s="13">
        <v>67001</v>
      </c>
    </row>
    <row r="22" spans="1:11" ht="13.5" customHeight="1" x14ac:dyDescent="0.2">
      <c r="A22" s="2" t="s">
        <v>24</v>
      </c>
      <c r="B22" s="76">
        <v>45527</v>
      </c>
      <c r="C22" s="55">
        <v>14850</v>
      </c>
      <c r="D22" s="20">
        <v>45658</v>
      </c>
      <c r="E22" s="20">
        <v>45687</v>
      </c>
      <c r="F22" s="11">
        <f t="shared" ref="F22:F23" si="2">(E22-D22)+1</f>
        <v>30</v>
      </c>
      <c r="G22" s="12">
        <v>238</v>
      </c>
      <c r="H22" s="13">
        <v>1</v>
      </c>
      <c r="I22" s="19">
        <f t="shared" ref="I22:I24" si="3">G22/30*H22*F22</f>
        <v>238</v>
      </c>
      <c r="J22" s="32" t="s">
        <v>185</v>
      </c>
      <c r="K22" s="13">
        <v>67060</v>
      </c>
    </row>
    <row r="23" spans="1:11" ht="13.5" customHeight="1" x14ac:dyDescent="0.2">
      <c r="A23" s="2" t="s">
        <v>24</v>
      </c>
      <c r="B23" s="76">
        <v>45527</v>
      </c>
      <c r="C23" s="55">
        <v>14835</v>
      </c>
      <c r="D23" s="20">
        <v>45658</v>
      </c>
      <c r="E23" s="20">
        <v>45687</v>
      </c>
      <c r="F23" s="11">
        <f t="shared" si="2"/>
        <v>30</v>
      </c>
      <c r="G23" s="12">
        <v>238</v>
      </c>
      <c r="H23" s="13">
        <v>1</v>
      </c>
      <c r="I23" s="19">
        <f t="shared" si="3"/>
        <v>238</v>
      </c>
      <c r="J23" s="32" t="s">
        <v>113</v>
      </c>
      <c r="K23" s="13">
        <v>67060</v>
      </c>
    </row>
    <row r="24" spans="1:11" ht="13.5" customHeight="1" x14ac:dyDescent="0.25">
      <c r="A24" s="14"/>
      <c r="B24" s="20"/>
      <c r="C24" s="13"/>
      <c r="D24" s="20"/>
      <c r="E24" s="20"/>
      <c r="F24" s="11"/>
      <c r="G24" s="12"/>
      <c r="H24" s="13"/>
      <c r="I24" s="19">
        <f t="shared" si="3"/>
        <v>0</v>
      </c>
      <c r="J24" s="32"/>
      <c r="K24" s="13"/>
    </row>
    <row r="25" spans="1:11" ht="13.5" customHeight="1" x14ac:dyDescent="0.25">
      <c r="A25" s="21" t="s">
        <v>334</v>
      </c>
      <c r="B25" s="26"/>
      <c r="C25" s="26"/>
      <c r="D25" s="23"/>
      <c r="E25" s="23"/>
      <c r="F25" s="24"/>
      <c r="G25" s="23"/>
      <c r="H25" s="22">
        <f>SUM(H15:H24)</f>
        <v>9</v>
      </c>
      <c r="I25" s="112">
        <f>SUM(I15:I24)</f>
        <v>2139</v>
      </c>
      <c r="J25" s="33"/>
      <c r="K25" s="116"/>
    </row>
    <row r="26" spans="1:11" ht="13.5" customHeight="1" x14ac:dyDescent="0.25">
      <c r="D26" s="8"/>
      <c r="E26" s="8"/>
      <c r="F26" s="9"/>
      <c r="G26" s="10"/>
      <c r="I26" s="10"/>
      <c r="J26" s="4"/>
    </row>
    <row r="27" spans="1:11" ht="13.5" customHeight="1" x14ac:dyDescent="0.2">
      <c r="A27" s="2" t="s">
        <v>24</v>
      </c>
      <c r="B27" s="76">
        <v>45512</v>
      </c>
      <c r="C27" s="55">
        <v>11517</v>
      </c>
      <c r="D27" s="20">
        <v>45658</v>
      </c>
      <c r="E27" s="20">
        <v>45687</v>
      </c>
      <c r="F27" s="11">
        <f t="shared" ref="F27:F28" si="4">(E27-D27)+1</f>
        <v>30</v>
      </c>
      <c r="G27" s="12">
        <v>238</v>
      </c>
      <c r="H27" s="13">
        <v>1</v>
      </c>
      <c r="I27" s="19">
        <f t="shared" ref="I27:I28" si="5">G27/30*H27*F27</f>
        <v>238</v>
      </c>
      <c r="J27" s="32" t="s">
        <v>330</v>
      </c>
      <c r="K27" s="13"/>
    </row>
    <row r="28" spans="1:11" ht="13.5" customHeight="1" x14ac:dyDescent="0.2">
      <c r="A28" s="2" t="s">
        <v>33</v>
      </c>
      <c r="B28" s="76">
        <v>45512</v>
      </c>
      <c r="C28" s="55">
        <v>11479</v>
      </c>
      <c r="D28" s="20">
        <v>45658</v>
      </c>
      <c r="E28" s="20">
        <v>45687</v>
      </c>
      <c r="F28" s="11">
        <f t="shared" si="4"/>
        <v>30</v>
      </c>
      <c r="G28" s="12">
        <v>497</v>
      </c>
      <c r="H28" s="13">
        <v>1</v>
      </c>
      <c r="I28" s="19">
        <f t="shared" si="5"/>
        <v>497</v>
      </c>
      <c r="J28" s="32" t="s">
        <v>323</v>
      </c>
      <c r="K28" s="13"/>
    </row>
    <row r="29" spans="1:11" ht="13.5" customHeight="1" x14ac:dyDescent="0.25">
      <c r="A29" s="14"/>
      <c r="B29" s="20"/>
      <c r="C29" s="13"/>
      <c r="D29" s="20"/>
      <c r="E29" s="20"/>
      <c r="F29" s="11"/>
      <c r="G29" s="12"/>
      <c r="H29" s="13"/>
      <c r="I29" s="19"/>
      <c r="J29" s="32"/>
      <c r="K29" s="13"/>
    </row>
    <row r="30" spans="1:11" ht="13.5" customHeight="1" x14ac:dyDescent="0.25">
      <c r="A30" s="21" t="s">
        <v>342</v>
      </c>
      <c r="B30" s="26"/>
      <c r="C30" s="26"/>
      <c r="D30" s="23"/>
      <c r="E30" s="23"/>
      <c r="F30" s="24"/>
      <c r="G30" s="23"/>
      <c r="H30" s="22">
        <f>SUM(H27:H29)</f>
        <v>2</v>
      </c>
      <c r="I30" s="112">
        <f>SUM(I27:I29)</f>
        <v>735</v>
      </c>
      <c r="J30" s="33"/>
      <c r="K30" s="116"/>
    </row>
    <row r="31" spans="1:11" ht="13.5" customHeight="1" x14ac:dyDescent="0.25">
      <c r="D31" s="8"/>
      <c r="E31" s="8"/>
      <c r="F31" s="9"/>
      <c r="G31" s="10"/>
      <c r="I31" s="10"/>
      <c r="J31" s="4"/>
    </row>
    <row r="32" spans="1:11" ht="13.5" customHeight="1" x14ac:dyDescent="0.2">
      <c r="A32" s="2" t="s">
        <v>22</v>
      </c>
      <c r="B32" s="76">
        <v>45512</v>
      </c>
      <c r="C32" s="55">
        <v>15317</v>
      </c>
      <c r="D32" s="20">
        <v>45658</v>
      </c>
      <c r="E32" s="20">
        <v>45687</v>
      </c>
      <c r="F32" s="11">
        <f t="shared" ref="F32:F37" si="6">(E32-D32)+1</f>
        <v>30</v>
      </c>
      <c r="G32" s="12">
        <v>147</v>
      </c>
      <c r="H32" s="13">
        <v>1</v>
      </c>
      <c r="I32" s="19">
        <f t="shared" ref="I32:I38" si="7">G32/30*H32*F32</f>
        <v>147</v>
      </c>
      <c r="J32" s="32" t="s">
        <v>328</v>
      </c>
      <c r="K32" s="13"/>
    </row>
    <row r="33" spans="1:12" ht="13.5" customHeight="1" x14ac:dyDescent="0.2">
      <c r="A33" s="2" t="s">
        <v>22</v>
      </c>
      <c r="B33" s="76">
        <v>45512</v>
      </c>
      <c r="C33" s="55">
        <v>15319</v>
      </c>
      <c r="D33" s="20">
        <v>45658</v>
      </c>
      <c r="E33" s="20">
        <v>45687</v>
      </c>
      <c r="F33" s="11">
        <f t="shared" si="6"/>
        <v>30</v>
      </c>
      <c r="G33" s="12">
        <v>147</v>
      </c>
      <c r="H33" s="13">
        <v>1</v>
      </c>
      <c r="I33" s="19">
        <f t="shared" si="7"/>
        <v>147</v>
      </c>
      <c r="J33" s="32" t="s">
        <v>329</v>
      </c>
      <c r="K33" s="13"/>
    </row>
    <row r="34" spans="1:12" ht="13.5" customHeight="1" x14ac:dyDescent="0.2">
      <c r="A34" s="2" t="s">
        <v>24</v>
      </c>
      <c r="B34" s="76">
        <v>45512</v>
      </c>
      <c r="C34" s="55">
        <v>15318</v>
      </c>
      <c r="D34" s="20">
        <v>45658</v>
      </c>
      <c r="E34" s="20">
        <v>45687</v>
      </c>
      <c r="F34" s="11">
        <f t="shared" si="6"/>
        <v>30</v>
      </c>
      <c r="G34" s="12">
        <v>238</v>
      </c>
      <c r="H34" s="13">
        <v>1</v>
      </c>
      <c r="I34" s="19">
        <f t="shared" si="7"/>
        <v>238</v>
      </c>
      <c r="J34" s="32" t="s">
        <v>330</v>
      </c>
      <c r="K34" s="13"/>
    </row>
    <row r="35" spans="1:12" ht="13.5" customHeight="1" x14ac:dyDescent="0.2">
      <c r="A35" s="2" t="s">
        <v>24</v>
      </c>
      <c r="B35" s="76">
        <v>45512</v>
      </c>
      <c r="C35" s="55">
        <v>15316</v>
      </c>
      <c r="D35" s="20">
        <v>45658</v>
      </c>
      <c r="E35" s="20">
        <v>45687</v>
      </c>
      <c r="F35" s="11">
        <f t="shared" si="6"/>
        <v>30</v>
      </c>
      <c r="G35" s="12">
        <v>238</v>
      </c>
      <c r="H35" s="13">
        <v>1</v>
      </c>
      <c r="I35" s="19">
        <f t="shared" si="7"/>
        <v>238</v>
      </c>
      <c r="J35" s="32" t="s">
        <v>337</v>
      </c>
      <c r="K35" s="13"/>
      <c r="L35" s="144" t="s">
        <v>582</v>
      </c>
    </row>
    <row r="36" spans="1:12" ht="13.5" customHeight="1" x14ac:dyDescent="0.2">
      <c r="A36" s="2" t="s">
        <v>33</v>
      </c>
      <c r="B36" s="76">
        <v>45512</v>
      </c>
      <c r="C36" s="55">
        <v>15314</v>
      </c>
      <c r="D36" s="20">
        <v>45658</v>
      </c>
      <c r="E36" s="20">
        <v>45687</v>
      </c>
      <c r="F36" s="11">
        <f t="shared" si="6"/>
        <v>30</v>
      </c>
      <c r="G36" s="12">
        <v>497</v>
      </c>
      <c r="H36" s="13">
        <v>1</v>
      </c>
      <c r="I36" s="19">
        <f t="shared" si="7"/>
        <v>497</v>
      </c>
      <c r="J36" s="32" t="s">
        <v>331</v>
      </c>
      <c r="K36" s="13"/>
      <c r="L36" s="144" t="s">
        <v>582</v>
      </c>
    </row>
    <row r="37" spans="1:12" ht="13.5" customHeight="1" x14ac:dyDescent="0.2">
      <c r="A37" s="2" t="s">
        <v>33</v>
      </c>
      <c r="B37" s="76">
        <v>45512</v>
      </c>
      <c r="C37" s="55">
        <v>15315</v>
      </c>
      <c r="D37" s="20">
        <v>45658</v>
      </c>
      <c r="E37" s="20">
        <v>45687</v>
      </c>
      <c r="F37" s="11">
        <f t="shared" si="6"/>
        <v>30</v>
      </c>
      <c r="G37" s="12">
        <v>497</v>
      </c>
      <c r="H37" s="13">
        <v>1</v>
      </c>
      <c r="I37" s="19">
        <f t="shared" si="7"/>
        <v>497</v>
      </c>
      <c r="J37" s="32" t="s">
        <v>332</v>
      </c>
      <c r="K37" s="13"/>
      <c r="L37" s="144" t="s">
        <v>582</v>
      </c>
    </row>
    <row r="38" spans="1:12" ht="13.5" customHeight="1" x14ac:dyDescent="0.25">
      <c r="A38" s="14"/>
      <c r="B38" s="20"/>
      <c r="C38" s="13"/>
      <c r="D38" s="20"/>
      <c r="E38" s="20"/>
      <c r="F38" s="11"/>
      <c r="G38" s="12"/>
      <c r="H38" s="13"/>
      <c r="I38" s="19">
        <f t="shared" si="7"/>
        <v>0</v>
      </c>
      <c r="J38" s="32"/>
      <c r="K38" s="13"/>
    </row>
    <row r="39" spans="1:12" ht="13.5" customHeight="1" x14ac:dyDescent="0.25">
      <c r="A39" s="21" t="s">
        <v>333</v>
      </c>
      <c r="B39" s="26"/>
      <c r="C39" s="26"/>
      <c r="D39" s="23"/>
      <c r="E39" s="23"/>
      <c r="F39" s="24"/>
      <c r="G39" s="23"/>
      <c r="H39" s="22">
        <f>SUM(H32:H38)</f>
        <v>6</v>
      </c>
      <c r="I39" s="112">
        <f>SUM(I32:I38)</f>
        <v>1764</v>
      </c>
      <c r="J39" s="33"/>
      <c r="K39" s="116"/>
    </row>
    <row r="40" spans="1:12" ht="13.5" customHeight="1" x14ac:dyDescent="0.25">
      <c r="D40" s="8"/>
      <c r="E40" s="8"/>
      <c r="F40" s="9"/>
      <c r="G40" s="10"/>
      <c r="I40" s="10"/>
      <c r="J40" s="4"/>
    </row>
    <row r="41" spans="1:12" ht="13.5" customHeight="1" x14ac:dyDescent="0.25">
      <c r="D41" s="8"/>
      <c r="E41" s="8"/>
      <c r="F41" s="9"/>
      <c r="G41" s="10"/>
      <c r="H41" s="50">
        <f>H25+H30+H39</f>
        <v>17</v>
      </c>
      <c r="I41" s="25">
        <f>I25+I30+I39</f>
        <v>4638</v>
      </c>
      <c r="J41" s="16"/>
    </row>
    <row r="42" spans="1:12" ht="13.5" customHeight="1" x14ac:dyDescent="0.25">
      <c r="D42" s="8"/>
      <c r="E42" s="8"/>
      <c r="F42" s="9"/>
      <c r="G42" s="10"/>
      <c r="H42" s="7" t="s">
        <v>335</v>
      </c>
      <c r="I42" s="10"/>
      <c r="J42" s="16"/>
    </row>
    <row r="43" spans="1:12" ht="13.5" customHeight="1" x14ac:dyDescent="0.25">
      <c r="D43" s="8"/>
      <c r="E43" s="8"/>
      <c r="F43" s="9"/>
      <c r="G43" s="10"/>
      <c r="I43" s="10"/>
      <c r="J43" s="7"/>
    </row>
    <row r="44" spans="1:12" ht="13.5" customHeight="1" x14ac:dyDescent="0.25">
      <c r="A44" s="289" t="s">
        <v>124</v>
      </c>
      <c r="B44" s="289"/>
      <c r="C44" s="289"/>
      <c r="D44" s="289"/>
      <c r="E44" s="289"/>
      <c r="F44" s="289"/>
      <c r="G44" s="289"/>
      <c r="H44" s="289"/>
      <c r="I44" s="289"/>
      <c r="J44" s="7"/>
    </row>
    <row r="45" spans="1:12" ht="13.5" customHeight="1" x14ac:dyDescent="0.25">
      <c r="J45" s="7"/>
    </row>
    <row r="46" spans="1:12" ht="13.5" customHeight="1" x14ac:dyDescent="0.2">
      <c r="A46" s="27" t="s">
        <v>125</v>
      </c>
      <c r="B46" s="7"/>
      <c r="F46" s="71"/>
      <c r="G46" s="10"/>
      <c r="I46" s="72"/>
      <c r="J46" s="7"/>
    </row>
    <row r="47" spans="1:12" ht="60" customHeight="1" x14ac:dyDescent="0.25">
      <c r="A47" s="291"/>
      <c r="B47" s="275"/>
      <c r="C47" s="292"/>
      <c r="D47" s="290"/>
      <c r="E47" s="290"/>
      <c r="F47" s="290"/>
      <c r="G47" s="290"/>
      <c r="H47" s="290"/>
      <c r="I47" s="290"/>
      <c r="J47" s="7"/>
    </row>
    <row r="48" spans="1:12" ht="13.5" customHeight="1" x14ac:dyDescent="0.25">
      <c r="A48" s="274" t="s">
        <v>126</v>
      </c>
      <c r="B48" s="274"/>
      <c r="C48" s="274"/>
      <c r="D48" s="274" t="s">
        <v>127</v>
      </c>
      <c r="E48" s="274"/>
      <c r="F48" s="274"/>
      <c r="G48" s="274"/>
      <c r="H48" s="274"/>
      <c r="I48" s="274"/>
      <c r="J48" s="7"/>
    </row>
    <row r="49" spans="1:10" ht="13.5" customHeight="1" x14ac:dyDescent="0.25">
      <c r="D49" s="8"/>
      <c r="E49" s="8"/>
      <c r="F49" s="9"/>
      <c r="G49" s="10"/>
      <c r="I49" s="10"/>
      <c r="J49" s="7"/>
    </row>
    <row r="50" spans="1:10" ht="13.5" customHeight="1" x14ac:dyDescent="0.25">
      <c r="D50" s="8"/>
      <c r="E50" s="8"/>
      <c r="F50" s="9"/>
      <c r="G50" s="10"/>
      <c r="I50" s="10"/>
      <c r="J50" s="7"/>
    </row>
    <row r="51" spans="1:10" ht="13.5" customHeight="1" x14ac:dyDescent="0.25">
      <c r="D51" s="8"/>
      <c r="E51" s="8"/>
      <c r="F51" s="9"/>
      <c r="G51" s="10"/>
      <c r="I51" s="10"/>
      <c r="J51" s="7"/>
    </row>
    <row r="52" spans="1:10" ht="13.5" customHeight="1" x14ac:dyDescent="0.2">
      <c r="A52" s="266" t="s">
        <v>29</v>
      </c>
      <c r="B52" s="266"/>
      <c r="C52" s="266"/>
      <c r="D52" s="266"/>
      <c r="E52" s="266"/>
      <c r="F52" s="266"/>
      <c r="G52" s="51"/>
      <c r="I52" s="10"/>
      <c r="J52" s="16"/>
    </row>
    <row r="53" spans="1:10" ht="13.5" customHeight="1" x14ac:dyDescent="0.2">
      <c r="A53" s="267" t="s">
        <v>45</v>
      </c>
      <c r="B53" s="267"/>
      <c r="C53" s="267"/>
      <c r="D53" s="267"/>
      <c r="E53" s="283" t="s">
        <v>5</v>
      </c>
      <c r="F53" s="282" t="s">
        <v>6</v>
      </c>
      <c r="G53" s="52"/>
      <c r="I53" s="10"/>
      <c r="J53" s="16"/>
    </row>
    <row r="54" spans="1:10" ht="13.5" customHeight="1" x14ac:dyDescent="0.2">
      <c r="A54" s="34" t="s">
        <v>0</v>
      </c>
      <c r="B54" s="34" t="s">
        <v>3</v>
      </c>
      <c r="C54" s="34" t="s">
        <v>2</v>
      </c>
      <c r="D54" s="34" t="s">
        <v>4</v>
      </c>
      <c r="E54" s="284"/>
      <c r="F54" s="282"/>
      <c r="G54" s="53"/>
    </row>
    <row r="55" spans="1:10" ht="13.5" customHeight="1" x14ac:dyDescent="0.2">
      <c r="A55" s="2" t="s">
        <v>18</v>
      </c>
      <c r="B55" s="39"/>
      <c r="C55" s="35">
        <v>37</v>
      </c>
      <c r="D55" s="35">
        <v>0</v>
      </c>
      <c r="E55" s="13">
        <f>COUNTIFS($A$12:$A$43,"Cond Ar Janela 7.500 BTU/h")</f>
        <v>0</v>
      </c>
      <c r="F55" s="40">
        <f>B55-E55</f>
        <v>0</v>
      </c>
      <c r="G55" s="1"/>
    </row>
    <row r="56" spans="1:10" ht="13.5" customHeight="1" x14ac:dyDescent="0.2">
      <c r="A56" s="2" t="s">
        <v>19</v>
      </c>
      <c r="B56" s="39"/>
      <c r="C56" s="3">
        <v>210</v>
      </c>
      <c r="D56" s="3">
        <f t="shared" ref="D56:D65" si="8">B56*C56</f>
        <v>0</v>
      </c>
      <c r="E56" s="13">
        <f>COUNTIFS($A$12:$A$43,"Cond Ar Janela 10.000 BTU/h")</f>
        <v>0</v>
      </c>
      <c r="F56" s="40">
        <f t="shared" ref="F56:F77" si="9">B56-E56</f>
        <v>0</v>
      </c>
      <c r="G56" s="1"/>
    </row>
    <row r="57" spans="1:10" ht="13.5" customHeight="1" x14ac:dyDescent="0.2">
      <c r="A57" s="2" t="s">
        <v>20</v>
      </c>
      <c r="B57" s="39"/>
      <c r="C57" s="3">
        <v>208</v>
      </c>
      <c r="D57" s="3">
        <f t="shared" si="8"/>
        <v>0</v>
      </c>
      <c r="E57" s="13">
        <f>COUNTIFS($A$12:$A$43,"Cond Ar Janela 18.000 BTU/h")</f>
        <v>0</v>
      </c>
      <c r="F57" s="40">
        <f t="shared" si="9"/>
        <v>0</v>
      </c>
      <c r="G57" s="1"/>
    </row>
    <row r="58" spans="1:10" ht="13.5" customHeight="1" x14ac:dyDescent="0.2">
      <c r="A58" s="2" t="s">
        <v>21</v>
      </c>
      <c r="B58" s="39"/>
      <c r="C58" s="3">
        <v>57</v>
      </c>
      <c r="D58" s="3">
        <f t="shared" si="8"/>
        <v>0</v>
      </c>
      <c r="E58" s="13">
        <f>COUNTIFS($A$12:$A$43,"Cond Ar Janela 21.000 BTU/h")</f>
        <v>0</v>
      </c>
      <c r="F58" s="40">
        <f t="shared" si="9"/>
        <v>0</v>
      </c>
      <c r="G58" s="1"/>
    </row>
    <row r="59" spans="1:10" ht="13.5" customHeight="1" x14ac:dyDescent="0.2">
      <c r="A59" s="2" t="s">
        <v>22</v>
      </c>
      <c r="B59" s="39">
        <v>10</v>
      </c>
      <c r="C59" s="3">
        <v>147</v>
      </c>
      <c r="D59" s="3">
        <f t="shared" si="8"/>
        <v>1470</v>
      </c>
      <c r="E59" s="13">
        <f>COUNTIFS($A$12:$A$43,"Cond Ar Split 9.000 BTU/h Hi Wall")</f>
        <v>2</v>
      </c>
      <c r="F59" s="40">
        <f t="shared" si="9"/>
        <v>8</v>
      </c>
      <c r="G59" s="1"/>
    </row>
    <row r="60" spans="1:10" ht="13.5" customHeight="1" x14ac:dyDescent="0.2">
      <c r="A60" s="2" t="s">
        <v>23</v>
      </c>
      <c r="B60" s="39">
        <v>20</v>
      </c>
      <c r="C60" s="3">
        <v>235</v>
      </c>
      <c r="D60" s="3">
        <f t="shared" si="8"/>
        <v>4700</v>
      </c>
      <c r="E60" s="13">
        <f>COUNTIFS($A$12:$A$43,"Cond Ar Split 12.000 BTU/h Hi Wall")</f>
        <v>1</v>
      </c>
      <c r="F60" s="40">
        <f t="shared" si="9"/>
        <v>19</v>
      </c>
      <c r="G60" s="1"/>
    </row>
    <row r="61" spans="1:10" ht="13.5" customHeight="1" x14ac:dyDescent="0.2">
      <c r="A61" s="2" t="s">
        <v>24</v>
      </c>
      <c r="B61" s="39">
        <v>20</v>
      </c>
      <c r="C61" s="3">
        <v>238</v>
      </c>
      <c r="D61" s="3">
        <f t="shared" si="8"/>
        <v>4760</v>
      </c>
      <c r="E61" s="13">
        <f>COUNTIFS($A$12:$A$43,"Cond Ar Split 18.000 BTU/h Hi Wall")</f>
        <v>11</v>
      </c>
      <c r="F61" s="40">
        <f t="shared" si="9"/>
        <v>9</v>
      </c>
      <c r="G61" s="1"/>
    </row>
    <row r="62" spans="1:10" ht="13.5" customHeight="1" x14ac:dyDescent="0.2">
      <c r="A62" s="2" t="s">
        <v>25</v>
      </c>
      <c r="B62" s="39"/>
      <c r="C62" s="3">
        <v>242</v>
      </c>
      <c r="D62" s="3">
        <f t="shared" si="8"/>
        <v>0</v>
      </c>
      <c r="E62" s="13">
        <f>COUNTIFS($A$12:$A$43,"Cond Ar Split 22.000 BTU/h Hi Wall")</f>
        <v>0</v>
      </c>
      <c r="F62" s="40">
        <f t="shared" si="9"/>
        <v>0</v>
      </c>
      <c r="G62" s="1"/>
    </row>
    <row r="63" spans="1:10" ht="13.5" customHeight="1" x14ac:dyDescent="0.2">
      <c r="A63" s="2" t="s">
        <v>26</v>
      </c>
      <c r="B63" s="39"/>
      <c r="C63" s="3">
        <v>260</v>
      </c>
      <c r="D63" s="3">
        <f t="shared" si="8"/>
        <v>0</v>
      </c>
      <c r="E63" s="13">
        <f>COUNTIFS($A$12:$A$43,"Cond Ar Split 24.000 BTU/h Hi Wall")</f>
        <v>0</v>
      </c>
      <c r="F63" s="40">
        <f t="shared" si="9"/>
        <v>0</v>
      </c>
      <c r="G63" s="1"/>
    </row>
    <row r="64" spans="1:10" ht="13.5" customHeight="1" x14ac:dyDescent="0.2">
      <c r="A64" s="2" t="s">
        <v>27</v>
      </c>
      <c r="B64" s="39"/>
      <c r="C64" s="3">
        <v>347</v>
      </c>
      <c r="D64" s="3">
        <f t="shared" si="8"/>
        <v>0</v>
      </c>
      <c r="E64" s="13">
        <f>COUNTIFS($A$12:$A$43,"Cond Ar Split 30.000 BTU/h Hi Wall")</f>
        <v>0</v>
      </c>
      <c r="F64" s="40">
        <f t="shared" si="9"/>
        <v>0</v>
      </c>
      <c r="G64" s="1"/>
    </row>
    <row r="65" spans="1:9" ht="13.5" customHeight="1" x14ac:dyDescent="0.2">
      <c r="A65" s="2" t="s">
        <v>30</v>
      </c>
      <c r="B65" s="39"/>
      <c r="C65" s="3">
        <v>367</v>
      </c>
      <c r="D65" s="3">
        <f t="shared" si="8"/>
        <v>0</v>
      </c>
      <c r="E65" s="13">
        <f>COUNTIFS($A$12:$A$43,"Cond Ar Split 24.000 BTU/h Piso/Teto")</f>
        <v>0</v>
      </c>
      <c r="F65" s="40">
        <f t="shared" si="9"/>
        <v>0</v>
      </c>
      <c r="G65" s="1"/>
    </row>
    <row r="66" spans="1:9" ht="13.5" customHeight="1" x14ac:dyDescent="0.2">
      <c r="A66" s="2" t="s">
        <v>31</v>
      </c>
      <c r="B66" s="39"/>
      <c r="C66" s="3">
        <v>367</v>
      </c>
      <c r="D66" s="3">
        <f>B66*C66</f>
        <v>0</v>
      </c>
      <c r="E66" s="13">
        <f>COUNTIFS($A$12:$A$43,"Cond Ar Split 30.000 BTU/h Piso/Teto")</f>
        <v>0</v>
      </c>
      <c r="F66" s="40">
        <f t="shared" si="9"/>
        <v>0</v>
      </c>
      <c r="G66" s="1"/>
    </row>
    <row r="67" spans="1:9" ht="13.5" customHeight="1" x14ac:dyDescent="0.2">
      <c r="A67" s="2" t="s">
        <v>32</v>
      </c>
      <c r="B67" s="39"/>
      <c r="C67" s="3">
        <v>447</v>
      </c>
      <c r="D67" s="3">
        <f>B67*C67</f>
        <v>0</v>
      </c>
      <c r="E67" s="13">
        <f>COUNTIFS($A$12:$A$43,"Cond Ar Split 36.000 BTU/h Piso/Teto")</f>
        <v>0</v>
      </c>
      <c r="F67" s="40">
        <f t="shared" si="9"/>
        <v>0</v>
      </c>
      <c r="G67" s="1"/>
    </row>
    <row r="68" spans="1:9" ht="13.5" customHeight="1" x14ac:dyDescent="0.2">
      <c r="A68" s="2" t="s">
        <v>33</v>
      </c>
      <c r="B68" s="39">
        <v>8</v>
      </c>
      <c r="C68" s="3">
        <v>497</v>
      </c>
      <c r="D68" s="3">
        <f>B68*C68</f>
        <v>3976</v>
      </c>
      <c r="E68" s="13">
        <f>COUNTIFS($A$12:$A$43,"Cond Ar Split 48.000 BTU/h Piso/Teto")</f>
        <v>3</v>
      </c>
      <c r="F68" s="40">
        <f t="shared" si="9"/>
        <v>5</v>
      </c>
      <c r="G68" s="1"/>
    </row>
    <row r="69" spans="1:9" ht="13.5" customHeight="1" x14ac:dyDescent="0.2">
      <c r="A69" s="2" t="s">
        <v>34</v>
      </c>
      <c r="B69" s="39"/>
      <c r="C69" s="3">
        <v>597</v>
      </c>
      <c r="D69" s="3">
        <f t="shared" ref="D69:D77" si="10">B69*C69</f>
        <v>0</v>
      </c>
      <c r="E69" s="13">
        <f>COUNTIFS($A$12:$A$43,"Cond Ar Split 60.000 BTU/h Piso/Teto")</f>
        <v>0</v>
      </c>
      <c r="F69" s="40">
        <f t="shared" si="9"/>
        <v>0</v>
      </c>
      <c r="G69" s="1"/>
    </row>
    <row r="70" spans="1:9" s="15" customFormat="1" ht="13.5" customHeight="1" x14ac:dyDescent="0.2">
      <c r="A70" s="2" t="s">
        <v>35</v>
      </c>
      <c r="B70" s="39"/>
      <c r="C70" s="3">
        <v>395</v>
      </c>
      <c r="D70" s="3">
        <f t="shared" si="10"/>
        <v>0</v>
      </c>
      <c r="E70" s="13">
        <f>COUNTIFS($A$12:$A$43,"Cond Ar Split 18.000 BTU/h Cassete")</f>
        <v>0</v>
      </c>
      <c r="F70" s="40">
        <f t="shared" si="9"/>
        <v>0</v>
      </c>
      <c r="G70" s="1"/>
      <c r="H70" s="7"/>
      <c r="I70" s="7"/>
    </row>
    <row r="71" spans="1:9" s="15" customFormat="1" ht="13.5" customHeight="1" x14ac:dyDescent="0.2">
      <c r="A71" s="2" t="s">
        <v>36</v>
      </c>
      <c r="B71" s="39"/>
      <c r="C71" s="3">
        <v>442.75</v>
      </c>
      <c r="D71" s="3">
        <f t="shared" si="10"/>
        <v>0</v>
      </c>
      <c r="E71" s="13">
        <f>COUNTIFS($A$12:$A$43,"Cond Ar Split 24.000 BTU/h Cassete")</f>
        <v>0</v>
      </c>
      <c r="F71" s="40">
        <f t="shared" si="9"/>
        <v>0</v>
      </c>
      <c r="G71" s="1"/>
      <c r="H71" s="7"/>
      <c r="I71" s="7"/>
    </row>
    <row r="72" spans="1:9" s="15" customFormat="1" ht="13.5" customHeight="1" x14ac:dyDescent="0.2">
      <c r="A72" s="2" t="s">
        <v>37</v>
      </c>
      <c r="B72" s="39"/>
      <c r="C72" s="3">
        <v>430</v>
      </c>
      <c r="D72" s="3">
        <f t="shared" si="10"/>
        <v>0</v>
      </c>
      <c r="E72" s="13">
        <f>COUNTIFS($A$12:$A$43,"Cond Ar Split 30.000 BTU/h Cassete")</f>
        <v>0</v>
      </c>
      <c r="F72" s="40">
        <f t="shared" si="9"/>
        <v>0</v>
      </c>
      <c r="G72" s="1"/>
      <c r="H72" s="7"/>
      <c r="I72" s="7"/>
    </row>
    <row r="73" spans="1:9" s="15" customFormat="1" ht="13.5" customHeight="1" x14ac:dyDescent="0.2">
      <c r="A73" s="2" t="s">
        <v>38</v>
      </c>
      <c r="B73" s="39"/>
      <c r="C73" s="3">
        <v>478</v>
      </c>
      <c r="D73" s="3">
        <f t="shared" si="10"/>
        <v>0</v>
      </c>
      <c r="E73" s="13">
        <f>COUNTIFS($A$12:$A$43,"Cond Ar Split 36.000 BTU/h Cassete")</f>
        <v>0</v>
      </c>
      <c r="F73" s="40">
        <f t="shared" si="9"/>
        <v>0</v>
      </c>
      <c r="G73" s="1"/>
      <c r="H73" s="7"/>
      <c r="I73" s="7"/>
    </row>
    <row r="74" spans="1:9" s="15" customFormat="1" ht="13.5" customHeight="1" x14ac:dyDescent="0.2">
      <c r="A74" s="2" t="s">
        <v>39</v>
      </c>
      <c r="B74" s="39"/>
      <c r="C74" s="3">
        <v>577</v>
      </c>
      <c r="D74" s="3">
        <f t="shared" si="10"/>
        <v>0</v>
      </c>
      <c r="E74" s="13">
        <f>COUNTIFS($A$12:$A$43,"Cond Ar Split 48.000 BTU/h Cassete")</f>
        <v>0</v>
      </c>
      <c r="F74" s="40">
        <f t="shared" si="9"/>
        <v>0</v>
      </c>
      <c r="G74" s="1"/>
      <c r="H74" s="7"/>
      <c r="I74" s="7"/>
    </row>
    <row r="75" spans="1:9" s="15" customFormat="1" ht="13.5" customHeight="1" x14ac:dyDescent="0.2">
      <c r="A75" s="2" t="s">
        <v>40</v>
      </c>
      <c r="B75" s="39"/>
      <c r="C75" s="3">
        <v>645</v>
      </c>
      <c r="D75" s="3">
        <f t="shared" si="10"/>
        <v>0</v>
      </c>
      <c r="E75" s="13">
        <f>COUNTIFS($A$12:$A$43,"Cond Ar Split 60.000 BTU/h Cassete")</f>
        <v>0</v>
      </c>
      <c r="F75" s="40">
        <f t="shared" si="9"/>
        <v>0</v>
      </c>
      <c r="G75" s="1"/>
      <c r="H75" s="7"/>
      <c r="I75" s="7"/>
    </row>
    <row r="76" spans="1:9" s="15" customFormat="1" ht="13.5" customHeight="1" x14ac:dyDescent="0.2">
      <c r="A76" s="2" t="s">
        <v>41</v>
      </c>
      <c r="B76" s="39"/>
      <c r="C76" s="3">
        <v>147</v>
      </c>
      <c r="D76" s="3">
        <f t="shared" si="10"/>
        <v>0</v>
      </c>
      <c r="E76" s="13">
        <f>COUNTIFS($A$12:$A$43,"Cond Ar Tri Split 36.000 BTU/h (3x12.000)")</f>
        <v>0</v>
      </c>
      <c r="F76" s="40">
        <f t="shared" si="9"/>
        <v>0</v>
      </c>
      <c r="G76" s="1"/>
      <c r="H76" s="7"/>
      <c r="I76" s="7"/>
    </row>
    <row r="77" spans="1:9" s="15" customFormat="1" ht="13.5" customHeight="1" x14ac:dyDescent="0.2">
      <c r="A77" s="2" t="s">
        <v>42</v>
      </c>
      <c r="B77" s="39"/>
      <c r="C77" s="3">
        <v>100</v>
      </c>
      <c r="D77" s="3">
        <f t="shared" si="10"/>
        <v>0</v>
      </c>
      <c r="E77" s="13">
        <f>COUNTIFS($A$12:$A$43,"Cond Ar Portátil 12.000 BTU/h")</f>
        <v>0</v>
      </c>
      <c r="F77" s="40">
        <f t="shared" si="9"/>
        <v>0</v>
      </c>
      <c r="G77" s="1"/>
      <c r="H77" s="7"/>
      <c r="I77" s="7"/>
    </row>
    <row r="78" spans="1:9" s="15" customFormat="1" ht="13.5" customHeight="1" x14ac:dyDescent="0.2">
      <c r="A78" s="36" t="s">
        <v>7</v>
      </c>
      <c r="B78" s="22">
        <f>SUM(B55:B77)</f>
        <v>58</v>
      </c>
      <c r="C78" s="38"/>
      <c r="D78" s="37">
        <f>SUM(D55:D77)</f>
        <v>14906</v>
      </c>
      <c r="E78" s="22">
        <f>SUM(E55:E77)</f>
        <v>17</v>
      </c>
      <c r="F78" s="41">
        <f>SUM(F55:F77)</f>
        <v>41</v>
      </c>
      <c r="G78" s="54"/>
      <c r="H78" s="7"/>
      <c r="I78" s="7"/>
    </row>
    <row r="82" spans="1:10" s="15" customFormat="1" ht="13.5" customHeight="1" x14ac:dyDescent="0.25">
      <c r="A82" s="7"/>
      <c r="C82" s="7"/>
      <c r="D82" s="7"/>
      <c r="E82" s="7"/>
      <c r="F82" s="17"/>
      <c r="G82" s="7"/>
      <c r="H82" s="7"/>
      <c r="I82" s="7"/>
      <c r="J82" s="16"/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47:C47"/>
    <mergeCell ref="D47:I47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44:I44"/>
    <mergeCell ref="A48:C48"/>
    <mergeCell ref="D48:I48"/>
    <mergeCell ref="A52:F52"/>
    <mergeCell ref="A53:D53"/>
    <mergeCell ref="E53:E54"/>
    <mergeCell ref="F53:F5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31">
    <pageSetUpPr fitToPage="1"/>
  </sheetPr>
  <dimension ref="A1:I24"/>
  <sheetViews>
    <sheetView showGridLines="0" workbookViewId="0">
      <pane ySplit="11" topLeftCell="A12" activePane="bottomLeft" state="frozen"/>
      <selection activeCell="H18" sqref="H18"/>
      <selection pane="bottomLeft" activeCell="D23" sqref="D23:F23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242</v>
      </c>
      <c r="B8" s="297"/>
      <c r="C8" s="297"/>
      <c r="D8" s="297"/>
      <c r="E8" s="297"/>
      <c r="F8" s="298"/>
    </row>
    <row r="9" spans="1:6" ht="13.5" customHeight="1" x14ac:dyDescent="0.25">
      <c r="A9" s="60" t="s">
        <v>187</v>
      </c>
      <c r="B9" s="270" t="s">
        <v>188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>
        <f t="shared" ref="F12:F16" si="0">D12/30*C12*E12</f>
        <v>0</v>
      </c>
    </row>
    <row r="13" spans="1:6" ht="13.5" customHeight="1" x14ac:dyDescent="0.2">
      <c r="A13" s="175"/>
      <c r="B13" s="176"/>
      <c r="C13" s="155"/>
      <c r="D13" s="104"/>
      <c r="E13" s="82"/>
      <c r="F13" s="109">
        <f t="shared" si="0"/>
        <v>0</v>
      </c>
    </row>
    <row r="14" spans="1:6" ht="13.5" customHeight="1" x14ac:dyDescent="0.2">
      <c r="A14" s="175"/>
      <c r="B14" s="176"/>
      <c r="C14" s="155"/>
      <c r="D14" s="104"/>
      <c r="E14" s="82"/>
      <c r="F14" s="109">
        <f t="shared" si="0"/>
        <v>0</v>
      </c>
    </row>
    <row r="15" spans="1:6" ht="13.5" customHeight="1" x14ac:dyDescent="0.2">
      <c r="A15" s="175"/>
      <c r="B15" s="176"/>
      <c r="C15" s="155"/>
      <c r="D15" s="104"/>
      <c r="E15" s="82"/>
      <c r="F15" s="109">
        <f t="shared" si="0"/>
        <v>0</v>
      </c>
    </row>
    <row r="16" spans="1:6" ht="13.5" customHeight="1" x14ac:dyDescent="0.2">
      <c r="A16" s="313"/>
      <c r="B16" s="321"/>
      <c r="C16" s="102"/>
      <c r="D16" s="104"/>
      <c r="E16" s="82"/>
      <c r="F16" s="109">
        <f t="shared" si="0"/>
        <v>0</v>
      </c>
    </row>
    <row r="17" spans="1:9" ht="13.5" customHeight="1" x14ac:dyDescent="0.25">
      <c r="A17" s="271" t="s">
        <v>181</v>
      </c>
      <c r="B17" s="273"/>
      <c r="C17" s="58">
        <f>SUM(C12:C16)</f>
        <v>0</v>
      </c>
      <c r="D17" s="57"/>
      <c r="E17" s="57"/>
      <c r="F17" s="73">
        <f>SUM(F12:F16)</f>
        <v>0</v>
      </c>
    </row>
    <row r="18" spans="1:9" ht="13.5" customHeight="1" x14ac:dyDescent="0.25">
      <c r="A18" s="105"/>
      <c r="B18" s="105"/>
      <c r="C18" s="105"/>
      <c r="D18" s="106"/>
      <c r="E18" s="107"/>
      <c r="F18" s="108"/>
    </row>
    <row r="20" spans="1:9" ht="13.5" customHeight="1" x14ac:dyDescent="0.25">
      <c r="A20" s="289" t="s">
        <v>124</v>
      </c>
      <c r="B20" s="289"/>
      <c r="C20" s="289"/>
      <c r="D20" s="289"/>
      <c r="E20" s="289"/>
      <c r="F20" s="289"/>
      <c r="G20" s="74"/>
      <c r="H20" s="74"/>
      <c r="I20" s="74"/>
    </row>
    <row r="22" spans="1:9" ht="13.5" customHeight="1" x14ac:dyDescent="0.2">
      <c r="A22" s="27" t="s">
        <v>125</v>
      </c>
      <c r="B22" s="27"/>
      <c r="F22" s="110"/>
      <c r="G22" s="10"/>
      <c r="I22" s="111"/>
    </row>
    <row r="23" spans="1:9" ht="60" customHeight="1" x14ac:dyDescent="0.25">
      <c r="A23" s="291"/>
      <c r="B23" s="275"/>
      <c r="C23" s="292"/>
      <c r="D23" s="290"/>
      <c r="E23" s="290"/>
      <c r="F23" s="290"/>
    </row>
    <row r="24" spans="1:9" ht="13.5" customHeight="1" x14ac:dyDescent="0.25">
      <c r="A24" s="274" t="s">
        <v>126</v>
      </c>
      <c r="B24" s="274"/>
      <c r="C24" s="274"/>
      <c r="D24" s="75"/>
      <c r="E24" s="75" t="s">
        <v>127</v>
      </c>
      <c r="F24" s="75"/>
      <c r="G24" s="27"/>
      <c r="H24" s="27"/>
      <c r="I24" s="27"/>
    </row>
  </sheetData>
  <mergeCells count="18">
    <mergeCell ref="A1:F1"/>
    <mergeCell ref="A3:F3"/>
    <mergeCell ref="A4:C4"/>
    <mergeCell ref="D4:E4"/>
    <mergeCell ref="A5:C5"/>
    <mergeCell ref="D5:E5"/>
    <mergeCell ref="A12:B12"/>
    <mergeCell ref="A7:F7"/>
    <mergeCell ref="A8:F8"/>
    <mergeCell ref="B9:D9"/>
    <mergeCell ref="E9:F9"/>
    <mergeCell ref="A11:B11"/>
    <mergeCell ref="A24:C24"/>
    <mergeCell ref="A16:B16"/>
    <mergeCell ref="A17:B17"/>
    <mergeCell ref="A20:F20"/>
    <mergeCell ref="A23:C23"/>
    <mergeCell ref="D23:F23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32">
    <pageSetUpPr fitToPage="1"/>
  </sheetPr>
  <dimension ref="A1:L69"/>
  <sheetViews>
    <sheetView showGridLines="0" workbookViewId="0">
      <pane ySplit="13" topLeftCell="A26" activePane="bottomLeft" state="frozen"/>
      <selection activeCell="Q28" sqref="Q28"/>
      <selection pane="bottomLeft" activeCell="D19" sqref="D19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346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345</v>
      </c>
      <c r="B9" s="270"/>
      <c r="C9" s="271" t="s">
        <v>347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32</v>
      </c>
      <c r="B15" s="76">
        <v>45546</v>
      </c>
      <c r="C15" s="55">
        <v>10998</v>
      </c>
      <c r="D15" s="20">
        <v>45658</v>
      </c>
      <c r="E15" s="20">
        <v>45687</v>
      </c>
      <c r="F15" s="11">
        <f>(E15-D15)+1</f>
        <v>30</v>
      </c>
      <c r="G15" s="12">
        <v>447</v>
      </c>
      <c r="H15" s="13">
        <v>1</v>
      </c>
      <c r="I15" s="19">
        <f>G15/30*H15*F15</f>
        <v>447</v>
      </c>
      <c r="J15" s="32" t="s">
        <v>299</v>
      </c>
      <c r="K15" s="13">
        <v>67900</v>
      </c>
    </row>
    <row r="16" spans="1:11" ht="13.5" customHeight="1" x14ac:dyDescent="0.2">
      <c r="A16" s="2" t="s">
        <v>30</v>
      </c>
      <c r="B16" s="76">
        <v>45581</v>
      </c>
      <c r="C16" s="177">
        <v>12847</v>
      </c>
      <c r="D16" s="20">
        <v>45658</v>
      </c>
      <c r="E16" s="20">
        <v>45687</v>
      </c>
      <c r="F16" s="11">
        <f t="shared" ref="F16:F24" si="0">(E16-D16)+1</f>
        <v>30</v>
      </c>
      <c r="G16" s="12">
        <v>367</v>
      </c>
      <c r="H16" s="13">
        <v>1</v>
      </c>
      <c r="I16" s="19">
        <f t="shared" ref="I16:I24" si="1">G16/30*H16*F16</f>
        <v>367</v>
      </c>
      <c r="J16" s="32" t="s">
        <v>720</v>
      </c>
      <c r="K16" s="13" t="s">
        <v>721</v>
      </c>
    </row>
    <row r="17" spans="1:12" ht="13.5" customHeight="1" x14ac:dyDescent="0.2">
      <c r="A17" s="2" t="s">
        <v>34</v>
      </c>
      <c r="B17" s="76">
        <v>45582</v>
      </c>
      <c r="C17" s="177">
        <v>6797</v>
      </c>
      <c r="D17" s="20">
        <v>45658</v>
      </c>
      <c r="E17" s="20">
        <v>45687</v>
      </c>
      <c r="F17" s="11">
        <f t="shared" si="0"/>
        <v>30</v>
      </c>
      <c r="G17" s="12">
        <v>597</v>
      </c>
      <c r="H17" s="13">
        <v>1</v>
      </c>
      <c r="I17" s="19">
        <f t="shared" si="1"/>
        <v>597</v>
      </c>
      <c r="J17" s="32" t="s">
        <v>722</v>
      </c>
      <c r="K17" s="13">
        <v>70082</v>
      </c>
    </row>
    <row r="18" spans="1:12" ht="13.5" customHeight="1" x14ac:dyDescent="0.2">
      <c r="A18" s="2" t="s">
        <v>30</v>
      </c>
      <c r="B18" s="76">
        <v>45638</v>
      </c>
      <c r="C18" s="177">
        <v>7370</v>
      </c>
      <c r="D18" s="20">
        <v>45658</v>
      </c>
      <c r="E18" s="20">
        <v>45687</v>
      </c>
      <c r="F18" s="11">
        <f t="shared" si="0"/>
        <v>30</v>
      </c>
      <c r="G18" s="12">
        <v>367</v>
      </c>
      <c r="H18" s="13">
        <v>1</v>
      </c>
      <c r="I18" s="19">
        <f t="shared" si="1"/>
        <v>367</v>
      </c>
      <c r="J18" s="32" t="s">
        <v>979</v>
      </c>
      <c r="K18" s="13">
        <v>72767</v>
      </c>
      <c r="L18" s="7" t="s">
        <v>988</v>
      </c>
    </row>
    <row r="19" spans="1:12" ht="13.5" customHeight="1" x14ac:dyDescent="0.2">
      <c r="A19" s="2" t="s">
        <v>24</v>
      </c>
      <c r="B19" s="76">
        <v>45638</v>
      </c>
      <c r="C19" s="177">
        <v>17163</v>
      </c>
      <c r="D19" s="20">
        <v>45658</v>
      </c>
      <c r="E19" s="20">
        <v>45687</v>
      </c>
      <c r="F19" s="11">
        <f t="shared" si="0"/>
        <v>30</v>
      </c>
      <c r="G19" s="12">
        <v>238</v>
      </c>
      <c r="H19" s="13">
        <v>1</v>
      </c>
      <c r="I19" s="19">
        <f t="shared" si="1"/>
        <v>238</v>
      </c>
      <c r="J19" s="32" t="s">
        <v>979</v>
      </c>
      <c r="K19" s="13">
        <v>72767</v>
      </c>
    </row>
    <row r="20" spans="1:12" ht="13.5" customHeight="1" x14ac:dyDescent="0.2">
      <c r="A20" s="2" t="s">
        <v>23</v>
      </c>
      <c r="B20" s="76">
        <v>45638</v>
      </c>
      <c r="C20" s="228">
        <v>15304</v>
      </c>
      <c r="D20" s="20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32" t="s">
        <v>380</v>
      </c>
      <c r="K20" s="13">
        <v>72767</v>
      </c>
    </row>
    <row r="21" spans="1:12" ht="13.5" customHeight="1" x14ac:dyDescent="0.2">
      <c r="A21" s="2" t="s">
        <v>23</v>
      </c>
      <c r="B21" s="221">
        <v>45638</v>
      </c>
      <c r="C21" s="177">
        <v>15202</v>
      </c>
      <c r="D21" s="20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32" t="s">
        <v>980</v>
      </c>
      <c r="K21" s="13">
        <v>72767</v>
      </c>
    </row>
    <row r="22" spans="1:12" ht="13.5" customHeight="1" x14ac:dyDescent="0.2">
      <c r="A22" s="2" t="s">
        <v>26</v>
      </c>
      <c r="B22" s="221">
        <v>45638</v>
      </c>
      <c r="C22" s="177">
        <v>17171</v>
      </c>
      <c r="D22" s="20">
        <v>45658</v>
      </c>
      <c r="E22" s="20">
        <v>45687</v>
      </c>
      <c r="F22" s="11">
        <f t="shared" si="0"/>
        <v>30</v>
      </c>
      <c r="G22" s="12">
        <v>260</v>
      </c>
      <c r="H22" s="13">
        <v>1</v>
      </c>
      <c r="I22" s="19">
        <f t="shared" si="1"/>
        <v>260</v>
      </c>
      <c r="J22" s="32" t="s">
        <v>380</v>
      </c>
      <c r="K22" s="13">
        <v>72767</v>
      </c>
    </row>
    <row r="23" spans="1:12" ht="13.5" customHeight="1" x14ac:dyDescent="0.2">
      <c r="A23" s="2" t="s">
        <v>24</v>
      </c>
      <c r="B23" s="221">
        <v>45638</v>
      </c>
      <c r="C23" s="177">
        <v>17163</v>
      </c>
      <c r="D23" s="20">
        <v>45658</v>
      </c>
      <c r="E23" s="20">
        <v>45687</v>
      </c>
      <c r="F23" s="11">
        <f t="shared" si="0"/>
        <v>30</v>
      </c>
      <c r="G23" s="12">
        <v>238</v>
      </c>
      <c r="H23" s="13">
        <v>1</v>
      </c>
      <c r="I23" s="19">
        <f t="shared" si="1"/>
        <v>238</v>
      </c>
      <c r="J23" s="32" t="s">
        <v>323</v>
      </c>
      <c r="K23" s="13">
        <v>72767</v>
      </c>
    </row>
    <row r="24" spans="1:12" ht="13.5" customHeight="1" x14ac:dyDescent="0.2">
      <c r="A24" s="2" t="s">
        <v>24</v>
      </c>
      <c r="B24" s="76">
        <v>45638</v>
      </c>
      <c r="C24" s="177">
        <v>17166</v>
      </c>
      <c r="D24" s="20">
        <v>45658</v>
      </c>
      <c r="E24" s="20">
        <v>45687</v>
      </c>
      <c r="F24" s="11">
        <f t="shared" si="0"/>
        <v>30</v>
      </c>
      <c r="G24" s="12">
        <v>238</v>
      </c>
      <c r="H24" s="13">
        <v>1</v>
      </c>
      <c r="I24" s="19">
        <f t="shared" si="1"/>
        <v>238</v>
      </c>
      <c r="J24" s="32" t="s">
        <v>379</v>
      </c>
      <c r="K24" s="13">
        <v>72767</v>
      </c>
    </row>
    <row r="25" spans="1:12" ht="13.5" customHeight="1" x14ac:dyDescent="0.25">
      <c r="A25" s="14"/>
      <c r="B25" s="20"/>
      <c r="C25" s="13"/>
      <c r="D25" s="20"/>
      <c r="E25" s="20"/>
      <c r="F25" s="11"/>
      <c r="G25" s="12"/>
      <c r="H25" s="13"/>
      <c r="I25" s="19"/>
      <c r="J25" s="32"/>
      <c r="K25" s="13"/>
    </row>
    <row r="26" spans="1:12" ht="13.5" customHeight="1" x14ac:dyDescent="0.25">
      <c r="A26" s="21" t="s">
        <v>181</v>
      </c>
      <c r="B26" s="26"/>
      <c r="C26" s="137"/>
      <c r="D26" s="23"/>
      <c r="E26" s="23"/>
      <c r="F26" s="24"/>
      <c r="G26" s="23"/>
      <c r="H26" s="22">
        <f>SUM(H15:H25)</f>
        <v>10</v>
      </c>
      <c r="I26" s="112">
        <f>SUM(I15:I25)</f>
        <v>3222</v>
      </c>
      <c r="J26" s="33"/>
      <c r="K26" s="116"/>
    </row>
    <row r="27" spans="1:12" ht="13.5" customHeight="1" x14ac:dyDescent="0.25">
      <c r="D27" s="8"/>
      <c r="E27" s="8"/>
      <c r="F27" s="9"/>
      <c r="G27" s="10"/>
      <c r="I27" s="10"/>
      <c r="J27" s="4"/>
    </row>
    <row r="28" spans="1:12" ht="13.5" customHeight="1" x14ac:dyDescent="0.25">
      <c r="D28" s="8"/>
      <c r="E28" s="8"/>
      <c r="F28" s="9"/>
      <c r="G28" s="10"/>
      <c r="H28" s="50">
        <f>H26</f>
        <v>10</v>
      </c>
      <c r="I28" s="25">
        <f>I26</f>
        <v>3222</v>
      </c>
      <c r="J28" s="16"/>
    </row>
    <row r="29" spans="1:12" ht="13.5" customHeight="1" x14ac:dyDescent="0.25">
      <c r="D29" s="8"/>
      <c r="E29" s="8"/>
      <c r="F29" s="9"/>
      <c r="G29" s="10"/>
      <c r="I29" s="10"/>
      <c r="J29" s="16"/>
    </row>
    <row r="30" spans="1:12" ht="13.5" customHeight="1" x14ac:dyDescent="0.25">
      <c r="D30" s="8"/>
      <c r="E30" s="8"/>
      <c r="F30" s="9"/>
      <c r="G30" s="10"/>
      <c r="I30" s="10"/>
      <c r="J30" s="7"/>
    </row>
    <row r="31" spans="1:12" ht="13.5" customHeight="1" x14ac:dyDescent="0.25">
      <c r="A31" s="289" t="s">
        <v>124</v>
      </c>
      <c r="B31" s="289"/>
      <c r="C31" s="289"/>
      <c r="D31" s="289"/>
      <c r="E31" s="289"/>
      <c r="F31" s="289"/>
      <c r="G31" s="289"/>
      <c r="H31" s="289"/>
      <c r="I31" s="289"/>
      <c r="J31" s="7"/>
    </row>
    <row r="32" spans="1:12" ht="13.5" customHeight="1" x14ac:dyDescent="0.25">
      <c r="J32" s="7"/>
    </row>
    <row r="33" spans="1:10" ht="13.5" customHeight="1" x14ac:dyDescent="0.2">
      <c r="A33" s="27" t="s">
        <v>125</v>
      </c>
      <c r="B33" s="7"/>
      <c r="F33" s="71"/>
      <c r="G33" s="10"/>
      <c r="I33" s="72"/>
      <c r="J33" s="7"/>
    </row>
    <row r="34" spans="1:10" ht="60" customHeight="1" x14ac:dyDescent="0.25">
      <c r="A34" s="291"/>
      <c r="B34" s="275"/>
      <c r="C34" s="292"/>
      <c r="D34" s="290"/>
      <c r="E34" s="290"/>
      <c r="F34" s="290"/>
      <c r="G34" s="290"/>
      <c r="H34" s="290"/>
      <c r="I34" s="290"/>
      <c r="J34" s="7"/>
    </row>
    <row r="35" spans="1:10" ht="13.5" customHeight="1" x14ac:dyDescent="0.25">
      <c r="A35" s="274" t="s">
        <v>126</v>
      </c>
      <c r="B35" s="274"/>
      <c r="C35" s="274"/>
      <c r="D35" s="274" t="s">
        <v>127</v>
      </c>
      <c r="E35" s="274"/>
      <c r="F35" s="274"/>
      <c r="G35" s="274"/>
      <c r="H35" s="274"/>
      <c r="I35" s="274"/>
      <c r="J35" s="7"/>
    </row>
    <row r="36" spans="1:10" ht="13.5" customHeight="1" x14ac:dyDescent="0.25">
      <c r="D36" s="8"/>
      <c r="E36" s="8"/>
      <c r="F36" s="9"/>
      <c r="G36" s="10"/>
      <c r="I36" s="10"/>
      <c r="J36" s="7"/>
    </row>
    <row r="37" spans="1:10" ht="13.5" customHeight="1" x14ac:dyDescent="0.25">
      <c r="D37" s="8"/>
      <c r="E37" s="8"/>
      <c r="F37" s="9"/>
      <c r="G37" s="10"/>
      <c r="I37" s="10"/>
      <c r="J37" s="7"/>
    </row>
    <row r="38" spans="1:10" ht="13.5" customHeight="1" x14ac:dyDescent="0.25">
      <c r="D38" s="8"/>
      <c r="E38" s="8"/>
      <c r="F38" s="9"/>
      <c r="G38" s="10"/>
      <c r="I38" s="10"/>
      <c r="J38" s="7"/>
    </row>
    <row r="39" spans="1:10" ht="13.5" customHeight="1" x14ac:dyDescent="0.2">
      <c r="A39" s="266" t="s">
        <v>29</v>
      </c>
      <c r="B39" s="266"/>
      <c r="C39" s="266"/>
      <c r="D39" s="266"/>
      <c r="E39" s="266"/>
      <c r="F39" s="266"/>
      <c r="G39" s="51"/>
      <c r="I39" s="10"/>
      <c r="J39" s="16"/>
    </row>
    <row r="40" spans="1:10" ht="13.5" customHeight="1" x14ac:dyDescent="0.2">
      <c r="A40" s="267" t="s">
        <v>45</v>
      </c>
      <c r="B40" s="267"/>
      <c r="C40" s="267"/>
      <c r="D40" s="267"/>
      <c r="E40" s="283" t="s">
        <v>5</v>
      </c>
      <c r="F40" s="282" t="s">
        <v>6</v>
      </c>
      <c r="G40" s="52"/>
      <c r="I40" s="10"/>
      <c r="J40" s="16"/>
    </row>
    <row r="41" spans="1:10" ht="13.5" customHeight="1" x14ac:dyDescent="0.2">
      <c r="A41" s="34" t="s">
        <v>0</v>
      </c>
      <c r="B41" s="34" t="s">
        <v>3</v>
      </c>
      <c r="C41" s="34" t="s">
        <v>2</v>
      </c>
      <c r="D41" s="34" t="s">
        <v>4</v>
      </c>
      <c r="E41" s="284"/>
      <c r="F41" s="282"/>
      <c r="G41" s="53"/>
    </row>
    <row r="42" spans="1:10" ht="13.5" customHeight="1" x14ac:dyDescent="0.2">
      <c r="A42" s="2" t="s">
        <v>18</v>
      </c>
      <c r="B42" s="39"/>
      <c r="C42" s="35">
        <v>37</v>
      </c>
      <c r="D42" s="35">
        <v>0</v>
      </c>
      <c r="E42" s="13">
        <f>COUNTIFS($A$12:$A$30,"Cond Ar Janela 7.500 BTU/h")</f>
        <v>0</v>
      </c>
      <c r="F42" s="40"/>
      <c r="G42" s="1"/>
    </row>
    <row r="43" spans="1:10" ht="13.5" customHeight="1" x14ac:dyDescent="0.2">
      <c r="A43" s="2" t="s">
        <v>19</v>
      </c>
      <c r="B43" s="39"/>
      <c r="C43" s="3">
        <v>210</v>
      </c>
      <c r="D43" s="3">
        <f t="shared" ref="D43:D52" si="2">B43*C43</f>
        <v>0</v>
      </c>
      <c r="E43" s="13">
        <f>COUNTIFS($A$12:$A$30,"Cond Ar Janela 10.000 BTU/h")</f>
        <v>0</v>
      </c>
      <c r="F43" s="40"/>
      <c r="G43" s="1"/>
    </row>
    <row r="44" spans="1:10" ht="13.5" customHeight="1" x14ac:dyDescent="0.2">
      <c r="A44" s="2" t="s">
        <v>20</v>
      </c>
      <c r="B44" s="39"/>
      <c r="C44" s="3">
        <v>208</v>
      </c>
      <c r="D44" s="3">
        <f t="shared" si="2"/>
        <v>0</v>
      </c>
      <c r="E44" s="13">
        <f>COUNTIFS($A$12:$A$30,"Cond Ar Janela 18.000 BTU/h")</f>
        <v>0</v>
      </c>
      <c r="F44" s="40"/>
      <c r="G44" s="1"/>
    </row>
    <row r="45" spans="1:10" ht="13.5" customHeight="1" x14ac:dyDescent="0.2">
      <c r="A45" s="2" t="s">
        <v>21</v>
      </c>
      <c r="B45" s="39"/>
      <c r="C45" s="3">
        <v>57</v>
      </c>
      <c r="D45" s="3">
        <f t="shared" si="2"/>
        <v>0</v>
      </c>
      <c r="E45" s="13">
        <f>COUNTIFS($A$12:$A$30,"Cond Ar Janela 21.000 BTU/h")</f>
        <v>0</v>
      </c>
      <c r="F45" s="40"/>
      <c r="G45" s="1"/>
    </row>
    <row r="46" spans="1:10" ht="13.5" customHeight="1" x14ac:dyDescent="0.2">
      <c r="A46" s="2" t="s">
        <v>22</v>
      </c>
      <c r="B46" s="39"/>
      <c r="C46" s="3">
        <v>147</v>
      </c>
      <c r="D46" s="3">
        <f t="shared" si="2"/>
        <v>0</v>
      </c>
      <c r="E46" s="13">
        <f>COUNTIFS($A$12:$A$30,"Cond Ar Split 9.000 BTU/h Hi Wall")</f>
        <v>0</v>
      </c>
      <c r="F46" s="40"/>
      <c r="G46" s="1"/>
    </row>
    <row r="47" spans="1:10" ht="13.5" customHeight="1" x14ac:dyDescent="0.2">
      <c r="A47" s="2" t="s">
        <v>23</v>
      </c>
      <c r="B47" s="39">
        <v>3</v>
      </c>
      <c r="C47" s="3">
        <v>235</v>
      </c>
      <c r="D47" s="3">
        <f t="shared" si="2"/>
        <v>705</v>
      </c>
      <c r="E47" s="13">
        <f>COUNTIFS($A$12:$A$30,"Cond Ar Split 12.000 BTU/h Hi Wall")</f>
        <v>2</v>
      </c>
      <c r="F47" s="40"/>
      <c r="G47" s="1"/>
    </row>
    <row r="48" spans="1:10" ht="13.5" customHeight="1" x14ac:dyDescent="0.2">
      <c r="A48" s="2" t="s">
        <v>24</v>
      </c>
      <c r="B48" s="39">
        <v>7</v>
      </c>
      <c r="C48" s="3">
        <v>238</v>
      </c>
      <c r="D48" s="3">
        <f t="shared" si="2"/>
        <v>1666</v>
      </c>
      <c r="E48" s="13">
        <f>COUNTIFS($A$12:$A$30,"Cond Ar Split 18.000 BTU/h Hi Wall")</f>
        <v>3</v>
      </c>
      <c r="F48" s="40"/>
      <c r="G48" s="1"/>
    </row>
    <row r="49" spans="1:7" ht="13.5" customHeight="1" x14ac:dyDescent="0.2">
      <c r="A49" s="2" t="s">
        <v>25</v>
      </c>
      <c r="B49" s="39"/>
      <c r="C49" s="3">
        <v>242</v>
      </c>
      <c r="D49" s="3">
        <f t="shared" si="2"/>
        <v>0</v>
      </c>
      <c r="E49" s="13">
        <f>COUNTIFS($A$12:$A$30,"Cond Ar Split 22.000 BTU/h Hi Wall")</f>
        <v>0</v>
      </c>
      <c r="F49" s="40"/>
      <c r="G49" s="1"/>
    </row>
    <row r="50" spans="1:7" ht="13.5" customHeight="1" x14ac:dyDescent="0.2">
      <c r="A50" s="2" t="s">
        <v>26</v>
      </c>
      <c r="B50" s="39">
        <v>1</v>
      </c>
      <c r="C50" s="3">
        <v>260</v>
      </c>
      <c r="D50" s="3">
        <f t="shared" si="2"/>
        <v>260</v>
      </c>
      <c r="E50" s="13">
        <f>COUNTIFS($A$12:$A$30,"Cond Ar Split 24.000 BTU/h Hi Wall")</f>
        <v>1</v>
      </c>
      <c r="F50" s="40"/>
      <c r="G50" s="1"/>
    </row>
    <row r="51" spans="1:7" ht="13.5" customHeight="1" x14ac:dyDescent="0.2">
      <c r="A51" s="2" t="s">
        <v>27</v>
      </c>
      <c r="B51" s="39"/>
      <c r="C51" s="3">
        <v>347</v>
      </c>
      <c r="D51" s="3">
        <f t="shared" si="2"/>
        <v>0</v>
      </c>
      <c r="E51" s="13">
        <f>COUNTIFS($A$12:$A$30,"Cond Ar Split 30.000 BTU/h Hi Wall")</f>
        <v>0</v>
      </c>
      <c r="F51" s="40"/>
      <c r="G51" s="1"/>
    </row>
    <row r="52" spans="1:7" ht="13.5" customHeight="1" x14ac:dyDescent="0.2">
      <c r="A52" s="2" t="s">
        <v>30</v>
      </c>
      <c r="B52" s="39">
        <v>2</v>
      </c>
      <c r="C52" s="3">
        <v>367</v>
      </c>
      <c r="D52" s="3">
        <f t="shared" si="2"/>
        <v>734</v>
      </c>
      <c r="E52" s="13">
        <f>COUNTIFS($A$12:$A$30,"Cond Ar Split 24.000 BTU/h Piso/Teto")</f>
        <v>2</v>
      </c>
      <c r="F52" s="40"/>
      <c r="G52" s="1"/>
    </row>
    <row r="53" spans="1:7" ht="13.5" customHeight="1" x14ac:dyDescent="0.2">
      <c r="A53" s="2" t="s">
        <v>31</v>
      </c>
      <c r="B53" s="39"/>
      <c r="C53" s="3">
        <v>367</v>
      </c>
      <c r="D53" s="3">
        <f>B53*C53</f>
        <v>0</v>
      </c>
      <c r="E53" s="13">
        <f>COUNTIFS($A$12:$A$30,"Cond Ar Split 30.000 BTU/h Piso/Teto")</f>
        <v>0</v>
      </c>
      <c r="F53" s="40"/>
      <c r="G53" s="1"/>
    </row>
    <row r="54" spans="1:7" ht="13.5" customHeight="1" x14ac:dyDescent="0.2">
      <c r="A54" s="2" t="s">
        <v>32</v>
      </c>
      <c r="B54" s="39">
        <v>1</v>
      </c>
      <c r="C54" s="3">
        <v>447</v>
      </c>
      <c r="D54" s="3">
        <f>B54*C54</f>
        <v>447</v>
      </c>
      <c r="E54" s="13">
        <f>COUNTIFS($A$12:$A$30,"Cond Ar Split 36.000 BTU/h Piso/Teto")</f>
        <v>1</v>
      </c>
      <c r="F54" s="40"/>
      <c r="G54" s="1"/>
    </row>
    <row r="55" spans="1:7" ht="13.5" customHeight="1" x14ac:dyDescent="0.2">
      <c r="A55" s="2" t="s">
        <v>33</v>
      </c>
      <c r="B55" s="39"/>
      <c r="C55" s="3">
        <v>497</v>
      </c>
      <c r="D55" s="3">
        <f>B55*C55</f>
        <v>0</v>
      </c>
      <c r="E55" s="13">
        <f>COUNTIFS($A$12:$A$30,"Cond Ar Split 48.000 BTU/h Piso/Teto")</f>
        <v>0</v>
      </c>
      <c r="F55" s="40"/>
      <c r="G55" s="1"/>
    </row>
    <row r="56" spans="1:7" ht="13.5" customHeight="1" x14ac:dyDescent="0.2">
      <c r="A56" s="2" t="s">
        <v>34</v>
      </c>
      <c r="B56" s="39">
        <v>3</v>
      </c>
      <c r="C56" s="3">
        <v>597</v>
      </c>
      <c r="D56" s="3">
        <f t="shared" ref="D56:D64" si="3">B56*C56</f>
        <v>1791</v>
      </c>
      <c r="E56" s="13">
        <f>COUNTIFS($A$12:$A$30,"Cond Ar Split 60.000 BTU/h Piso/Teto")</f>
        <v>1</v>
      </c>
      <c r="F56" s="40"/>
      <c r="G56" s="1"/>
    </row>
    <row r="57" spans="1:7" ht="13.5" customHeight="1" x14ac:dyDescent="0.2">
      <c r="A57" s="2" t="s">
        <v>35</v>
      </c>
      <c r="B57" s="39"/>
      <c r="C57" s="3">
        <v>395</v>
      </c>
      <c r="D57" s="3">
        <f t="shared" si="3"/>
        <v>0</v>
      </c>
      <c r="E57" s="13">
        <f>COUNTIFS($A$12:$A$30,"Cond Ar Split 18.000 BTU/h Cassete")</f>
        <v>0</v>
      </c>
      <c r="F57" s="40"/>
      <c r="G57" s="1"/>
    </row>
    <row r="58" spans="1:7" ht="13.5" customHeight="1" x14ac:dyDescent="0.2">
      <c r="A58" s="2" t="s">
        <v>36</v>
      </c>
      <c r="B58" s="39"/>
      <c r="C58" s="3">
        <v>442.75</v>
      </c>
      <c r="D58" s="3">
        <f t="shared" si="3"/>
        <v>0</v>
      </c>
      <c r="E58" s="13">
        <f>COUNTIFS($A$12:$A$30,"Cond Ar Split 24.000 BTU/h Cassete")</f>
        <v>0</v>
      </c>
      <c r="F58" s="40"/>
      <c r="G58" s="1"/>
    </row>
    <row r="59" spans="1:7" ht="13.5" customHeight="1" x14ac:dyDescent="0.2">
      <c r="A59" s="2" t="s">
        <v>37</v>
      </c>
      <c r="B59" s="39"/>
      <c r="C59" s="3">
        <v>430</v>
      </c>
      <c r="D59" s="3">
        <f t="shared" si="3"/>
        <v>0</v>
      </c>
      <c r="E59" s="13">
        <f>COUNTIFS($A$12:$A$30,"Cond Ar Split 30.000 BTU/h Cassete")</f>
        <v>0</v>
      </c>
      <c r="F59" s="40"/>
      <c r="G59" s="1"/>
    </row>
    <row r="60" spans="1:7" ht="13.5" customHeight="1" x14ac:dyDescent="0.2">
      <c r="A60" s="2" t="s">
        <v>38</v>
      </c>
      <c r="B60" s="39"/>
      <c r="C60" s="3">
        <v>478</v>
      </c>
      <c r="D60" s="3">
        <f t="shared" si="3"/>
        <v>0</v>
      </c>
      <c r="E60" s="13">
        <f>COUNTIFS($A$12:$A$30,"Cond Ar Split 36.000 BTU/h Cassete")</f>
        <v>0</v>
      </c>
      <c r="F60" s="40"/>
      <c r="G60" s="1"/>
    </row>
    <row r="61" spans="1:7" ht="13.5" customHeight="1" x14ac:dyDescent="0.2">
      <c r="A61" s="2" t="s">
        <v>39</v>
      </c>
      <c r="B61" s="39"/>
      <c r="C61" s="3">
        <v>577</v>
      </c>
      <c r="D61" s="3">
        <f t="shared" si="3"/>
        <v>0</v>
      </c>
      <c r="E61" s="13">
        <f>COUNTIFS($A$12:$A$30,"Cond Ar Split 48.000 BTU/h Cassete")</f>
        <v>0</v>
      </c>
      <c r="F61" s="40"/>
      <c r="G61" s="1"/>
    </row>
    <row r="62" spans="1:7" ht="13.5" customHeight="1" x14ac:dyDescent="0.2">
      <c r="A62" s="2" t="s">
        <v>40</v>
      </c>
      <c r="B62" s="39"/>
      <c r="C62" s="3">
        <v>645</v>
      </c>
      <c r="D62" s="3">
        <f t="shared" si="3"/>
        <v>0</v>
      </c>
      <c r="E62" s="13">
        <f>COUNTIFS($A$12:$A$30,"Cond Ar Split 60.000 BTU/h Cassete")</f>
        <v>0</v>
      </c>
      <c r="F62" s="40"/>
      <c r="G62" s="1"/>
    </row>
    <row r="63" spans="1:7" ht="13.5" customHeight="1" x14ac:dyDescent="0.2">
      <c r="A63" s="2" t="s">
        <v>41</v>
      </c>
      <c r="B63" s="39"/>
      <c r="C63" s="3">
        <v>147</v>
      </c>
      <c r="D63" s="3">
        <f t="shared" si="3"/>
        <v>0</v>
      </c>
      <c r="E63" s="13">
        <f>COUNTIFS($A$12:$A$30,"Cond Ar Tri Split 36.000 BTU/h (3x12.000)")</f>
        <v>0</v>
      </c>
      <c r="F63" s="40"/>
      <c r="G63" s="1"/>
    </row>
    <row r="64" spans="1:7" ht="13.5" customHeight="1" x14ac:dyDescent="0.2">
      <c r="A64" s="2" t="s">
        <v>42</v>
      </c>
      <c r="B64" s="39"/>
      <c r="C64" s="3">
        <v>100</v>
      </c>
      <c r="D64" s="3">
        <f t="shared" si="3"/>
        <v>0</v>
      </c>
      <c r="E64" s="13">
        <f>COUNTIFS($A$12:$A$30,"Cond Ar Portátil 12.000 BTU/h")</f>
        <v>0</v>
      </c>
      <c r="F64" s="40"/>
      <c r="G64" s="1"/>
    </row>
    <row r="65" spans="1:10" ht="13.5" customHeight="1" x14ac:dyDescent="0.2">
      <c r="A65" s="36" t="s">
        <v>7</v>
      </c>
      <c r="B65" s="22">
        <f>SUM(B42:B64)</f>
        <v>17</v>
      </c>
      <c r="C65" s="38"/>
      <c r="D65" s="37">
        <f>SUM(D42:D64)</f>
        <v>5603</v>
      </c>
      <c r="E65" s="22">
        <f>SUM(E42:E64)</f>
        <v>10</v>
      </c>
      <c r="F65" s="41">
        <f>SUM(F42:F64)</f>
        <v>0</v>
      </c>
      <c r="G65" s="54"/>
    </row>
    <row r="69" spans="1:10" ht="13.5" customHeight="1" x14ac:dyDescent="0.25">
      <c r="F69" s="17"/>
      <c r="J69" s="16"/>
    </row>
  </sheetData>
  <mergeCells count="27">
    <mergeCell ref="A35:C35"/>
    <mergeCell ref="D35:I35"/>
    <mergeCell ref="A39:F39"/>
    <mergeCell ref="A40:D40"/>
    <mergeCell ref="E40:E41"/>
    <mergeCell ref="F40:F41"/>
    <mergeCell ref="A34:C34"/>
    <mergeCell ref="D34:I34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31:I31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33">
    <pageSetUpPr fitToPage="1"/>
  </sheetPr>
  <dimension ref="A1:I27"/>
  <sheetViews>
    <sheetView showGridLines="0" workbookViewId="0">
      <pane ySplit="11" topLeftCell="A12" activePane="bottomLeft" state="frozen"/>
      <selection activeCell="Q28" sqref="Q28"/>
      <selection pane="bottomLeft" activeCell="K17" sqref="K17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348</v>
      </c>
      <c r="B8" s="297"/>
      <c r="C8" s="297"/>
      <c r="D8" s="297"/>
      <c r="E8" s="297"/>
      <c r="F8" s="298"/>
    </row>
    <row r="9" spans="1:6" ht="13.5" customHeight="1" x14ac:dyDescent="0.25">
      <c r="A9" s="60" t="s">
        <v>349</v>
      </c>
      <c r="B9" s="270" t="s">
        <v>350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55"/>
      <c r="D12" s="12"/>
      <c r="E12" s="11"/>
      <c r="F12" s="109"/>
    </row>
    <row r="13" spans="1:6" ht="13.5" customHeight="1" x14ac:dyDescent="0.2">
      <c r="A13" s="299"/>
      <c r="B13" s="300"/>
      <c r="C13" s="155"/>
      <c r="D13" s="12"/>
      <c r="E13" s="11"/>
      <c r="F13" s="109"/>
    </row>
    <row r="14" spans="1:6" ht="13.5" customHeight="1" x14ac:dyDescent="0.2">
      <c r="A14" s="299"/>
      <c r="B14" s="300"/>
      <c r="C14" s="155"/>
      <c r="D14" s="12"/>
      <c r="E14" s="11"/>
      <c r="F14" s="109"/>
    </row>
    <row r="15" spans="1:6" ht="13.5" customHeight="1" x14ac:dyDescent="0.2">
      <c r="A15" s="299"/>
      <c r="B15" s="300"/>
      <c r="C15" s="155"/>
      <c r="D15" s="12"/>
      <c r="E15" s="11"/>
      <c r="F15" s="109"/>
    </row>
    <row r="16" spans="1:6" ht="13.5" customHeight="1" x14ac:dyDescent="0.2">
      <c r="A16" s="299"/>
      <c r="B16" s="300"/>
      <c r="C16" s="155"/>
      <c r="D16" s="12"/>
      <c r="E16" s="11"/>
      <c r="F16" s="109"/>
    </row>
    <row r="17" spans="1:9" ht="13.5" customHeight="1" x14ac:dyDescent="0.2">
      <c r="A17" s="299"/>
      <c r="B17" s="300"/>
      <c r="C17" s="155"/>
      <c r="D17" s="12"/>
      <c r="E17" s="11"/>
      <c r="F17" s="109"/>
    </row>
    <row r="18" spans="1:9" ht="13.5" customHeight="1" x14ac:dyDescent="0.2">
      <c r="A18" s="299"/>
      <c r="B18" s="300"/>
      <c r="C18" s="155"/>
      <c r="D18" s="12"/>
      <c r="E18" s="11"/>
      <c r="F18" s="109"/>
    </row>
    <row r="19" spans="1:9" ht="13.5" customHeight="1" x14ac:dyDescent="0.2">
      <c r="A19" s="313"/>
      <c r="B19" s="321"/>
      <c r="C19" s="102"/>
      <c r="D19" s="104"/>
      <c r="E19" s="82"/>
      <c r="F19" s="109"/>
    </row>
    <row r="20" spans="1:9" ht="13.5" customHeight="1" x14ac:dyDescent="0.25">
      <c r="A20" s="271" t="s">
        <v>43</v>
      </c>
      <c r="B20" s="273"/>
      <c r="C20" s="58">
        <f>SUM(C12:C19)</f>
        <v>0</v>
      </c>
      <c r="D20" s="57"/>
      <c r="E20" s="57"/>
      <c r="F20" s="73">
        <f>SUM(F12:F19)</f>
        <v>0</v>
      </c>
    </row>
    <row r="21" spans="1:9" ht="13.5" customHeight="1" x14ac:dyDescent="0.25">
      <c r="A21" s="105"/>
      <c r="B21" s="105"/>
      <c r="C21" s="105"/>
      <c r="D21" s="106"/>
      <c r="E21" s="107"/>
      <c r="F21" s="108"/>
    </row>
    <row r="23" spans="1:9" ht="13.5" customHeight="1" x14ac:dyDescent="0.25">
      <c r="A23" s="289" t="s">
        <v>124</v>
      </c>
      <c r="B23" s="289"/>
      <c r="C23" s="289"/>
      <c r="D23" s="289"/>
      <c r="E23" s="289"/>
      <c r="F23" s="289"/>
      <c r="G23" s="74"/>
      <c r="H23" s="74"/>
      <c r="I23" s="74"/>
    </row>
    <row r="25" spans="1:9" ht="13.5" customHeight="1" x14ac:dyDescent="0.2">
      <c r="A25" s="27" t="s">
        <v>125</v>
      </c>
      <c r="B25" s="27"/>
      <c r="F25" s="110"/>
      <c r="G25" s="10"/>
      <c r="I25" s="111"/>
    </row>
    <row r="26" spans="1:9" ht="60" customHeight="1" x14ac:dyDescent="0.25">
      <c r="A26" s="291"/>
      <c r="B26" s="275"/>
      <c r="C26" s="292"/>
      <c r="D26" s="290"/>
      <c r="E26" s="290"/>
      <c r="F26" s="290"/>
    </row>
    <row r="27" spans="1:9" ht="13.5" customHeight="1" x14ac:dyDescent="0.25">
      <c r="A27" s="274" t="s">
        <v>126</v>
      </c>
      <c r="B27" s="274"/>
      <c r="C27" s="274"/>
      <c r="D27" s="75"/>
      <c r="E27" s="75" t="s">
        <v>127</v>
      </c>
      <c r="F27" s="75"/>
      <c r="G27" s="27"/>
      <c r="H27" s="27"/>
      <c r="I27" s="27"/>
    </row>
  </sheetData>
  <mergeCells count="24">
    <mergeCell ref="A14:B14"/>
    <mergeCell ref="A15:B15"/>
    <mergeCell ref="A16:B16"/>
    <mergeCell ref="A17:B17"/>
    <mergeCell ref="A18:B18"/>
    <mergeCell ref="A27:C27"/>
    <mergeCell ref="A19:B19"/>
    <mergeCell ref="A20:B20"/>
    <mergeCell ref="A23:F23"/>
    <mergeCell ref="A26:C26"/>
    <mergeCell ref="D26:F26"/>
    <mergeCell ref="A12:B12"/>
    <mergeCell ref="A13:B13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34">
    <pageSetUpPr fitToPage="1"/>
  </sheetPr>
  <dimension ref="A1:K156"/>
  <sheetViews>
    <sheetView showGridLines="0" workbookViewId="0">
      <pane ySplit="13" topLeftCell="A111" activePane="bottomLeft" state="frozen"/>
      <selection activeCell="J116" sqref="J116"/>
      <selection pane="bottomLeft" activeCell="I68" sqref="I68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.140625" style="15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9.28515625" style="7" customWidth="1"/>
    <col min="10" max="10" width="30.42578125" style="15" customWidth="1"/>
    <col min="11" max="11" width="10.42578125" style="15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197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156</v>
      </c>
      <c r="B9" s="270"/>
      <c r="C9" s="271" t="s">
        <v>157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22</v>
      </c>
      <c r="B15" s="76">
        <v>45512</v>
      </c>
      <c r="C15" s="55">
        <v>14472</v>
      </c>
      <c r="D15" s="114">
        <v>45658</v>
      </c>
      <c r="E15" s="20">
        <v>45687</v>
      </c>
      <c r="F15" s="11">
        <f>(E15-D15)+1</f>
        <v>30</v>
      </c>
      <c r="G15" s="12">
        <v>147</v>
      </c>
      <c r="H15" s="13">
        <v>1</v>
      </c>
      <c r="I15" s="19">
        <f>G15/30*H15*F15</f>
        <v>147</v>
      </c>
      <c r="J15" s="32" t="s">
        <v>158</v>
      </c>
      <c r="K15" s="13">
        <v>66105</v>
      </c>
    </row>
    <row r="16" spans="1:11" ht="13.5" customHeight="1" x14ac:dyDescent="0.2">
      <c r="A16" s="2" t="s">
        <v>22</v>
      </c>
      <c r="B16" s="76">
        <v>45512</v>
      </c>
      <c r="C16" s="55">
        <v>14403</v>
      </c>
      <c r="D16" s="114">
        <v>45658</v>
      </c>
      <c r="E16" s="20">
        <v>45687</v>
      </c>
      <c r="F16" s="11">
        <f>(E16-D16)+1</f>
        <v>30</v>
      </c>
      <c r="G16" s="12">
        <v>147</v>
      </c>
      <c r="H16" s="13">
        <v>1</v>
      </c>
      <c r="I16" s="19">
        <f>G16/30*H16*F16</f>
        <v>147</v>
      </c>
      <c r="J16" s="32" t="s">
        <v>101</v>
      </c>
      <c r="K16" s="13">
        <v>66105</v>
      </c>
    </row>
    <row r="17" spans="1:11" ht="13.5" customHeight="1" x14ac:dyDescent="0.2">
      <c r="A17" s="2" t="s">
        <v>22</v>
      </c>
      <c r="B17" s="76">
        <v>45512</v>
      </c>
      <c r="C17" s="55">
        <v>14470</v>
      </c>
      <c r="D17" s="114">
        <v>45658</v>
      </c>
      <c r="E17" s="20">
        <v>45687</v>
      </c>
      <c r="F17" s="11">
        <f t="shared" ref="F17:F34" si="0">(E17-D17)+1</f>
        <v>30</v>
      </c>
      <c r="G17" s="12">
        <v>147</v>
      </c>
      <c r="H17" s="13">
        <v>1</v>
      </c>
      <c r="I17" s="19">
        <f t="shared" ref="I17:I35" si="1">G17/30*H17*F17</f>
        <v>147</v>
      </c>
      <c r="J17" s="32" t="s">
        <v>159</v>
      </c>
      <c r="K17" s="13">
        <v>66105</v>
      </c>
    </row>
    <row r="18" spans="1:11" ht="13.5" customHeight="1" x14ac:dyDescent="0.2">
      <c r="A18" s="2" t="s">
        <v>22</v>
      </c>
      <c r="B18" s="76">
        <v>45512</v>
      </c>
      <c r="C18" s="55">
        <v>14473</v>
      </c>
      <c r="D18" s="114">
        <v>45658</v>
      </c>
      <c r="E18" s="20">
        <v>45687</v>
      </c>
      <c r="F18" s="11">
        <f t="shared" si="0"/>
        <v>30</v>
      </c>
      <c r="G18" s="12">
        <v>147</v>
      </c>
      <c r="H18" s="13">
        <v>1</v>
      </c>
      <c r="I18" s="19">
        <f t="shared" si="1"/>
        <v>147</v>
      </c>
      <c r="J18" s="32" t="s">
        <v>160</v>
      </c>
      <c r="K18" s="13">
        <v>66105</v>
      </c>
    </row>
    <row r="19" spans="1:11" ht="13.5" customHeight="1" x14ac:dyDescent="0.2">
      <c r="A19" s="2" t="s">
        <v>23</v>
      </c>
      <c r="B19" s="76">
        <v>45512</v>
      </c>
      <c r="C19" s="55">
        <v>14114</v>
      </c>
      <c r="D19" s="114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19">
        <f t="shared" si="1"/>
        <v>235</v>
      </c>
      <c r="J19" s="32" t="s">
        <v>161</v>
      </c>
      <c r="K19" s="13">
        <v>66105</v>
      </c>
    </row>
    <row r="20" spans="1:11" ht="13.5" customHeight="1" x14ac:dyDescent="0.2">
      <c r="A20" s="2" t="s">
        <v>23</v>
      </c>
      <c r="B20" s="76">
        <v>45512</v>
      </c>
      <c r="C20" s="55">
        <v>14113</v>
      </c>
      <c r="D20" s="114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32" t="s">
        <v>159</v>
      </c>
      <c r="K20" s="13">
        <v>66105</v>
      </c>
    </row>
    <row r="21" spans="1:11" ht="13.5" customHeight="1" x14ac:dyDescent="0.2">
      <c r="A21" s="2" t="s">
        <v>23</v>
      </c>
      <c r="B21" s="76">
        <v>45512</v>
      </c>
      <c r="C21" s="55">
        <v>14137</v>
      </c>
      <c r="D21" s="114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32" t="s">
        <v>163</v>
      </c>
      <c r="K21" s="13">
        <v>66105</v>
      </c>
    </row>
    <row r="22" spans="1:11" ht="13.5" customHeight="1" x14ac:dyDescent="0.2">
      <c r="A22" s="2" t="s">
        <v>23</v>
      </c>
      <c r="B22" s="76">
        <v>45512</v>
      </c>
      <c r="C22" s="55">
        <v>14112</v>
      </c>
      <c r="D22" s="114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19">
        <f t="shared" si="1"/>
        <v>235</v>
      </c>
      <c r="J22" s="32" t="s">
        <v>164</v>
      </c>
      <c r="K22" s="13">
        <v>66105</v>
      </c>
    </row>
    <row r="23" spans="1:11" ht="13.5" customHeight="1" x14ac:dyDescent="0.2">
      <c r="A23" s="2" t="s">
        <v>23</v>
      </c>
      <c r="B23" s="76">
        <v>45512</v>
      </c>
      <c r="C23" s="55">
        <v>14106</v>
      </c>
      <c r="D23" s="114">
        <v>45658</v>
      </c>
      <c r="E23" s="20">
        <v>45687</v>
      </c>
      <c r="F23" s="11">
        <f t="shared" si="0"/>
        <v>30</v>
      </c>
      <c r="G23" s="12">
        <v>235</v>
      </c>
      <c r="H23" s="13">
        <v>1</v>
      </c>
      <c r="I23" s="19">
        <f t="shared" si="1"/>
        <v>235</v>
      </c>
      <c r="J23" s="32" t="s">
        <v>165</v>
      </c>
      <c r="K23" s="13">
        <v>66105</v>
      </c>
    </row>
    <row r="24" spans="1:11" ht="13.5" customHeight="1" x14ac:dyDescent="0.2">
      <c r="A24" s="2" t="s">
        <v>23</v>
      </c>
      <c r="B24" s="76">
        <v>45512</v>
      </c>
      <c r="C24" s="55">
        <v>14111</v>
      </c>
      <c r="D24" s="114">
        <v>45658</v>
      </c>
      <c r="E24" s="20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32" t="s">
        <v>198</v>
      </c>
      <c r="K24" s="13">
        <v>66225</v>
      </c>
    </row>
    <row r="25" spans="1:11" ht="13.5" customHeight="1" x14ac:dyDescent="0.2">
      <c r="A25" s="2" t="s">
        <v>23</v>
      </c>
      <c r="B25" s="76">
        <v>45512</v>
      </c>
      <c r="C25" s="55">
        <v>14115</v>
      </c>
      <c r="D25" s="114">
        <v>45658</v>
      </c>
      <c r="E25" s="20">
        <v>45687</v>
      </c>
      <c r="F25" s="11">
        <f t="shared" ref="F25" si="2">(E25-D25)+1</f>
        <v>30</v>
      </c>
      <c r="G25" s="12">
        <v>235</v>
      </c>
      <c r="H25" s="13">
        <v>1</v>
      </c>
      <c r="I25" s="19">
        <f t="shared" ref="I25" si="3">G25/30*H25*F25</f>
        <v>235</v>
      </c>
      <c r="J25" s="32" t="s">
        <v>162</v>
      </c>
      <c r="K25" s="13">
        <v>66225</v>
      </c>
    </row>
    <row r="26" spans="1:11" ht="13.5" customHeight="1" x14ac:dyDescent="0.2">
      <c r="A26" s="2" t="s">
        <v>24</v>
      </c>
      <c r="B26" s="76">
        <v>45512</v>
      </c>
      <c r="C26" s="55">
        <v>14513</v>
      </c>
      <c r="D26" s="114">
        <v>45658</v>
      </c>
      <c r="E26" s="20">
        <v>45687</v>
      </c>
      <c r="F26" s="11">
        <f t="shared" si="0"/>
        <v>30</v>
      </c>
      <c r="G26" s="12">
        <v>238</v>
      </c>
      <c r="H26" s="13">
        <v>1</v>
      </c>
      <c r="I26" s="19">
        <f t="shared" si="1"/>
        <v>238</v>
      </c>
      <c r="J26" s="32" t="s">
        <v>166</v>
      </c>
      <c r="K26" s="13">
        <v>66114</v>
      </c>
    </row>
    <row r="27" spans="1:11" ht="13.5" customHeight="1" x14ac:dyDescent="0.2">
      <c r="A27" s="2" t="s">
        <v>24</v>
      </c>
      <c r="B27" s="76">
        <v>45512</v>
      </c>
      <c r="C27" s="55">
        <v>14549</v>
      </c>
      <c r="D27" s="114">
        <v>45658</v>
      </c>
      <c r="E27" s="20">
        <v>45687</v>
      </c>
      <c r="F27" s="11">
        <f t="shared" si="0"/>
        <v>30</v>
      </c>
      <c r="G27" s="12">
        <v>238</v>
      </c>
      <c r="H27" s="13">
        <v>1</v>
      </c>
      <c r="I27" s="19">
        <f t="shared" si="1"/>
        <v>238</v>
      </c>
      <c r="J27" s="32" t="s">
        <v>167</v>
      </c>
      <c r="K27" s="13">
        <v>66114</v>
      </c>
    </row>
    <row r="28" spans="1:11" ht="13.5" customHeight="1" x14ac:dyDescent="0.2">
      <c r="A28" s="2" t="s">
        <v>24</v>
      </c>
      <c r="B28" s="76">
        <v>45512</v>
      </c>
      <c r="C28" s="55">
        <v>14554</v>
      </c>
      <c r="D28" s="114">
        <v>45658</v>
      </c>
      <c r="E28" s="20">
        <v>45687</v>
      </c>
      <c r="F28" s="11">
        <f t="shared" si="0"/>
        <v>30</v>
      </c>
      <c r="G28" s="12">
        <v>238</v>
      </c>
      <c r="H28" s="13">
        <v>1</v>
      </c>
      <c r="I28" s="19">
        <f t="shared" si="1"/>
        <v>238</v>
      </c>
      <c r="J28" s="32" t="s">
        <v>168</v>
      </c>
      <c r="K28" s="13">
        <v>66114</v>
      </c>
    </row>
    <row r="29" spans="1:11" ht="13.5" customHeight="1" x14ac:dyDescent="0.2">
      <c r="A29" s="2" t="s">
        <v>24</v>
      </c>
      <c r="B29" s="76">
        <v>45512</v>
      </c>
      <c r="C29" s="55">
        <v>14538</v>
      </c>
      <c r="D29" s="114">
        <v>45658</v>
      </c>
      <c r="E29" s="20">
        <v>45687</v>
      </c>
      <c r="F29" s="11">
        <f t="shared" si="0"/>
        <v>30</v>
      </c>
      <c r="G29" s="12">
        <v>238</v>
      </c>
      <c r="H29" s="13">
        <v>1</v>
      </c>
      <c r="I29" s="19">
        <f t="shared" si="1"/>
        <v>238</v>
      </c>
      <c r="J29" s="32" t="s">
        <v>167</v>
      </c>
      <c r="K29" s="13">
        <v>66114</v>
      </c>
    </row>
    <row r="30" spans="1:11" ht="13.5" customHeight="1" x14ac:dyDescent="0.2">
      <c r="A30" s="2" t="s">
        <v>24</v>
      </c>
      <c r="B30" s="76">
        <v>45512</v>
      </c>
      <c r="C30" s="55">
        <v>14544</v>
      </c>
      <c r="D30" s="114">
        <v>45658</v>
      </c>
      <c r="E30" s="20">
        <v>45687</v>
      </c>
      <c r="F30" s="11">
        <f t="shared" si="0"/>
        <v>30</v>
      </c>
      <c r="G30" s="12">
        <v>238</v>
      </c>
      <c r="H30" s="13">
        <v>1</v>
      </c>
      <c r="I30" s="19">
        <f t="shared" si="1"/>
        <v>238</v>
      </c>
      <c r="J30" s="32" t="s">
        <v>169</v>
      </c>
      <c r="K30" s="13">
        <v>66114</v>
      </c>
    </row>
    <row r="31" spans="1:11" ht="13.5" customHeight="1" x14ac:dyDescent="0.2">
      <c r="A31" s="2" t="s">
        <v>24</v>
      </c>
      <c r="B31" s="76">
        <v>45512</v>
      </c>
      <c r="C31" s="55">
        <v>14536</v>
      </c>
      <c r="D31" s="114">
        <v>45658</v>
      </c>
      <c r="E31" s="20">
        <v>45687</v>
      </c>
      <c r="F31" s="11">
        <f t="shared" si="0"/>
        <v>30</v>
      </c>
      <c r="G31" s="12">
        <v>238</v>
      </c>
      <c r="H31" s="13">
        <v>1</v>
      </c>
      <c r="I31" s="19">
        <f t="shared" si="1"/>
        <v>238</v>
      </c>
      <c r="J31" s="32" t="s">
        <v>169</v>
      </c>
      <c r="K31" s="13">
        <v>66114</v>
      </c>
    </row>
    <row r="32" spans="1:11" ht="13.5" customHeight="1" x14ac:dyDescent="0.2">
      <c r="A32" s="2" t="s">
        <v>24</v>
      </c>
      <c r="B32" s="76">
        <v>45512</v>
      </c>
      <c r="C32" s="55">
        <v>14550</v>
      </c>
      <c r="D32" s="114">
        <v>45658</v>
      </c>
      <c r="E32" s="20">
        <v>45687</v>
      </c>
      <c r="F32" s="11">
        <f t="shared" si="0"/>
        <v>30</v>
      </c>
      <c r="G32" s="12">
        <v>238</v>
      </c>
      <c r="H32" s="13">
        <v>1</v>
      </c>
      <c r="I32" s="19">
        <f t="shared" si="1"/>
        <v>238</v>
      </c>
      <c r="J32" s="32" t="s">
        <v>170</v>
      </c>
      <c r="K32" s="13">
        <v>66114</v>
      </c>
    </row>
    <row r="33" spans="1:11" ht="13.5" customHeight="1" x14ac:dyDescent="0.2">
      <c r="A33" s="2" t="s">
        <v>24</v>
      </c>
      <c r="B33" s="76">
        <v>45512</v>
      </c>
      <c r="C33" s="55">
        <v>14543</v>
      </c>
      <c r="D33" s="114">
        <v>45658</v>
      </c>
      <c r="E33" s="20">
        <v>45687</v>
      </c>
      <c r="F33" s="11">
        <f t="shared" si="0"/>
        <v>30</v>
      </c>
      <c r="G33" s="12">
        <v>238</v>
      </c>
      <c r="H33" s="13">
        <v>1</v>
      </c>
      <c r="I33" s="19">
        <f t="shared" si="1"/>
        <v>238</v>
      </c>
      <c r="J33" s="32" t="s">
        <v>171</v>
      </c>
      <c r="K33" s="13">
        <v>66114</v>
      </c>
    </row>
    <row r="34" spans="1:11" ht="13.5" customHeight="1" x14ac:dyDescent="0.2">
      <c r="A34" s="2" t="s">
        <v>24</v>
      </c>
      <c r="B34" s="76">
        <v>45512</v>
      </c>
      <c r="C34" s="55">
        <v>14537</v>
      </c>
      <c r="D34" s="114">
        <v>45658</v>
      </c>
      <c r="E34" s="20">
        <v>45687</v>
      </c>
      <c r="F34" s="11">
        <f t="shared" si="0"/>
        <v>30</v>
      </c>
      <c r="G34" s="12">
        <v>238</v>
      </c>
      <c r="H34" s="13">
        <v>1</v>
      </c>
      <c r="I34" s="19">
        <f t="shared" si="1"/>
        <v>238</v>
      </c>
      <c r="J34" s="32" t="s">
        <v>172</v>
      </c>
      <c r="K34" s="13">
        <v>66114</v>
      </c>
    </row>
    <row r="35" spans="1:11" ht="13.5" customHeight="1" x14ac:dyDescent="0.25">
      <c r="A35" s="14"/>
      <c r="B35" s="20"/>
      <c r="C35" s="13"/>
      <c r="D35" s="20"/>
      <c r="E35" s="20"/>
      <c r="F35" s="11"/>
      <c r="G35" s="12"/>
      <c r="H35" s="13"/>
      <c r="I35" s="19">
        <f t="shared" si="1"/>
        <v>0</v>
      </c>
      <c r="J35" s="32"/>
      <c r="K35" s="13"/>
    </row>
    <row r="36" spans="1:11" ht="13.5" customHeight="1" x14ac:dyDescent="0.25">
      <c r="A36" s="21" t="s">
        <v>199</v>
      </c>
      <c r="B36" s="26"/>
      <c r="C36" s="26"/>
      <c r="D36" s="23"/>
      <c r="E36" s="23"/>
      <c r="F36" s="24"/>
      <c r="G36" s="23"/>
      <c r="H36" s="22">
        <f>SUM(H15:H35)</f>
        <v>20</v>
      </c>
      <c r="I36" s="112">
        <f>SUM(I15:I35)</f>
        <v>4375</v>
      </c>
      <c r="J36" s="33"/>
      <c r="K36" s="116"/>
    </row>
    <row r="37" spans="1:11" ht="13.5" customHeight="1" x14ac:dyDescent="0.25">
      <c r="D37" s="8"/>
      <c r="E37" s="8"/>
      <c r="F37" s="9"/>
      <c r="G37" s="10"/>
      <c r="I37" s="10"/>
      <c r="J37" s="4"/>
    </row>
    <row r="38" spans="1:11" ht="13.5" customHeight="1" x14ac:dyDescent="0.2">
      <c r="A38" s="2" t="s">
        <v>22</v>
      </c>
      <c r="B38" s="76">
        <v>45512</v>
      </c>
      <c r="C38" s="55">
        <v>9696</v>
      </c>
      <c r="D38" s="114">
        <v>45658</v>
      </c>
      <c r="E38" s="20">
        <v>45687</v>
      </c>
      <c r="F38" s="11">
        <f>(E38-D38)+1</f>
        <v>30</v>
      </c>
      <c r="G38" s="12">
        <v>147</v>
      </c>
      <c r="H38" s="13">
        <v>1</v>
      </c>
      <c r="I38" s="19">
        <f>G38/30*H38*F38</f>
        <v>147</v>
      </c>
      <c r="J38" s="32" t="s">
        <v>390</v>
      </c>
      <c r="K38" s="13"/>
    </row>
    <row r="39" spans="1:11" ht="13.5" customHeight="1" x14ac:dyDescent="0.2">
      <c r="A39" s="2" t="s">
        <v>22</v>
      </c>
      <c r="B39" s="76">
        <v>45512</v>
      </c>
      <c r="C39" s="55">
        <v>9692</v>
      </c>
      <c r="D39" s="114">
        <v>45658</v>
      </c>
      <c r="E39" s="20">
        <v>45687</v>
      </c>
      <c r="F39" s="11">
        <f t="shared" ref="F39:F103" si="4">(E39-D39)+1</f>
        <v>30</v>
      </c>
      <c r="G39" s="12">
        <v>147</v>
      </c>
      <c r="H39" s="13">
        <v>1</v>
      </c>
      <c r="I39" s="19">
        <f t="shared" ref="I39:I103" si="5">G39/30*H39*F39</f>
        <v>147</v>
      </c>
      <c r="J39" s="32" t="s">
        <v>391</v>
      </c>
      <c r="K39" s="13"/>
    </row>
    <row r="40" spans="1:11" ht="13.5" customHeight="1" x14ac:dyDescent="0.2">
      <c r="A40" s="2" t="s">
        <v>22</v>
      </c>
      <c r="B40" s="76">
        <v>45512</v>
      </c>
      <c r="C40" s="55">
        <v>9693</v>
      </c>
      <c r="D40" s="114">
        <v>45658</v>
      </c>
      <c r="E40" s="20">
        <v>45687</v>
      </c>
      <c r="F40" s="11">
        <f t="shared" si="4"/>
        <v>30</v>
      </c>
      <c r="G40" s="12">
        <v>147</v>
      </c>
      <c r="H40" s="13">
        <v>1</v>
      </c>
      <c r="I40" s="19">
        <f t="shared" si="5"/>
        <v>147</v>
      </c>
      <c r="J40" s="32" t="s">
        <v>392</v>
      </c>
      <c r="K40" s="13"/>
    </row>
    <row r="41" spans="1:11" ht="13.5" customHeight="1" x14ac:dyDescent="0.2">
      <c r="A41" s="2" t="s">
        <v>22</v>
      </c>
      <c r="B41" s="76">
        <v>45512</v>
      </c>
      <c r="C41" s="55">
        <v>9689</v>
      </c>
      <c r="D41" s="114">
        <v>45658</v>
      </c>
      <c r="E41" s="20">
        <v>45687</v>
      </c>
      <c r="F41" s="11">
        <f t="shared" si="4"/>
        <v>30</v>
      </c>
      <c r="G41" s="12">
        <v>147</v>
      </c>
      <c r="H41" s="13">
        <v>1</v>
      </c>
      <c r="I41" s="19">
        <f t="shared" si="5"/>
        <v>147</v>
      </c>
      <c r="J41" s="32" t="s">
        <v>393</v>
      </c>
      <c r="K41" s="13"/>
    </row>
    <row r="42" spans="1:11" ht="13.5" customHeight="1" x14ac:dyDescent="0.2">
      <c r="A42" s="2" t="s">
        <v>22</v>
      </c>
      <c r="B42" s="76">
        <v>45512</v>
      </c>
      <c r="C42" s="55">
        <v>9698</v>
      </c>
      <c r="D42" s="114">
        <v>45658</v>
      </c>
      <c r="E42" s="20">
        <v>45687</v>
      </c>
      <c r="F42" s="11">
        <f t="shared" si="4"/>
        <v>30</v>
      </c>
      <c r="G42" s="12">
        <v>147</v>
      </c>
      <c r="H42" s="13">
        <v>1</v>
      </c>
      <c r="I42" s="19">
        <f t="shared" si="5"/>
        <v>147</v>
      </c>
      <c r="J42" s="32" t="s">
        <v>161</v>
      </c>
      <c r="K42" s="13"/>
    </row>
    <row r="43" spans="1:11" ht="13.5" customHeight="1" x14ac:dyDescent="0.2">
      <c r="A43" s="2" t="s">
        <v>22</v>
      </c>
      <c r="B43" s="76">
        <v>45512</v>
      </c>
      <c r="C43" s="55">
        <v>9727</v>
      </c>
      <c r="D43" s="114">
        <v>45658</v>
      </c>
      <c r="E43" s="20">
        <v>45687</v>
      </c>
      <c r="F43" s="11">
        <f t="shared" si="4"/>
        <v>30</v>
      </c>
      <c r="G43" s="12">
        <v>147</v>
      </c>
      <c r="H43" s="13">
        <v>1</v>
      </c>
      <c r="I43" s="19">
        <f t="shared" si="5"/>
        <v>147</v>
      </c>
      <c r="J43" s="32" t="s">
        <v>394</v>
      </c>
      <c r="K43" s="13"/>
    </row>
    <row r="44" spans="1:11" ht="13.5" customHeight="1" x14ac:dyDescent="0.2">
      <c r="A44" s="2" t="s">
        <v>22</v>
      </c>
      <c r="B44" s="76">
        <v>45512</v>
      </c>
      <c r="C44" s="55">
        <v>9699</v>
      </c>
      <c r="D44" s="114">
        <v>45658</v>
      </c>
      <c r="E44" s="20">
        <v>45687</v>
      </c>
      <c r="F44" s="11">
        <f t="shared" si="4"/>
        <v>30</v>
      </c>
      <c r="G44" s="12">
        <v>147</v>
      </c>
      <c r="H44" s="13">
        <v>1</v>
      </c>
      <c r="I44" s="19">
        <f t="shared" si="5"/>
        <v>147</v>
      </c>
      <c r="J44" s="32" t="s">
        <v>395</v>
      </c>
      <c r="K44" s="13"/>
    </row>
    <row r="45" spans="1:11" ht="13.5" customHeight="1" x14ac:dyDescent="0.2">
      <c r="A45" s="2" t="s">
        <v>22</v>
      </c>
      <c r="B45" s="76">
        <v>45512</v>
      </c>
      <c r="C45" s="55">
        <v>9717</v>
      </c>
      <c r="D45" s="114">
        <v>45658</v>
      </c>
      <c r="E45" s="20">
        <v>45687</v>
      </c>
      <c r="F45" s="11">
        <f t="shared" si="4"/>
        <v>30</v>
      </c>
      <c r="G45" s="12">
        <v>147</v>
      </c>
      <c r="H45" s="13">
        <v>1</v>
      </c>
      <c r="I45" s="19">
        <f t="shared" si="5"/>
        <v>147</v>
      </c>
      <c r="J45" s="32" t="s">
        <v>396</v>
      </c>
      <c r="K45" s="13"/>
    </row>
    <row r="46" spans="1:11" ht="13.5" customHeight="1" x14ac:dyDescent="0.2">
      <c r="A46" s="2" t="s">
        <v>22</v>
      </c>
      <c r="B46" s="76">
        <v>45512</v>
      </c>
      <c r="C46" s="55">
        <v>9700</v>
      </c>
      <c r="D46" s="114">
        <v>45658</v>
      </c>
      <c r="E46" s="20">
        <v>45687</v>
      </c>
      <c r="F46" s="11">
        <f t="shared" si="4"/>
        <v>30</v>
      </c>
      <c r="G46" s="12">
        <v>147</v>
      </c>
      <c r="H46" s="13">
        <v>1</v>
      </c>
      <c r="I46" s="19">
        <f t="shared" si="5"/>
        <v>147</v>
      </c>
      <c r="J46" s="32" t="s">
        <v>397</v>
      </c>
      <c r="K46" s="13"/>
    </row>
    <row r="47" spans="1:11" ht="13.5" customHeight="1" x14ac:dyDescent="0.2">
      <c r="A47" s="2" t="s">
        <v>22</v>
      </c>
      <c r="B47" s="76">
        <v>45512</v>
      </c>
      <c r="C47" s="55">
        <v>9720</v>
      </c>
      <c r="D47" s="114">
        <v>45658</v>
      </c>
      <c r="E47" s="20">
        <v>45687</v>
      </c>
      <c r="F47" s="11">
        <f t="shared" si="4"/>
        <v>30</v>
      </c>
      <c r="G47" s="12">
        <v>147</v>
      </c>
      <c r="H47" s="13">
        <v>1</v>
      </c>
      <c r="I47" s="19">
        <f t="shared" si="5"/>
        <v>147</v>
      </c>
      <c r="J47" s="32" t="s">
        <v>398</v>
      </c>
      <c r="K47" s="13"/>
    </row>
    <row r="48" spans="1:11" ht="13.5" customHeight="1" x14ac:dyDescent="0.2">
      <c r="A48" s="2" t="s">
        <v>22</v>
      </c>
      <c r="B48" s="76">
        <v>45512</v>
      </c>
      <c r="C48" s="55">
        <v>9691</v>
      </c>
      <c r="D48" s="114">
        <v>45658</v>
      </c>
      <c r="E48" s="20">
        <v>45687</v>
      </c>
      <c r="F48" s="11">
        <f t="shared" si="4"/>
        <v>30</v>
      </c>
      <c r="G48" s="12">
        <v>147</v>
      </c>
      <c r="H48" s="13">
        <v>1</v>
      </c>
      <c r="I48" s="19">
        <f t="shared" si="5"/>
        <v>147</v>
      </c>
      <c r="J48" s="32" t="s">
        <v>399</v>
      </c>
      <c r="K48" s="13"/>
    </row>
    <row r="49" spans="1:11" ht="13.5" customHeight="1" x14ac:dyDescent="0.2">
      <c r="A49" s="2" t="s">
        <v>22</v>
      </c>
      <c r="B49" s="76">
        <v>45512</v>
      </c>
      <c r="C49" s="55">
        <v>11377</v>
      </c>
      <c r="D49" s="114">
        <v>45658</v>
      </c>
      <c r="E49" s="20">
        <v>45687</v>
      </c>
      <c r="F49" s="11">
        <f t="shared" si="4"/>
        <v>30</v>
      </c>
      <c r="G49" s="12">
        <v>147</v>
      </c>
      <c r="H49" s="13">
        <v>1</v>
      </c>
      <c r="I49" s="19">
        <f t="shared" si="5"/>
        <v>147</v>
      </c>
      <c r="J49" s="32" t="s">
        <v>400</v>
      </c>
      <c r="K49" s="13"/>
    </row>
    <row r="50" spans="1:11" ht="13.5" customHeight="1" x14ac:dyDescent="0.2">
      <c r="A50" s="2" t="s">
        <v>22</v>
      </c>
      <c r="B50" s="76">
        <v>45512</v>
      </c>
      <c r="C50" s="55">
        <v>9687</v>
      </c>
      <c r="D50" s="114">
        <v>45658</v>
      </c>
      <c r="E50" s="20">
        <v>45687</v>
      </c>
      <c r="F50" s="11">
        <f t="shared" si="4"/>
        <v>30</v>
      </c>
      <c r="G50" s="12">
        <v>147</v>
      </c>
      <c r="H50" s="13">
        <v>1</v>
      </c>
      <c r="I50" s="19">
        <f t="shared" si="5"/>
        <v>147</v>
      </c>
      <c r="J50" s="32" t="s">
        <v>401</v>
      </c>
      <c r="K50" s="13"/>
    </row>
    <row r="51" spans="1:11" ht="13.5" customHeight="1" x14ac:dyDescent="0.2">
      <c r="A51" s="2" t="s">
        <v>22</v>
      </c>
      <c r="B51" s="76">
        <v>45512</v>
      </c>
      <c r="C51" s="55">
        <v>9702</v>
      </c>
      <c r="D51" s="114">
        <v>45658</v>
      </c>
      <c r="E51" s="20">
        <v>45687</v>
      </c>
      <c r="F51" s="11">
        <f t="shared" si="4"/>
        <v>30</v>
      </c>
      <c r="G51" s="12">
        <v>147</v>
      </c>
      <c r="H51" s="13">
        <v>1</v>
      </c>
      <c r="I51" s="19">
        <f t="shared" si="5"/>
        <v>147</v>
      </c>
      <c r="J51" s="32" t="s">
        <v>402</v>
      </c>
      <c r="K51" s="13"/>
    </row>
    <row r="52" spans="1:11" ht="13.5" customHeight="1" x14ac:dyDescent="0.2">
      <c r="A52" s="2" t="s">
        <v>22</v>
      </c>
      <c r="B52" s="76">
        <v>45512</v>
      </c>
      <c r="C52" s="55">
        <v>9690</v>
      </c>
      <c r="D52" s="114">
        <v>45658</v>
      </c>
      <c r="E52" s="20">
        <v>45687</v>
      </c>
      <c r="F52" s="11">
        <f t="shared" si="4"/>
        <v>30</v>
      </c>
      <c r="G52" s="12">
        <v>147</v>
      </c>
      <c r="H52" s="13">
        <v>1</v>
      </c>
      <c r="I52" s="19">
        <f t="shared" si="5"/>
        <v>147</v>
      </c>
      <c r="J52" s="32" t="s">
        <v>403</v>
      </c>
      <c r="K52" s="13"/>
    </row>
    <row r="53" spans="1:11" ht="13.5" customHeight="1" x14ac:dyDescent="0.2">
      <c r="A53" s="2" t="s">
        <v>22</v>
      </c>
      <c r="B53" s="76">
        <v>45512</v>
      </c>
      <c r="C53" s="55">
        <v>9517</v>
      </c>
      <c r="D53" s="114">
        <v>45658</v>
      </c>
      <c r="E53" s="20">
        <v>45687</v>
      </c>
      <c r="F53" s="11">
        <f t="shared" si="4"/>
        <v>30</v>
      </c>
      <c r="G53" s="12">
        <v>147</v>
      </c>
      <c r="H53" s="13">
        <v>1</v>
      </c>
      <c r="I53" s="19">
        <f t="shared" si="5"/>
        <v>147</v>
      </c>
      <c r="J53" s="32" t="s">
        <v>404</v>
      </c>
      <c r="K53" s="13"/>
    </row>
    <row r="54" spans="1:11" ht="13.5" customHeight="1" x14ac:dyDescent="0.2">
      <c r="A54" s="2" t="s">
        <v>22</v>
      </c>
      <c r="B54" s="76">
        <v>45512</v>
      </c>
      <c r="C54" s="55">
        <v>9516</v>
      </c>
      <c r="D54" s="114">
        <v>45658</v>
      </c>
      <c r="E54" s="20">
        <v>45687</v>
      </c>
      <c r="F54" s="11">
        <f t="shared" si="4"/>
        <v>30</v>
      </c>
      <c r="G54" s="12">
        <v>147</v>
      </c>
      <c r="H54" s="13">
        <v>1</v>
      </c>
      <c r="I54" s="19">
        <f t="shared" si="5"/>
        <v>147</v>
      </c>
      <c r="J54" s="32" t="s">
        <v>405</v>
      </c>
      <c r="K54" s="13"/>
    </row>
    <row r="55" spans="1:11" ht="13.5" customHeight="1" x14ac:dyDescent="0.2">
      <c r="A55" s="2" t="s">
        <v>22</v>
      </c>
      <c r="B55" s="76">
        <v>45512</v>
      </c>
      <c r="C55" s="55">
        <v>9697</v>
      </c>
      <c r="D55" s="114">
        <v>45658</v>
      </c>
      <c r="E55" s="20">
        <v>45687</v>
      </c>
      <c r="F55" s="11">
        <f t="shared" si="4"/>
        <v>30</v>
      </c>
      <c r="G55" s="12">
        <v>147</v>
      </c>
      <c r="H55" s="13">
        <v>1</v>
      </c>
      <c r="I55" s="19">
        <f t="shared" si="5"/>
        <v>147</v>
      </c>
      <c r="J55" s="32" t="s">
        <v>406</v>
      </c>
      <c r="K55" s="13"/>
    </row>
    <row r="56" spans="1:11" ht="13.5" customHeight="1" x14ac:dyDescent="0.2">
      <c r="A56" s="2" t="s">
        <v>22</v>
      </c>
      <c r="B56" s="76">
        <v>45512</v>
      </c>
      <c r="C56" s="55">
        <v>9701</v>
      </c>
      <c r="D56" s="114">
        <v>45658</v>
      </c>
      <c r="E56" s="20">
        <v>45687</v>
      </c>
      <c r="F56" s="11">
        <f t="shared" si="4"/>
        <v>30</v>
      </c>
      <c r="G56" s="12">
        <v>147</v>
      </c>
      <c r="H56" s="13">
        <v>1</v>
      </c>
      <c r="I56" s="19">
        <f t="shared" si="5"/>
        <v>147</v>
      </c>
      <c r="J56" s="32" t="s">
        <v>407</v>
      </c>
      <c r="K56" s="13"/>
    </row>
    <row r="57" spans="1:11" ht="13.5" customHeight="1" x14ac:dyDescent="0.2">
      <c r="A57" s="2" t="s">
        <v>22</v>
      </c>
      <c r="B57" s="76">
        <v>45512</v>
      </c>
      <c r="C57" s="55">
        <v>9512</v>
      </c>
      <c r="D57" s="114">
        <v>45658</v>
      </c>
      <c r="E57" s="20">
        <v>45687</v>
      </c>
      <c r="F57" s="11">
        <f t="shared" si="4"/>
        <v>30</v>
      </c>
      <c r="G57" s="12">
        <v>147</v>
      </c>
      <c r="H57" s="13">
        <v>1</v>
      </c>
      <c r="I57" s="19">
        <f t="shared" si="5"/>
        <v>147</v>
      </c>
      <c r="J57" s="32" t="s">
        <v>408</v>
      </c>
      <c r="K57" s="13"/>
    </row>
    <row r="58" spans="1:11" ht="13.5" customHeight="1" x14ac:dyDescent="0.2">
      <c r="A58" s="2" t="s">
        <v>22</v>
      </c>
      <c r="B58" s="76">
        <v>45512</v>
      </c>
      <c r="C58" s="55">
        <v>9524</v>
      </c>
      <c r="D58" s="114">
        <v>45658</v>
      </c>
      <c r="E58" s="20">
        <v>45687</v>
      </c>
      <c r="F58" s="11">
        <f t="shared" si="4"/>
        <v>30</v>
      </c>
      <c r="G58" s="12">
        <v>147</v>
      </c>
      <c r="H58" s="13">
        <v>1</v>
      </c>
      <c r="I58" s="19">
        <f t="shared" si="5"/>
        <v>147</v>
      </c>
      <c r="J58" s="32" t="s">
        <v>409</v>
      </c>
      <c r="K58" s="13"/>
    </row>
    <row r="59" spans="1:11" ht="13.5" customHeight="1" x14ac:dyDescent="0.2">
      <c r="A59" s="2" t="s">
        <v>22</v>
      </c>
      <c r="B59" s="76">
        <v>45512</v>
      </c>
      <c r="C59" s="55">
        <v>9515</v>
      </c>
      <c r="D59" s="114">
        <v>45658</v>
      </c>
      <c r="E59" s="20">
        <v>45687</v>
      </c>
      <c r="F59" s="11">
        <f t="shared" si="4"/>
        <v>30</v>
      </c>
      <c r="G59" s="12">
        <v>147</v>
      </c>
      <c r="H59" s="13">
        <v>1</v>
      </c>
      <c r="I59" s="19">
        <f t="shared" si="5"/>
        <v>147</v>
      </c>
      <c r="J59" s="32" t="s">
        <v>410</v>
      </c>
      <c r="K59" s="13"/>
    </row>
    <row r="60" spans="1:11" ht="13.5" customHeight="1" x14ac:dyDescent="0.2">
      <c r="A60" s="2" t="s">
        <v>22</v>
      </c>
      <c r="B60" s="76">
        <v>45512</v>
      </c>
      <c r="C60" s="55">
        <v>9514</v>
      </c>
      <c r="D60" s="114">
        <v>45658</v>
      </c>
      <c r="E60" s="20">
        <v>45687</v>
      </c>
      <c r="F60" s="11">
        <f t="shared" si="4"/>
        <v>30</v>
      </c>
      <c r="G60" s="12">
        <v>147</v>
      </c>
      <c r="H60" s="13">
        <v>1</v>
      </c>
      <c r="I60" s="19">
        <f t="shared" si="5"/>
        <v>147</v>
      </c>
      <c r="J60" s="32" t="s">
        <v>411</v>
      </c>
      <c r="K60" s="13"/>
    </row>
    <row r="61" spans="1:11" ht="13.5" customHeight="1" x14ac:dyDescent="0.2">
      <c r="A61" s="2" t="s">
        <v>22</v>
      </c>
      <c r="B61" s="76">
        <v>45512</v>
      </c>
      <c r="C61" s="55">
        <v>9513</v>
      </c>
      <c r="D61" s="114">
        <v>45658</v>
      </c>
      <c r="E61" s="20">
        <v>45687</v>
      </c>
      <c r="F61" s="11">
        <f t="shared" si="4"/>
        <v>30</v>
      </c>
      <c r="G61" s="12">
        <v>147</v>
      </c>
      <c r="H61" s="13">
        <v>1</v>
      </c>
      <c r="I61" s="19">
        <f t="shared" si="5"/>
        <v>147</v>
      </c>
      <c r="J61" s="32" t="s">
        <v>412</v>
      </c>
      <c r="K61" s="13"/>
    </row>
    <row r="62" spans="1:11" ht="13.5" customHeight="1" x14ac:dyDescent="0.2">
      <c r="A62" s="2" t="s">
        <v>22</v>
      </c>
      <c r="B62" s="167">
        <v>45512</v>
      </c>
      <c r="C62" s="173">
        <v>12532</v>
      </c>
      <c r="D62" s="114">
        <v>45658</v>
      </c>
      <c r="E62" s="20">
        <v>45687</v>
      </c>
      <c r="F62" s="168">
        <f t="shared" si="4"/>
        <v>30</v>
      </c>
      <c r="G62" s="169">
        <v>147</v>
      </c>
      <c r="H62" s="170">
        <v>1</v>
      </c>
      <c r="I62" s="171">
        <f t="shared" si="5"/>
        <v>147</v>
      </c>
      <c r="J62" s="172" t="s">
        <v>413</v>
      </c>
      <c r="K62" s="13"/>
    </row>
    <row r="63" spans="1:11" ht="13.5" customHeight="1" x14ac:dyDescent="0.2">
      <c r="A63" s="2" t="s">
        <v>22</v>
      </c>
      <c r="B63" s="167">
        <v>45512</v>
      </c>
      <c r="C63" s="173">
        <v>9791</v>
      </c>
      <c r="D63" s="114">
        <v>45658</v>
      </c>
      <c r="E63" s="20">
        <v>45687</v>
      </c>
      <c r="F63" s="168">
        <f t="shared" si="4"/>
        <v>30</v>
      </c>
      <c r="G63" s="169">
        <v>147</v>
      </c>
      <c r="H63" s="170">
        <v>1</v>
      </c>
      <c r="I63" s="171">
        <f t="shared" si="5"/>
        <v>147</v>
      </c>
      <c r="J63" s="172" t="s">
        <v>414</v>
      </c>
      <c r="K63" s="13"/>
    </row>
    <row r="64" spans="1:11" ht="13.5" customHeight="1" x14ac:dyDescent="0.2">
      <c r="A64" s="2" t="s">
        <v>22</v>
      </c>
      <c r="B64" s="167">
        <v>45512</v>
      </c>
      <c r="C64" s="173">
        <v>9793</v>
      </c>
      <c r="D64" s="114">
        <v>45658</v>
      </c>
      <c r="E64" s="20">
        <v>45687</v>
      </c>
      <c r="F64" s="168">
        <f t="shared" si="4"/>
        <v>30</v>
      </c>
      <c r="G64" s="169">
        <v>147</v>
      </c>
      <c r="H64" s="170">
        <v>1</v>
      </c>
      <c r="I64" s="171">
        <f t="shared" si="5"/>
        <v>147</v>
      </c>
      <c r="J64" s="172" t="s">
        <v>274</v>
      </c>
      <c r="K64" s="13"/>
    </row>
    <row r="65" spans="1:11" ht="13.5" customHeight="1" x14ac:dyDescent="0.2">
      <c r="A65" s="2" t="s">
        <v>22</v>
      </c>
      <c r="B65" s="167">
        <v>45512</v>
      </c>
      <c r="C65" s="173">
        <v>9694</v>
      </c>
      <c r="D65" s="114">
        <v>45658</v>
      </c>
      <c r="E65" s="20">
        <v>45687</v>
      </c>
      <c r="F65" s="168">
        <f t="shared" si="4"/>
        <v>30</v>
      </c>
      <c r="G65" s="169">
        <v>147</v>
      </c>
      <c r="H65" s="170">
        <v>1</v>
      </c>
      <c r="I65" s="171">
        <f t="shared" si="5"/>
        <v>147</v>
      </c>
      <c r="J65" s="172" t="s">
        <v>415</v>
      </c>
      <c r="K65" s="13"/>
    </row>
    <row r="66" spans="1:11" ht="13.5" customHeight="1" x14ac:dyDescent="0.2">
      <c r="A66" s="2" t="s">
        <v>23</v>
      </c>
      <c r="B66" s="76">
        <v>45512</v>
      </c>
      <c r="C66" s="55">
        <v>9801</v>
      </c>
      <c r="D66" s="114">
        <v>45658</v>
      </c>
      <c r="E66" s="20">
        <v>45687</v>
      </c>
      <c r="F66" s="11">
        <f t="shared" si="4"/>
        <v>30</v>
      </c>
      <c r="G66" s="12">
        <v>235</v>
      </c>
      <c r="H66" s="13">
        <v>1</v>
      </c>
      <c r="I66" s="19">
        <f t="shared" si="5"/>
        <v>235</v>
      </c>
      <c r="J66" s="32" t="s">
        <v>133</v>
      </c>
      <c r="K66" s="13"/>
    </row>
    <row r="67" spans="1:11" ht="13.5" customHeight="1" x14ac:dyDescent="0.2">
      <c r="A67" s="2" t="s">
        <v>23</v>
      </c>
      <c r="B67" s="76">
        <v>45512</v>
      </c>
      <c r="C67" s="55">
        <v>9803</v>
      </c>
      <c r="D67" s="114">
        <v>45658</v>
      </c>
      <c r="E67" s="20">
        <v>45687</v>
      </c>
      <c r="F67" s="11">
        <f t="shared" si="4"/>
        <v>30</v>
      </c>
      <c r="G67" s="12">
        <v>235</v>
      </c>
      <c r="H67" s="13">
        <v>1</v>
      </c>
      <c r="I67" s="19">
        <f t="shared" si="5"/>
        <v>235</v>
      </c>
      <c r="J67" s="32" t="s">
        <v>416</v>
      </c>
      <c r="K67" s="13"/>
    </row>
    <row r="68" spans="1:11" ht="13.5" customHeight="1" x14ac:dyDescent="0.2">
      <c r="A68" s="2" t="s">
        <v>23</v>
      </c>
      <c r="B68" s="76">
        <v>45512</v>
      </c>
      <c r="C68" s="55">
        <v>9794</v>
      </c>
      <c r="D68" s="114">
        <v>45658</v>
      </c>
      <c r="E68" s="20">
        <v>45687</v>
      </c>
      <c r="F68" s="11">
        <f t="shared" si="4"/>
        <v>30</v>
      </c>
      <c r="G68" s="12">
        <v>235</v>
      </c>
      <c r="H68" s="13">
        <v>1</v>
      </c>
      <c r="I68" s="19">
        <f t="shared" si="5"/>
        <v>235</v>
      </c>
      <c r="J68" s="32" t="s">
        <v>417</v>
      </c>
      <c r="K68" s="13"/>
    </row>
    <row r="69" spans="1:11" ht="13.5" customHeight="1" x14ac:dyDescent="0.2">
      <c r="A69" s="2" t="s">
        <v>23</v>
      </c>
      <c r="B69" s="76">
        <v>45512</v>
      </c>
      <c r="C69" s="55">
        <v>9800</v>
      </c>
      <c r="D69" s="114">
        <v>45658</v>
      </c>
      <c r="E69" s="20">
        <v>45687</v>
      </c>
      <c r="F69" s="11">
        <f t="shared" si="4"/>
        <v>30</v>
      </c>
      <c r="G69" s="12">
        <v>235</v>
      </c>
      <c r="H69" s="13">
        <v>1</v>
      </c>
      <c r="I69" s="19">
        <f t="shared" si="5"/>
        <v>235</v>
      </c>
      <c r="J69" s="32" t="s">
        <v>418</v>
      </c>
      <c r="K69" s="13"/>
    </row>
    <row r="70" spans="1:11" ht="13.5" customHeight="1" x14ac:dyDescent="0.2">
      <c r="A70" s="2" t="s">
        <v>23</v>
      </c>
      <c r="B70" s="76">
        <v>45512</v>
      </c>
      <c r="C70" s="55">
        <v>9795</v>
      </c>
      <c r="D70" s="114">
        <v>45658</v>
      </c>
      <c r="E70" s="20">
        <v>45687</v>
      </c>
      <c r="F70" s="11">
        <f t="shared" si="4"/>
        <v>30</v>
      </c>
      <c r="G70" s="12">
        <v>235</v>
      </c>
      <c r="H70" s="13">
        <v>1</v>
      </c>
      <c r="I70" s="19">
        <f t="shared" si="5"/>
        <v>235</v>
      </c>
      <c r="J70" s="32" t="s">
        <v>419</v>
      </c>
      <c r="K70" s="13"/>
    </row>
    <row r="71" spans="1:11" ht="13.5" customHeight="1" x14ac:dyDescent="0.2">
      <c r="A71" s="2" t="s">
        <v>23</v>
      </c>
      <c r="B71" s="76">
        <v>45512</v>
      </c>
      <c r="C71" s="55">
        <v>9796</v>
      </c>
      <c r="D71" s="114">
        <v>45658</v>
      </c>
      <c r="E71" s="20">
        <v>45687</v>
      </c>
      <c r="F71" s="11">
        <f t="shared" si="4"/>
        <v>30</v>
      </c>
      <c r="G71" s="12">
        <v>235</v>
      </c>
      <c r="H71" s="13">
        <v>1</v>
      </c>
      <c r="I71" s="19">
        <f t="shared" si="5"/>
        <v>235</v>
      </c>
      <c r="J71" s="32" t="s">
        <v>420</v>
      </c>
      <c r="K71" s="13"/>
    </row>
    <row r="72" spans="1:11" ht="13.5" customHeight="1" x14ac:dyDescent="0.2">
      <c r="A72" s="2" t="s">
        <v>23</v>
      </c>
      <c r="B72" s="76">
        <v>45512</v>
      </c>
      <c r="C72" s="55">
        <v>9790</v>
      </c>
      <c r="D72" s="114">
        <v>45658</v>
      </c>
      <c r="E72" s="20">
        <v>45687</v>
      </c>
      <c r="F72" s="11">
        <f t="shared" si="4"/>
        <v>30</v>
      </c>
      <c r="G72" s="12">
        <v>235</v>
      </c>
      <c r="H72" s="13">
        <v>1</v>
      </c>
      <c r="I72" s="19">
        <f t="shared" si="5"/>
        <v>235</v>
      </c>
      <c r="J72" s="32" t="s">
        <v>421</v>
      </c>
      <c r="K72" s="13"/>
    </row>
    <row r="73" spans="1:11" ht="13.5" customHeight="1" x14ac:dyDescent="0.2">
      <c r="A73" s="2" t="s">
        <v>23</v>
      </c>
      <c r="B73" s="76">
        <v>45512</v>
      </c>
      <c r="C73" s="55">
        <v>9802</v>
      </c>
      <c r="D73" s="114">
        <v>45658</v>
      </c>
      <c r="E73" s="20">
        <v>45687</v>
      </c>
      <c r="F73" s="11">
        <f t="shared" si="4"/>
        <v>30</v>
      </c>
      <c r="G73" s="12">
        <v>235</v>
      </c>
      <c r="H73" s="13">
        <v>1</v>
      </c>
      <c r="I73" s="19">
        <f t="shared" si="5"/>
        <v>235</v>
      </c>
      <c r="J73" s="32" t="s">
        <v>422</v>
      </c>
      <c r="K73" s="13"/>
    </row>
    <row r="74" spans="1:11" ht="13.5" customHeight="1" x14ac:dyDescent="0.2">
      <c r="A74" s="2" t="s">
        <v>23</v>
      </c>
      <c r="B74" s="76">
        <v>45512</v>
      </c>
      <c r="C74" s="55">
        <v>10291</v>
      </c>
      <c r="D74" s="114">
        <v>45658</v>
      </c>
      <c r="E74" s="20">
        <v>45687</v>
      </c>
      <c r="F74" s="11">
        <f t="shared" si="4"/>
        <v>30</v>
      </c>
      <c r="G74" s="12">
        <v>235</v>
      </c>
      <c r="H74" s="13">
        <v>1</v>
      </c>
      <c r="I74" s="19">
        <f t="shared" si="5"/>
        <v>235</v>
      </c>
      <c r="J74" s="32" t="s">
        <v>423</v>
      </c>
      <c r="K74" s="13"/>
    </row>
    <row r="75" spans="1:11" ht="13.5" customHeight="1" x14ac:dyDescent="0.2">
      <c r="A75" s="2" t="s">
        <v>23</v>
      </c>
      <c r="B75" s="76">
        <v>45512</v>
      </c>
      <c r="C75" s="55">
        <v>10294</v>
      </c>
      <c r="D75" s="114">
        <v>45658</v>
      </c>
      <c r="E75" s="20">
        <v>45687</v>
      </c>
      <c r="F75" s="11">
        <f t="shared" si="4"/>
        <v>30</v>
      </c>
      <c r="G75" s="12">
        <v>235</v>
      </c>
      <c r="H75" s="13">
        <v>1</v>
      </c>
      <c r="I75" s="19">
        <f t="shared" si="5"/>
        <v>235</v>
      </c>
      <c r="J75" s="32" t="s">
        <v>424</v>
      </c>
      <c r="K75" s="13"/>
    </row>
    <row r="76" spans="1:11" ht="13.5" customHeight="1" x14ac:dyDescent="0.2">
      <c r="A76" s="2" t="s">
        <v>23</v>
      </c>
      <c r="B76" s="76">
        <v>45512</v>
      </c>
      <c r="C76" s="55">
        <v>10293</v>
      </c>
      <c r="D76" s="114">
        <v>45658</v>
      </c>
      <c r="E76" s="20">
        <v>45687</v>
      </c>
      <c r="F76" s="11">
        <f t="shared" si="4"/>
        <v>30</v>
      </c>
      <c r="G76" s="12">
        <v>235</v>
      </c>
      <c r="H76" s="13">
        <v>1</v>
      </c>
      <c r="I76" s="19">
        <f t="shared" si="5"/>
        <v>235</v>
      </c>
      <c r="J76" s="32" t="s">
        <v>425</v>
      </c>
      <c r="K76" s="13"/>
    </row>
    <row r="77" spans="1:11" ht="13.5" customHeight="1" x14ac:dyDescent="0.2">
      <c r="A77" s="2" t="s">
        <v>23</v>
      </c>
      <c r="B77" s="76">
        <v>45512</v>
      </c>
      <c r="C77" s="55">
        <v>10292</v>
      </c>
      <c r="D77" s="114">
        <v>45658</v>
      </c>
      <c r="E77" s="20">
        <v>45687</v>
      </c>
      <c r="F77" s="11">
        <f t="shared" si="4"/>
        <v>30</v>
      </c>
      <c r="G77" s="12">
        <v>235</v>
      </c>
      <c r="H77" s="13">
        <v>1</v>
      </c>
      <c r="I77" s="19">
        <f t="shared" si="5"/>
        <v>235</v>
      </c>
      <c r="J77" s="32" t="s">
        <v>426</v>
      </c>
      <c r="K77" s="13"/>
    </row>
    <row r="78" spans="1:11" ht="13.5" customHeight="1" x14ac:dyDescent="0.2">
      <c r="A78" s="2" t="s">
        <v>23</v>
      </c>
      <c r="B78" s="76">
        <v>45512</v>
      </c>
      <c r="C78" s="55">
        <v>9799</v>
      </c>
      <c r="D78" s="114">
        <v>45658</v>
      </c>
      <c r="E78" s="20">
        <v>45687</v>
      </c>
      <c r="F78" s="11">
        <f t="shared" si="4"/>
        <v>30</v>
      </c>
      <c r="G78" s="12">
        <v>235</v>
      </c>
      <c r="H78" s="13">
        <v>1</v>
      </c>
      <c r="I78" s="19">
        <f t="shared" si="5"/>
        <v>235</v>
      </c>
      <c r="J78" s="32" t="s">
        <v>427</v>
      </c>
      <c r="K78" s="13"/>
    </row>
    <row r="79" spans="1:11" ht="13.5" customHeight="1" x14ac:dyDescent="0.2">
      <c r="A79" s="2" t="s">
        <v>23</v>
      </c>
      <c r="B79" s="76">
        <v>45512</v>
      </c>
      <c r="C79" s="55">
        <v>9792</v>
      </c>
      <c r="D79" s="114">
        <v>45658</v>
      </c>
      <c r="E79" s="20">
        <v>45687</v>
      </c>
      <c r="F79" s="11">
        <f t="shared" si="4"/>
        <v>30</v>
      </c>
      <c r="G79" s="12">
        <v>235</v>
      </c>
      <c r="H79" s="13">
        <v>1</v>
      </c>
      <c r="I79" s="19">
        <f t="shared" si="5"/>
        <v>235</v>
      </c>
      <c r="J79" s="32" t="s">
        <v>428</v>
      </c>
      <c r="K79" s="13"/>
    </row>
    <row r="80" spans="1:11" ht="13.5" customHeight="1" x14ac:dyDescent="0.2">
      <c r="A80" s="2" t="s">
        <v>23</v>
      </c>
      <c r="B80" s="76">
        <v>45512</v>
      </c>
      <c r="C80" s="55">
        <v>9798</v>
      </c>
      <c r="D80" s="114">
        <v>45658</v>
      </c>
      <c r="E80" s="20">
        <v>45687</v>
      </c>
      <c r="F80" s="11">
        <f t="shared" si="4"/>
        <v>30</v>
      </c>
      <c r="G80" s="12">
        <v>235</v>
      </c>
      <c r="H80" s="13">
        <v>1</v>
      </c>
      <c r="I80" s="19">
        <f t="shared" si="5"/>
        <v>235</v>
      </c>
      <c r="J80" s="32" t="s">
        <v>429</v>
      </c>
      <c r="K80" s="13"/>
    </row>
    <row r="81" spans="1:11" ht="13.5" customHeight="1" x14ac:dyDescent="0.2">
      <c r="A81" s="2" t="s">
        <v>23</v>
      </c>
      <c r="B81" s="76">
        <v>45512</v>
      </c>
      <c r="C81" s="55">
        <v>11323</v>
      </c>
      <c r="D81" s="114">
        <v>45658</v>
      </c>
      <c r="E81" s="20">
        <v>45687</v>
      </c>
      <c r="F81" s="11">
        <f t="shared" si="4"/>
        <v>30</v>
      </c>
      <c r="G81" s="12">
        <v>235</v>
      </c>
      <c r="H81" s="13">
        <v>1</v>
      </c>
      <c r="I81" s="19">
        <f t="shared" si="5"/>
        <v>235</v>
      </c>
      <c r="J81" s="32" t="s">
        <v>430</v>
      </c>
      <c r="K81" s="13"/>
    </row>
    <row r="82" spans="1:11" ht="13.5" customHeight="1" x14ac:dyDescent="0.2">
      <c r="A82" s="2" t="s">
        <v>23</v>
      </c>
      <c r="B82" s="76">
        <v>45512</v>
      </c>
      <c r="C82" s="55">
        <v>9519</v>
      </c>
      <c r="D82" s="114">
        <v>45658</v>
      </c>
      <c r="E82" s="20">
        <v>45687</v>
      </c>
      <c r="F82" s="11">
        <f t="shared" si="4"/>
        <v>30</v>
      </c>
      <c r="G82" s="12">
        <v>235</v>
      </c>
      <c r="H82" s="13">
        <v>1</v>
      </c>
      <c r="I82" s="19">
        <f t="shared" si="5"/>
        <v>235</v>
      </c>
      <c r="J82" s="32" t="s">
        <v>431</v>
      </c>
      <c r="K82" s="13"/>
    </row>
    <row r="83" spans="1:11" ht="13.5" customHeight="1" x14ac:dyDescent="0.2">
      <c r="A83" s="2" t="s">
        <v>23</v>
      </c>
      <c r="B83" s="76">
        <v>45512</v>
      </c>
      <c r="C83" s="55">
        <v>9518</v>
      </c>
      <c r="D83" s="114">
        <v>45658</v>
      </c>
      <c r="E83" s="20">
        <v>45687</v>
      </c>
      <c r="F83" s="11">
        <f t="shared" si="4"/>
        <v>30</v>
      </c>
      <c r="G83" s="12">
        <v>235</v>
      </c>
      <c r="H83" s="13">
        <v>1</v>
      </c>
      <c r="I83" s="19">
        <f t="shared" si="5"/>
        <v>235</v>
      </c>
      <c r="J83" s="32" t="s">
        <v>432</v>
      </c>
      <c r="K83" s="13"/>
    </row>
    <row r="84" spans="1:11" ht="13.5" customHeight="1" x14ac:dyDescent="0.2">
      <c r="A84" s="2" t="s">
        <v>24</v>
      </c>
      <c r="B84" s="76">
        <v>45512</v>
      </c>
      <c r="C84" s="55">
        <v>12289</v>
      </c>
      <c r="D84" s="114">
        <v>45658</v>
      </c>
      <c r="E84" s="20">
        <v>45687</v>
      </c>
      <c r="F84" s="11">
        <f t="shared" si="4"/>
        <v>30</v>
      </c>
      <c r="G84" s="12">
        <v>238</v>
      </c>
      <c r="H84" s="13">
        <v>1</v>
      </c>
      <c r="I84" s="19">
        <f t="shared" si="5"/>
        <v>238</v>
      </c>
      <c r="J84" s="32" t="s">
        <v>433</v>
      </c>
      <c r="K84" s="13"/>
    </row>
    <row r="85" spans="1:11" ht="13.5" customHeight="1" x14ac:dyDescent="0.2">
      <c r="A85" s="2" t="s">
        <v>24</v>
      </c>
      <c r="B85" s="76">
        <v>45512</v>
      </c>
      <c r="C85" s="55">
        <v>9502</v>
      </c>
      <c r="D85" s="114">
        <v>45658</v>
      </c>
      <c r="E85" s="20">
        <v>45687</v>
      </c>
      <c r="F85" s="11">
        <f t="shared" si="4"/>
        <v>30</v>
      </c>
      <c r="G85" s="12">
        <v>238</v>
      </c>
      <c r="H85" s="13">
        <v>1</v>
      </c>
      <c r="I85" s="19">
        <f t="shared" si="5"/>
        <v>238</v>
      </c>
      <c r="J85" s="32" t="s">
        <v>434</v>
      </c>
      <c r="K85" s="13"/>
    </row>
    <row r="86" spans="1:11" ht="13.5" customHeight="1" x14ac:dyDescent="0.2">
      <c r="A86" s="2" t="s">
        <v>24</v>
      </c>
      <c r="B86" s="76">
        <v>45512</v>
      </c>
      <c r="C86" s="55">
        <v>9498</v>
      </c>
      <c r="D86" s="114">
        <v>45658</v>
      </c>
      <c r="E86" s="20">
        <v>45687</v>
      </c>
      <c r="F86" s="11">
        <f t="shared" si="4"/>
        <v>30</v>
      </c>
      <c r="G86" s="12">
        <v>238</v>
      </c>
      <c r="H86" s="13">
        <v>1</v>
      </c>
      <c r="I86" s="19">
        <f t="shared" si="5"/>
        <v>238</v>
      </c>
      <c r="J86" s="32" t="s">
        <v>434</v>
      </c>
      <c r="K86" s="13"/>
    </row>
    <row r="87" spans="1:11" ht="13.5" customHeight="1" x14ac:dyDescent="0.2">
      <c r="A87" s="2" t="s">
        <v>24</v>
      </c>
      <c r="B87" s="76">
        <v>45512</v>
      </c>
      <c r="C87" s="55">
        <v>9499</v>
      </c>
      <c r="D87" s="114">
        <v>45658</v>
      </c>
      <c r="E87" s="20">
        <v>45687</v>
      </c>
      <c r="F87" s="11">
        <f t="shared" si="4"/>
        <v>30</v>
      </c>
      <c r="G87" s="12">
        <v>238</v>
      </c>
      <c r="H87" s="13">
        <v>1</v>
      </c>
      <c r="I87" s="19">
        <f t="shared" si="5"/>
        <v>238</v>
      </c>
      <c r="J87" s="32" t="s">
        <v>435</v>
      </c>
      <c r="K87" s="13"/>
    </row>
    <row r="88" spans="1:11" ht="13.5" customHeight="1" x14ac:dyDescent="0.2">
      <c r="A88" s="2" t="s">
        <v>24</v>
      </c>
      <c r="B88" s="76">
        <v>45512</v>
      </c>
      <c r="C88" s="55">
        <v>9751</v>
      </c>
      <c r="D88" s="114">
        <v>45658</v>
      </c>
      <c r="E88" s="20">
        <v>45687</v>
      </c>
      <c r="F88" s="11">
        <f t="shared" si="4"/>
        <v>30</v>
      </c>
      <c r="G88" s="12">
        <v>238</v>
      </c>
      <c r="H88" s="13">
        <v>1</v>
      </c>
      <c r="I88" s="19">
        <f t="shared" si="5"/>
        <v>238</v>
      </c>
      <c r="J88" s="32" t="s">
        <v>164</v>
      </c>
      <c r="K88" s="13"/>
    </row>
    <row r="89" spans="1:11" ht="13.5" customHeight="1" x14ac:dyDescent="0.2">
      <c r="A89" s="2" t="s">
        <v>24</v>
      </c>
      <c r="B89" s="76">
        <v>45512</v>
      </c>
      <c r="C89" s="55">
        <v>9744</v>
      </c>
      <c r="D89" s="114">
        <v>45658</v>
      </c>
      <c r="E89" s="20">
        <v>45687</v>
      </c>
      <c r="F89" s="11">
        <f t="shared" si="4"/>
        <v>30</v>
      </c>
      <c r="G89" s="12">
        <v>238</v>
      </c>
      <c r="H89" s="13">
        <v>1</v>
      </c>
      <c r="I89" s="19">
        <f t="shared" si="5"/>
        <v>238</v>
      </c>
      <c r="J89" s="32" t="s">
        <v>436</v>
      </c>
      <c r="K89" s="13"/>
    </row>
    <row r="90" spans="1:11" ht="13.5" customHeight="1" x14ac:dyDescent="0.2">
      <c r="A90" s="2" t="s">
        <v>24</v>
      </c>
      <c r="B90" s="76">
        <v>45512</v>
      </c>
      <c r="C90" s="55">
        <v>9745</v>
      </c>
      <c r="D90" s="114">
        <v>45658</v>
      </c>
      <c r="E90" s="20">
        <v>45687</v>
      </c>
      <c r="F90" s="11">
        <f t="shared" si="4"/>
        <v>30</v>
      </c>
      <c r="G90" s="12">
        <v>238</v>
      </c>
      <c r="H90" s="13">
        <v>1</v>
      </c>
      <c r="I90" s="19">
        <f t="shared" si="5"/>
        <v>238</v>
      </c>
      <c r="J90" s="32" t="s">
        <v>437</v>
      </c>
      <c r="K90" s="13"/>
    </row>
    <row r="91" spans="1:11" ht="13.5" customHeight="1" x14ac:dyDescent="0.2">
      <c r="A91" s="2" t="s">
        <v>24</v>
      </c>
      <c r="B91" s="76">
        <v>45512</v>
      </c>
      <c r="C91" s="55">
        <v>9741</v>
      </c>
      <c r="D91" s="114">
        <v>45658</v>
      </c>
      <c r="E91" s="20">
        <v>45687</v>
      </c>
      <c r="F91" s="11">
        <f t="shared" si="4"/>
        <v>30</v>
      </c>
      <c r="G91" s="12">
        <v>238</v>
      </c>
      <c r="H91" s="13">
        <v>1</v>
      </c>
      <c r="I91" s="19">
        <f t="shared" si="5"/>
        <v>238</v>
      </c>
      <c r="J91" s="32" t="s">
        <v>401</v>
      </c>
      <c r="K91" s="13"/>
    </row>
    <row r="92" spans="1:11" ht="13.5" customHeight="1" x14ac:dyDescent="0.2">
      <c r="A92" s="2" t="s">
        <v>24</v>
      </c>
      <c r="B92" s="76">
        <v>45512</v>
      </c>
      <c r="C92" s="55">
        <v>9747</v>
      </c>
      <c r="D92" s="114">
        <v>45658</v>
      </c>
      <c r="E92" s="20">
        <v>45687</v>
      </c>
      <c r="F92" s="11">
        <f t="shared" si="4"/>
        <v>30</v>
      </c>
      <c r="G92" s="12">
        <v>238</v>
      </c>
      <c r="H92" s="13">
        <v>1</v>
      </c>
      <c r="I92" s="19">
        <f t="shared" si="5"/>
        <v>238</v>
      </c>
      <c r="J92" s="32" t="s">
        <v>438</v>
      </c>
      <c r="K92" s="13"/>
    </row>
    <row r="93" spans="1:11" ht="13.5" customHeight="1" x14ac:dyDescent="0.2">
      <c r="A93" s="2" t="s">
        <v>24</v>
      </c>
      <c r="B93" s="76">
        <v>45512</v>
      </c>
      <c r="C93" s="55">
        <v>9752</v>
      </c>
      <c r="D93" s="114">
        <v>45658</v>
      </c>
      <c r="E93" s="20">
        <v>45687</v>
      </c>
      <c r="F93" s="11">
        <f t="shared" si="4"/>
        <v>30</v>
      </c>
      <c r="G93" s="12">
        <v>238</v>
      </c>
      <c r="H93" s="13">
        <v>1</v>
      </c>
      <c r="I93" s="19">
        <f t="shared" si="5"/>
        <v>238</v>
      </c>
      <c r="J93" s="32" t="s">
        <v>439</v>
      </c>
      <c r="K93" s="13"/>
    </row>
    <row r="94" spans="1:11" ht="13.5" customHeight="1" x14ac:dyDescent="0.2">
      <c r="A94" s="2" t="s">
        <v>24</v>
      </c>
      <c r="B94" s="76">
        <v>45512</v>
      </c>
      <c r="C94" s="55">
        <v>9743</v>
      </c>
      <c r="D94" s="114">
        <v>45658</v>
      </c>
      <c r="E94" s="20">
        <v>45687</v>
      </c>
      <c r="F94" s="11">
        <f t="shared" si="4"/>
        <v>30</v>
      </c>
      <c r="G94" s="12">
        <v>238</v>
      </c>
      <c r="H94" s="13">
        <v>1</v>
      </c>
      <c r="I94" s="19">
        <f t="shared" si="5"/>
        <v>238</v>
      </c>
      <c r="J94" s="32" t="s">
        <v>440</v>
      </c>
      <c r="K94" s="13"/>
    </row>
    <row r="95" spans="1:11" ht="13.5" customHeight="1" x14ac:dyDescent="0.2">
      <c r="A95" s="2" t="s">
        <v>24</v>
      </c>
      <c r="B95" s="76">
        <v>45512</v>
      </c>
      <c r="C95" s="55">
        <v>9740</v>
      </c>
      <c r="D95" s="114">
        <v>45658</v>
      </c>
      <c r="E95" s="20">
        <v>45687</v>
      </c>
      <c r="F95" s="11">
        <f t="shared" si="4"/>
        <v>30</v>
      </c>
      <c r="G95" s="12">
        <v>238</v>
      </c>
      <c r="H95" s="13">
        <v>1</v>
      </c>
      <c r="I95" s="19">
        <f t="shared" si="5"/>
        <v>238</v>
      </c>
      <c r="J95" s="32" t="s">
        <v>415</v>
      </c>
      <c r="K95" s="13"/>
    </row>
    <row r="96" spans="1:11" ht="13.5" customHeight="1" x14ac:dyDescent="0.2">
      <c r="A96" s="2" t="s">
        <v>24</v>
      </c>
      <c r="B96" s="76">
        <v>45512</v>
      </c>
      <c r="C96" s="55">
        <v>9504</v>
      </c>
      <c r="D96" s="114">
        <v>45658</v>
      </c>
      <c r="E96" s="20">
        <v>45687</v>
      </c>
      <c r="F96" s="11">
        <f t="shared" si="4"/>
        <v>30</v>
      </c>
      <c r="G96" s="12">
        <v>238</v>
      </c>
      <c r="H96" s="13">
        <v>1</v>
      </c>
      <c r="I96" s="19">
        <f t="shared" si="5"/>
        <v>238</v>
      </c>
      <c r="J96" s="32" t="s">
        <v>441</v>
      </c>
      <c r="K96" s="13"/>
    </row>
    <row r="97" spans="1:11" ht="13.5" customHeight="1" x14ac:dyDescent="0.2">
      <c r="A97" s="2" t="s">
        <v>24</v>
      </c>
      <c r="B97" s="76">
        <v>45512</v>
      </c>
      <c r="C97" s="55">
        <v>9577</v>
      </c>
      <c r="D97" s="114">
        <v>45658</v>
      </c>
      <c r="E97" s="20">
        <v>45687</v>
      </c>
      <c r="F97" s="11">
        <f t="shared" si="4"/>
        <v>30</v>
      </c>
      <c r="G97" s="12">
        <v>238</v>
      </c>
      <c r="H97" s="13">
        <v>1</v>
      </c>
      <c r="I97" s="19">
        <f t="shared" si="5"/>
        <v>238</v>
      </c>
      <c r="J97" s="32" t="s">
        <v>442</v>
      </c>
      <c r="K97" s="13"/>
    </row>
    <row r="98" spans="1:11" ht="13.5" customHeight="1" x14ac:dyDescent="0.2">
      <c r="A98" s="2" t="s">
        <v>24</v>
      </c>
      <c r="B98" s="76">
        <v>45512</v>
      </c>
      <c r="C98" s="55">
        <v>9501</v>
      </c>
      <c r="D98" s="114">
        <v>45658</v>
      </c>
      <c r="E98" s="20">
        <v>45687</v>
      </c>
      <c r="F98" s="11">
        <f t="shared" si="4"/>
        <v>30</v>
      </c>
      <c r="G98" s="12">
        <v>238</v>
      </c>
      <c r="H98" s="13">
        <v>1</v>
      </c>
      <c r="I98" s="19">
        <f t="shared" si="5"/>
        <v>238</v>
      </c>
      <c r="J98" s="32" t="s">
        <v>442</v>
      </c>
      <c r="K98" s="13"/>
    </row>
    <row r="99" spans="1:11" ht="13.5" customHeight="1" x14ac:dyDescent="0.2">
      <c r="A99" s="2" t="s">
        <v>24</v>
      </c>
      <c r="B99" s="76">
        <v>45512</v>
      </c>
      <c r="C99" s="55">
        <v>9500</v>
      </c>
      <c r="D99" s="114">
        <v>45658</v>
      </c>
      <c r="E99" s="20">
        <v>45687</v>
      </c>
      <c r="F99" s="11">
        <f t="shared" si="4"/>
        <v>30</v>
      </c>
      <c r="G99" s="12">
        <v>238</v>
      </c>
      <c r="H99" s="13">
        <v>1</v>
      </c>
      <c r="I99" s="19">
        <f t="shared" si="5"/>
        <v>238</v>
      </c>
      <c r="J99" s="32" t="s">
        <v>442</v>
      </c>
      <c r="K99" s="13"/>
    </row>
    <row r="100" spans="1:11" ht="13.5" customHeight="1" x14ac:dyDescent="0.2">
      <c r="A100" s="2" t="s">
        <v>27</v>
      </c>
      <c r="B100" s="76">
        <v>45512</v>
      </c>
      <c r="C100" s="55">
        <v>9775</v>
      </c>
      <c r="D100" s="114">
        <v>45658</v>
      </c>
      <c r="E100" s="20">
        <v>45687</v>
      </c>
      <c r="F100" s="11">
        <f t="shared" si="4"/>
        <v>30</v>
      </c>
      <c r="G100" s="12">
        <v>347</v>
      </c>
      <c r="H100" s="13">
        <v>1</v>
      </c>
      <c r="I100" s="19">
        <f t="shared" si="5"/>
        <v>347</v>
      </c>
      <c r="J100" s="32" t="s">
        <v>443</v>
      </c>
      <c r="K100" s="13"/>
    </row>
    <row r="101" spans="1:11" ht="13.5" customHeight="1" x14ac:dyDescent="0.2">
      <c r="A101" s="2" t="s">
        <v>27</v>
      </c>
      <c r="B101" s="76">
        <v>45512</v>
      </c>
      <c r="C101" s="55">
        <v>9765</v>
      </c>
      <c r="D101" s="114">
        <v>45658</v>
      </c>
      <c r="E101" s="20">
        <v>45687</v>
      </c>
      <c r="F101" s="11">
        <f t="shared" si="4"/>
        <v>30</v>
      </c>
      <c r="G101" s="12">
        <v>347</v>
      </c>
      <c r="H101" s="13">
        <v>1</v>
      </c>
      <c r="I101" s="19">
        <f t="shared" si="5"/>
        <v>347</v>
      </c>
      <c r="J101" s="32" t="s">
        <v>169</v>
      </c>
      <c r="K101" s="13"/>
    </row>
    <row r="102" spans="1:11" ht="13.5" customHeight="1" x14ac:dyDescent="0.2">
      <c r="A102" s="2" t="s">
        <v>27</v>
      </c>
      <c r="B102" s="76">
        <v>45512</v>
      </c>
      <c r="C102" s="55">
        <v>9773</v>
      </c>
      <c r="D102" s="114">
        <v>45658</v>
      </c>
      <c r="E102" s="20">
        <v>45687</v>
      </c>
      <c r="F102" s="11">
        <f t="shared" si="4"/>
        <v>30</v>
      </c>
      <c r="G102" s="12">
        <v>347</v>
      </c>
      <c r="H102" s="13">
        <v>1</v>
      </c>
      <c r="I102" s="19">
        <f t="shared" si="5"/>
        <v>347</v>
      </c>
      <c r="J102" s="32" t="s">
        <v>159</v>
      </c>
      <c r="K102" s="13"/>
    </row>
    <row r="103" spans="1:11" ht="13.5" customHeight="1" x14ac:dyDescent="0.2">
      <c r="A103" s="2" t="s">
        <v>27</v>
      </c>
      <c r="B103" s="76">
        <v>45512</v>
      </c>
      <c r="C103" s="55">
        <v>9767</v>
      </c>
      <c r="D103" s="114">
        <v>45658</v>
      </c>
      <c r="E103" s="20">
        <v>45687</v>
      </c>
      <c r="F103" s="11">
        <f t="shared" si="4"/>
        <v>30</v>
      </c>
      <c r="G103" s="12">
        <v>347</v>
      </c>
      <c r="H103" s="13">
        <v>1</v>
      </c>
      <c r="I103" s="19">
        <f t="shared" si="5"/>
        <v>347</v>
      </c>
      <c r="J103" s="32" t="s">
        <v>444</v>
      </c>
      <c r="K103" s="13"/>
    </row>
    <row r="104" spans="1:11" ht="13.5" customHeight="1" x14ac:dyDescent="0.2">
      <c r="A104" s="2" t="s">
        <v>27</v>
      </c>
      <c r="B104" s="76">
        <v>45512</v>
      </c>
      <c r="C104" s="55">
        <v>9771</v>
      </c>
      <c r="D104" s="114">
        <v>45658</v>
      </c>
      <c r="E104" s="20">
        <v>45687</v>
      </c>
      <c r="F104" s="11">
        <f t="shared" ref="F104:F105" si="6">(E104-D104)+1</f>
        <v>30</v>
      </c>
      <c r="G104" s="12">
        <v>347</v>
      </c>
      <c r="H104" s="13">
        <v>1</v>
      </c>
      <c r="I104" s="19">
        <f t="shared" ref="I104:I107" si="7">G104/30*H104*F104</f>
        <v>347</v>
      </c>
      <c r="J104" s="32" t="s">
        <v>444</v>
      </c>
      <c r="K104" s="13"/>
    </row>
    <row r="105" spans="1:11" ht="13.5" customHeight="1" x14ac:dyDescent="0.2">
      <c r="A105" s="2" t="s">
        <v>33</v>
      </c>
      <c r="B105" s="76">
        <v>45512</v>
      </c>
      <c r="C105" s="55">
        <v>4293</v>
      </c>
      <c r="D105" s="114">
        <v>45658</v>
      </c>
      <c r="E105" s="20">
        <v>45687</v>
      </c>
      <c r="F105" s="11">
        <f t="shared" si="6"/>
        <v>30</v>
      </c>
      <c r="G105" s="12">
        <v>497</v>
      </c>
      <c r="H105" s="13">
        <v>1</v>
      </c>
      <c r="I105" s="19">
        <f>G105/30*H105*F105</f>
        <v>497</v>
      </c>
      <c r="J105" s="32" t="s">
        <v>445</v>
      </c>
      <c r="K105" s="13"/>
    </row>
    <row r="106" spans="1:11" ht="13.5" customHeight="1" x14ac:dyDescent="0.2">
      <c r="A106" s="2" t="s">
        <v>33</v>
      </c>
      <c r="B106" s="76">
        <v>45512</v>
      </c>
      <c r="C106" s="55">
        <v>4282</v>
      </c>
      <c r="D106" s="114">
        <v>45658</v>
      </c>
      <c r="E106" s="20">
        <v>45687</v>
      </c>
      <c r="F106" s="11">
        <f>(E106-D106)+1</f>
        <v>30</v>
      </c>
      <c r="G106" s="12">
        <v>497</v>
      </c>
      <c r="H106" s="13">
        <v>1</v>
      </c>
      <c r="I106" s="19">
        <f t="shared" si="7"/>
        <v>497</v>
      </c>
      <c r="J106" s="32" t="s">
        <v>445</v>
      </c>
      <c r="K106" s="13"/>
    </row>
    <row r="107" spans="1:11" ht="13.5" customHeight="1" x14ac:dyDescent="0.25">
      <c r="A107" s="14"/>
      <c r="B107" s="13"/>
      <c r="C107" s="13"/>
      <c r="D107" s="76"/>
      <c r="E107" s="76"/>
      <c r="F107" s="11"/>
      <c r="G107" s="154"/>
      <c r="H107" s="14"/>
      <c r="I107" s="19">
        <f t="shared" si="7"/>
        <v>0</v>
      </c>
      <c r="J107" s="32"/>
      <c r="K107" s="13"/>
    </row>
    <row r="108" spans="1:11" ht="13.5" customHeight="1" x14ac:dyDescent="0.25">
      <c r="A108" s="14" t="s">
        <v>856</v>
      </c>
      <c r="B108" s="26"/>
      <c r="C108" s="26"/>
      <c r="D108" s="26"/>
      <c r="E108" s="26"/>
      <c r="F108" s="26"/>
      <c r="G108" s="26"/>
      <c r="H108" s="50">
        <f>SUM(H38:H107)</f>
        <v>69</v>
      </c>
      <c r="I108" s="25">
        <f>SUM(I38:I107)</f>
        <v>14883</v>
      </c>
      <c r="J108" s="26"/>
      <c r="K108" s="26"/>
    </row>
    <row r="109" spans="1:11" ht="13.5" customHeight="1" x14ac:dyDescent="0.25">
      <c r="D109" s="8"/>
      <c r="E109" s="8"/>
      <c r="F109" s="9"/>
      <c r="G109" s="10"/>
      <c r="I109" s="10"/>
      <c r="J109" s="4"/>
    </row>
    <row r="110" spans="1:11" ht="13.5" customHeight="1" x14ac:dyDescent="0.2">
      <c r="A110" s="2" t="s">
        <v>22</v>
      </c>
      <c r="B110" s="76">
        <v>45617</v>
      </c>
      <c r="C110" s="173">
        <v>16737</v>
      </c>
      <c r="D110" s="114">
        <v>45658</v>
      </c>
      <c r="E110" s="20">
        <v>45687</v>
      </c>
      <c r="F110" s="11">
        <f>(E110-D110)+1</f>
        <v>30</v>
      </c>
      <c r="G110" s="154">
        <v>147</v>
      </c>
      <c r="H110" s="13">
        <v>1</v>
      </c>
      <c r="I110" s="154">
        <f>G110/30*H110*F110</f>
        <v>147</v>
      </c>
      <c r="J110" s="32"/>
      <c r="K110" s="13"/>
    </row>
    <row r="111" spans="1:11" ht="13.5" customHeight="1" x14ac:dyDescent="0.2">
      <c r="A111" s="2" t="s">
        <v>27</v>
      </c>
      <c r="B111" s="76">
        <v>45617</v>
      </c>
      <c r="C111" s="173">
        <v>16677</v>
      </c>
      <c r="D111" s="114">
        <v>45658</v>
      </c>
      <c r="E111" s="20">
        <v>45687</v>
      </c>
      <c r="F111" s="11">
        <f t="shared" ref="F111:F112" si="8">(E111-D111)+1</f>
        <v>30</v>
      </c>
      <c r="G111" s="154">
        <v>347</v>
      </c>
      <c r="H111" s="13">
        <v>1</v>
      </c>
      <c r="I111" s="154">
        <f>G111/30*H111*F111</f>
        <v>347</v>
      </c>
      <c r="J111" s="32"/>
      <c r="K111" s="13"/>
    </row>
    <row r="112" spans="1:11" ht="13.5" customHeight="1" x14ac:dyDescent="0.2">
      <c r="A112" s="2" t="s">
        <v>27</v>
      </c>
      <c r="B112" s="76">
        <v>45617</v>
      </c>
      <c r="C112" s="173">
        <v>16667</v>
      </c>
      <c r="D112" s="114">
        <v>45658</v>
      </c>
      <c r="E112" s="20">
        <v>45687</v>
      </c>
      <c r="F112" s="11">
        <f t="shared" si="8"/>
        <v>30</v>
      </c>
      <c r="G112" s="154">
        <v>347</v>
      </c>
      <c r="H112" s="13">
        <v>1</v>
      </c>
      <c r="I112" s="154">
        <f t="shared" ref="I112" si="9">G112/30*H112*F112</f>
        <v>347</v>
      </c>
      <c r="J112" s="32"/>
      <c r="K112" s="13"/>
    </row>
    <row r="113" spans="1:11" ht="13.5" customHeight="1" x14ac:dyDescent="0.25">
      <c r="A113" s="14" t="s">
        <v>857</v>
      </c>
      <c r="B113" s="26"/>
      <c r="C113" s="26"/>
      <c r="D113" s="26"/>
      <c r="E113" s="26"/>
      <c r="F113" s="26"/>
      <c r="G113" s="26"/>
      <c r="H113" s="50">
        <f>SUM(H110:H112)</f>
        <v>3</v>
      </c>
      <c r="I113" s="25">
        <f>SUM(I110:I112)</f>
        <v>841</v>
      </c>
      <c r="J113" s="26"/>
      <c r="K113" s="26"/>
    </row>
    <row r="114" spans="1:11" ht="13.5" customHeight="1" x14ac:dyDescent="0.25">
      <c r="D114" s="8"/>
      <c r="E114" s="8"/>
      <c r="F114" s="9"/>
      <c r="G114" s="10"/>
      <c r="I114" s="10"/>
      <c r="J114" s="4"/>
    </row>
    <row r="115" spans="1:11" ht="13.5" customHeight="1" x14ac:dyDescent="0.25">
      <c r="D115" s="8"/>
      <c r="E115" s="8"/>
      <c r="F115" s="9"/>
      <c r="G115" s="10"/>
      <c r="H115" s="50">
        <f>H36+H108+H113</f>
        <v>92</v>
      </c>
      <c r="I115" s="25">
        <f>I36+I108+I113</f>
        <v>20099</v>
      </c>
      <c r="J115" s="16"/>
    </row>
    <row r="116" spans="1:11" ht="13.5" customHeight="1" x14ac:dyDescent="0.25">
      <c r="D116" s="8"/>
      <c r="E116" s="8"/>
      <c r="F116" s="9"/>
      <c r="G116" s="10"/>
      <c r="I116" s="10"/>
      <c r="J116" s="16"/>
    </row>
    <row r="117" spans="1:11" ht="13.5" customHeight="1" x14ac:dyDescent="0.25">
      <c r="D117" s="8"/>
      <c r="E117" s="8"/>
      <c r="F117" s="9"/>
      <c r="G117" s="10"/>
      <c r="I117" s="10"/>
      <c r="J117" s="7"/>
    </row>
    <row r="118" spans="1:11" ht="13.5" customHeight="1" x14ac:dyDescent="0.25">
      <c r="A118" s="289" t="s">
        <v>124</v>
      </c>
      <c r="B118" s="289"/>
      <c r="C118" s="289"/>
      <c r="D118" s="289"/>
      <c r="E118" s="289"/>
      <c r="F118" s="289"/>
      <c r="G118" s="289"/>
      <c r="H118" s="289"/>
      <c r="I118" s="289"/>
      <c r="J118" s="7"/>
    </row>
    <row r="119" spans="1:11" ht="13.5" customHeight="1" x14ac:dyDescent="0.25">
      <c r="J119" s="7"/>
    </row>
    <row r="120" spans="1:11" ht="13.5" customHeight="1" x14ac:dyDescent="0.2">
      <c r="A120" s="27" t="s">
        <v>125</v>
      </c>
      <c r="B120" s="7"/>
      <c r="F120" s="71"/>
      <c r="G120" s="10"/>
      <c r="I120" s="72"/>
      <c r="J120" s="7"/>
    </row>
    <row r="121" spans="1:11" ht="60" customHeight="1" x14ac:dyDescent="0.25">
      <c r="A121" s="291"/>
      <c r="B121" s="275"/>
      <c r="C121" s="292"/>
      <c r="D121" s="290"/>
      <c r="E121" s="290"/>
      <c r="F121" s="290"/>
      <c r="G121" s="290"/>
      <c r="H121" s="290"/>
      <c r="I121" s="290"/>
      <c r="J121" s="7"/>
    </row>
    <row r="122" spans="1:11" ht="13.5" customHeight="1" x14ac:dyDescent="0.25">
      <c r="A122" s="274" t="s">
        <v>126</v>
      </c>
      <c r="B122" s="274"/>
      <c r="C122" s="274"/>
      <c r="D122" s="274" t="s">
        <v>127</v>
      </c>
      <c r="E122" s="274"/>
      <c r="F122" s="274"/>
      <c r="G122" s="274"/>
      <c r="H122" s="274"/>
      <c r="I122" s="274"/>
      <c r="J122" s="7"/>
    </row>
    <row r="123" spans="1:11" ht="13.5" customHeight="1" x14ac:dyDescent="0.25">
      <c r="D123" s="8"/>
      <c r="E123" s="8"/>
      <c r="F123" s="9"/>
      <c r="G123" s="10"/>
      <c r="I123" s="10"/>
      <c r="J123" s="7"/>
    </row>
    <row r="124" spans="1:11" ht="13.5" customHeight="1" x14ac:dyDescent="0.25">
      <c r="D124" s="8"/>
      <c r="E124" s="8"/>
      <c r="F124" s="9"/>
      <c r="G124" s="10"/>
      <c r="I124" s="10"/>
      <c r="J124" s="7"/>
    </row>
    <row r="125" spans="1:11" ht="13.5" customHeight="1" x14ac:dyDescent="0.25">
      <c r="D125" s="8"/>
      <c r="E125" s="8"/>
      <c r="F125" s="9"/>
      <c r="G125" s="10"/>
      <c r="I125" s="10"/>
      <c r="J125" s="7"/>
    </row>
    <row r="126" spans="1:11" ht="13.5" customHeight="1" x14ac:dyDescent="0.2">
      <c r="A126" s="266" t="s">
        <v>29</v>
      </c>
      <c r="B126" s="266"/>
      <c r="C126" s="266"/>
      <c r="D126" s="266"/>
      <c r="E126" s="266"/>
      <c r="F126" s="266"/>
      <c r="G126" s="51"/>
      <c r="I126" s="10"/>
      <c r="J126" s="16"/>
    </row>
    <row r="127" spans="1:11" ht="13.5" customHeight="1" x14ac:dyDescent="0.2">
      <c r="A127" s="267" t="s">
        <v>45</v>
      </c>
      <c r="B127" s="267"/>
      <c r="C127" s="267"/>
      <c r="D127" s="267"/>
      <c r="E127" s="283" t="s">
        <v>5</v>
      </c>
      <c r="F127" s="282" t="s">
        <v>6</v>
      </c>
      <c r="G127" s="52"/>
      <c r="I127" s="10"/>
      <c r="J127" s="16"/>
    </row>
    <row r="128" spans="1:11" ht="13.5" customHeight="1" x14ac:dyDescent="0.2">
      <c r="A128" s="34" t="s">
        <v>0</v>
      </c>
      <c r="B128" s="34" t="s">
        <v>3</v>
      </c>
      <c r="C128" s="34" t="s">
        <v>2</v>
      </c>
      <c r="D128" s="34" t="s">
        <v>4</v>
      </c>
      <c r="E128" s="284"/>
      <c r="F128" s="282"/>
      <c r="G128" s="53"/>
    </row>
    <row r="129" spans="1:7" ht="13.5" customHeight="1" x14ac:dyDescent="0.2">
      <c r="A129" s="2" t="s">
        <v>18</v>
      </c>
      <c r="B129" s="39"/>
      <c r="C129" s="132">
        <v>37</v>
      </c>
      <c r="D129" s="35">
        <v>0</v>
      </c>
      <c r="E129" s="13">
        <f>COUNTIFS($A$12:$A$117,"Cond Ar Janela 7.500 BTU/h")</f>
        <v>0</v>
      </c>
      <c r="F129" s="40">
        <f>B129-E129</f>
        <v>0</v>
      </c>
      <c r="G129" s="1"/>
    </row>
    <row r="130" spans="1:7" ht="13.5" customHeight="1" x14ac:dyDescent="0.2">
      <c r="A130" s="2" t="s">
        <v>19</v>
      </c>
      <c r="B130" s="39"/>
      <c r="C130" s="133">
        <v>210</v>
      </c>
      <c r="D130" s="3">
        <f t="shared" ref="D130:D139" si="10">B130*C130</f>
        <v>0</v>
      </c>
      <c r="E130" s="13">
        <f>COUNTIFS($A$12:$A$117,"Cond Ar Janela 10.000 BTU/h")</f>
        <v>0</v>
      </c>
      <c r="F130" s="40">
        <f t="shared" ref="F130:F151" si="11">B130-E130</f>
        <v>0</v>
      </c>
      <c r="G130" s="1"/>
    </row>
    <row r="131" spans="1:7" ht="13.5" customHeight="1" x14ac:dyDescent="0.2">
      <c r="A131" s="2" t="s">
        <v>20</v>
      </c>
      <c r="B131" s="39"/>
      <c r="C131" s="133">
        <v>208</v>
      </c>
      <c r="D131" s="3">
        <f t="shared" si="10"/>
        <v>0</v>
      </c>
      <c r="E131" s="13">
        <f>COUNTIFS($A$12:$A$117,"Cond Ar Janela 18.000 BTU/h")</f>
        <v>0</v>
      </c>
      <c r="F131" s="40">
        <f t="shared" si="11"/>
        <v>0</v>
      </c>
      <c r="G131" s="1"/>
    </row>
    <row r="132" spans="1:7" ht="13.5" customHeight="1" x14ac:dyDescent="0.2">
      <c r="A132" s="2" t="s">
        <v>21</v>
      </c>
      <c r="B132" s="39"/>
      <c r="C132" s="133">
        <v>57</v>
      </c>
      <c r="D132" s="3">
        <f t="shared" si="10"/>
        <v>0</v>
      </c>
      <c r="E132" s="13">
        <f>COUNTIFS($A$12:$A$117,"Cond Ar Janela 21.000 BTU/h")</f>
        <v>0</v>
      </c>
      <c r="F132" s="40">
        <f t="shared" si="11"/>
        <v>0</v>
      </c>
      <c r="G132" s="1"/>
    </row>
    <row r="133" spans="1:7" ht="13.5" customHeight="1" x14ac:dyDescent="0.2">
      <c r="A133" s="2" t="s">
        <v>22</v>
      </c>
      <c r="B133" s="39">
        <v>48</v>
      </c>
      <c r="C133" s="133">
        <v>147</v>
      </c>
      <c r="D133" s="3">
        <f t="shared" si="10"/>
        <v>7056</v>
      </c>
      <c r="E133" s="13">
        <f>COUNTIFS($A$12:$A$117,"Cond Ar Split 9.000 BTU/h Hi Wall")</f>
        <v>33</v>
      </c>
      <c r="F133" s="40">
        <f t="shared" si="11"/>
        <v>15</v>
      </c>
      <c r="G133" s="1"/>
    </row>
    <row r="134" spans="1:7" ht="13.5" customHeight="1" x14ac:dyDescent="0.2">
      <c r="A134" s="2" t="s">
        <v>23</v>
      </c>
      <c r="B134" s="39">
        <v>25</v>
      </c>
      <c r="C134" s="133">
        <v>235</v>
      </c>
      <c r="D134" s="3">
        <f t="shared" si="10"/>
        <v>5875</v>
      </c>
      <c r="E134" s="13">
        <f>COUNTIFS($A$12:$A$117,"Cond Ar Split 12.000 BTU/h Hi Wall")</f>
        <v>25</v>
      </c>
      <c r="F134" s="40">
        <f t="shared" si="11"/>
        <v>0</v>
      </c>
      <c r="G134" s="1"/>
    </row>
    <row r="135" spans="1:7" ht="13.5" customHeight="1" x14ac:dyDescent="0.2">
      <c r="A135" s="2" t="s">
        <v>24</v>
      </c>
      <c r="B135" s="39">
        <v>26</v>
      </c>
      <c r="C135" s="133">
        <v>238</v>
      </c>
      <c r="D135" s="3">
        <f t="shared" si="10"/>
        <v>6188</v>
      </c>
      <c r="E135" s="13">
        <f>COUNTIFS($A$12:$A$117,"Cond Ar Split 18.000 BTU/h Hi Wall")</f>
        <v>25</v>
      </c>
      <c r="F135" s="40">
        <f t="shared" si="11"/>
        <v>1</v>
      </c>
      <c r="G135" s="1"/>
    </row>
    <row r="136" spans="1:7" ht="13.5" customHeight="1" x14ac:dyDescent="0.2">
      <c r="A136" s="2" t="s">
        <v>25</v>
      </c>
      <c r="B136" s="39"/>
      <c r="C136" s="133">
        <v>242</v>
      </c>
      <c r="D136" s="3">
        <f t="shared" si="10"/>
        <v>0</v>
      </c>
      <c r="E136" s="13">
        <f>COUNTIFS($A$12:$A$117,"Cond Ar Split 22.000 BTU/h Hi Wall")</f>
        <v>0</v>
      </c>
      <c r="F136" s="40">
        <f t="shared" si="11"/>
        <v>0</v>
      </c>
      <c r="G136" s="1"/>
    </row>
    <row r="137" spans="1:7" ht="13.5" customHeight="1" x14ac:dyDescent="0.2">
      <c r="A137" s="2" t="s">
        <v>26</v>
      </c>
      <c r="B137" s="39"/>
      <c r="C137" s="133">
        <v>260</v>
      </c>
      <c r="D137" s="3">
        <f t="shared" si="10"/>
        <v>0</v>
      </c>
      <c r="E137" s="13">
        <f>COUNTIFS($A$12:$A$117,"Cond Ar Split 24.000 BTU/h Hi Wall")</f>
        <v>0</v>
      </c>
      <c r="F137" s="40">
        <f t="shared" si="11"/>
        <v>0</v>
      </c>
      <c r="G137" s="1"/>
    </row>
    <row r="138" spans="1:7" ht="13.5" customHeight="1" x14ac:dyDescent="0.2">
      <c r="A138" s="2" t="s">
        <v>27</v>
      </c>
      <c r="B138" s="39">
        <v>15</v>
      </c>
      <c r="C138" s="133">
        <v>347</v>
      </c>
      <c r="D138" s="3">
        <f t="shared" si="10"/>
        <v>5205</v>
      </c>
      <c r="E138" s="13">
        <f>COUNTIFS($A$12:$A$117,"Cond Ar Split 30.000 BTU/h Hi Wall")</f>
        <v>7</v>
      </c>
      <c r="F138" s="40">
        <f t="shared" si="11"/>
        <v>8</v>
      </c>
      <c r="G138" s="1"/>
    </row>
    <row r="139" spans="1:7" ht="13.5" customHeight="1" x14ac:dyDescent="0.2">
      <c r="A139" s="2" t="s">
        <v>30</v>
      </c>
      <c r="B139" s="39"/>
      <c r="C139" s="133">
        <v>367</v>
      </c>
      <c r="D139" s="3">
        <f t="shared" si="10"/>
        <v>0</v>
      </c>
      <c r="E139" s="13">
        <f>COUNTIFS($A$12:$A$117,"Cond Ar Split 24.000 BTU/h Piso/Teto")</f>
        <v>0</v>
      </c>
      <c r="F139" s="40">
        <f t="shared" si="11"/>
        <v>0</v>
      </c>
      <c r="G139" s="1"/>
    </row>
    <row r="140" spans="1:7" ht="13.5" customHeight="1" x14ac:dyDescent="0.2">
      <c r="A140" s="2" t="s">
        <v>31</v>
      </c>
      <c r="B140" s="39"/>
      <c r="C140" s="133">
        <v>367</v>
      </c>
      <c r="D140" s="3">
        <f>B140*C140</f>
        <v>0</v>
      </c>
      <c r="E140" s="13">
        <f>COUNTIFS($A$12:$A$117,"Cond Ar Split 30.000 BTU/h Piso/Teto")</f>
        <v>0</v>
      </c>
      <c r="F140" s="40">
        <f t="shared" si="11"/>
        <v>0</v>
      </c>
      <c r="G140" s="1"/>
    </row>
    <row r="141" spans="1:7" ht="13.5" customHeight="1" x14ac:dyDescent="0.2">
      <c r="A141" s="2" t="s">
        <v>32</v>
      </c>
      <c r="B141" s="39"/>
      <c r="C141" s="133">
        <v>447</v>
      </c>
      <c r="D141" s="3">
        <f>B141*C141</f>
        <v>0</v>
      </c>
      <c r="E141" s="13">
        <f>COUNTIFS($A$12:$A$117,"Cond Ar Split 36.000 BTU/h Piso/Teto")</f>
        <v>0</v>
      </c>
      <c r="F141" s="40">
        <f t="shared" si="11"/>
        <v>0</v>
      </c>
      <c r="G141" s="1"/>
    </row>
    <row r="142" spans="1:7" ht="13.5" customHeight="1" x14ac:dyDescent="0.2">
      <c r="A142" s="2" t="s">
        <v>33</v>
      </c>
      <c r="B142" s="39">
        <v>2</v>
      </c>
      <c r="C142" s="133">
        <v>497</v>
      </c>
      <c r="D142" s="3">
        <f>B142*C142</f>
        <v>994</v>
      </c>
      <c r="E142" s="13">
        <f>COUNTIFS($A$12:$A$117,"Cond Ar Split 48.000 BTU/h Piso/Teto")</f>
        <v>2</v>
      </c>
      <c r="F142" s="40">
        <f t="shared" si="11"/>
        <v>0</v>
      </c>
      <c r="G142" s="1"/>
    </row>
    <row r="143" spans="1:7" ht="13.5" customHeight="1" x14ac:dyDescent="0.2">
      <c r="A143" s="2" t="s">
        <v>34</v>
      </c>
      <c r="B143" s="39"/>
      <c r="C143" s="133">
        <v>597</v>
      </c>
      <c r="D143" s="3">
        <f t="shared" ref="D143:D151" si="12">B143*C143</f>
        <v>0</v>
      </c>
      <c r="E143" s="13">
        <f>COUNTIFS($A$12:$A$117,"Cond Ar Split 60.000 BTU/h Piso/Teto")</f>
        <v>0</v>
      </c>
      <c r="F143" s="40">
        <f t="shared" si="11"/>
        <v>0</v>
      </c>
      <c r="G143" s="1"/>
    </row>
    <row r="144" spans="1:7" ht="13.5" customHeight="1" x14ac:dyDescent="0.2">
      <c r="A144" s="2" t="s">
        <v>35</v>
      </c>
      <c r="B144" s="39"/>
      <c r="C144" s="133">
        <v>395</v>
      </c>
      <c r="D144" s="3">
        <f t="shared" si="12"/>
        <v>0</v>
      </c>
      <c r="E144" s="13">
        <f>COUNTIFS($A$12:$A$117,"Cond Ar Split 18.000 BTU/h Cassete")</f>
        <v>0</v>
      </c>
      <c r="F144" s="40">
        <f t="shared" si="11"/>
        <v>0</v>
      </c>
      <c r="G144" s="1"/>
    </row>
    <row r="145" spans="1:10" ht="13.5" customHeight="1" x14ac:dyDescent="0.2">
      <c r="A145" s="2" t="s">
        <v>36</v>
      </c>
      <c r="B145" s="39"/>
      <c r="C145" s="133">
        <v>442.75</v>
      </c>
      <c r="D145" s="3">
        <f t="shared" si="12"/>
        <v>0</v>
      </c>
      <c r="E145" s="13">
        <f>COUNTIFS($A$12:$A$117,"Cond Ar Split 24.000 BTU/h Cassete")</f>
        <v>0</v>
      </c>
      <c r="F145" s="40">
        <f t="shared" si="11"/>
        <v>0</v>
      </c>
      <c r="G145" s="1"/>
    </row>
    <row r="146" spans="1:10" ht="13.5" customHeight="1" x14ac:dyDescent="0.2">
      <c r="A146" s="2" t="s">
        <v>37</v>
      </c>
      <c r="B146" s="39"/>
      <c r="C146" s="133">
        <v>430</v>
      </c>
      <c r="D146" s="3">
        <f t="shared" si="12"/>
        <v>0</v>
      </c>
      <c r="E146" s="13">
        <f>COUNTIFS($A$12:$A$117,"Cond Ar Split 30.000 BTU/h Cassete")</f>
        <v>0</v>
      </c>
      <c r="F146" s="40">
        <f t="shared" si="11"/>
        <v>0</v>
      </c>
      <c r="G146" s="1"/>
    </row>
    <row r="147" spans="1:10" ht="13.5" customHeight="1" x14ac:dyDescent="0.2">
      <c r="A147" s="2" t="s">
        <v>38</v>
      </c>
      <c r="B147" s="39"/>
      <c r="C147" s="133">
        <v>478</v>
      </c>
      <c r="D147" s="3">
        <f t="shared" si="12"/>
        <v>0</v>
      </c>
      <c r="E147" s="13">
        <f>COUNTIFS($A$12:$A$117,"Cond Ar Split 36.000 BTU/h Cassete")</f>
        <v>0</v>
      </c>
      <c r="F147" s="40">
        <f t="shared" si="11"/>
        <v>0</v>
      </c>
      <c r="G147" s="1"/>
    </row>
    <row r="148" spans="1:10" ht="13.5" customHeight="1" x14ac:dyDescent="0.2">
      <c r="A148" s="2" t="s">
        <v>39</v>
      </c>
      <c r="B148" s="39"/>
      <c r="C148" s="133">
        <v>577</v>
      </c>
      <c r="D148" s="3">
        <f t="shared" si="12"/>
        <v>0</v>
      </c>
      <c r="E148" s="13">
        <f>COUNTIFS($A$12:$A$117,"Cond Ar Split 48.000 BTU/h Cassete")</f>
        <v>0</v>
      </c>
      <c r="F148" s="40">
        <f t="shared" si="11"/>
        <v>0</v>
      </c>
      <c r="G148" s="1"/>
    </row>
    <row r="149" spans="1:10" ht="13.5" customHeight="1" x14ac:dyDescent="0.2">
      <c r="A149" s="2" t="s">
        <v>40</v>
      </c>
      <c r="B149" s="39"/>
      <c r="C149" s="133">
        <v>645</v>
      </c>
      <c r="D149" s="3">
        <f t="shared" si="12"/>
        <v>0</v>
      </c>
      <c r="E149" s="13">
        <f>COUNTIFS($A$12:$A$117,"Cond Ar Split 60.000 BTU/h Cassete")</f>
        <v>0</v>
      </c>
      <c r="F149" s="40">
        <f t="shared" si="11"/>
        <v>0</v>
      </c>
      <c r="G149" s="1"/>
    </row>
    <row r="150" spans="1:10" ht="13.5" customHeight="1" x14ac:dyDescent="0.2">
      <c r="A150" s="2" t="s">
        <v>41</v>
      </c>
      <c r="B150" s="39"/>
      <c r="C150" s="133">
        <v>147</v>
      </c>
      <c r="D150" s="3">
        <f t="shared" si="12"/>
        <v>0</v>
      </c>
      <c r="E150" s="13">
        <f>COUNTIFS($A$12:$A$117,"Cond Ar Tri Split 36.000 BTU/h (3x12.000)")</f>
        <v>0</v>
      </c>
      <c r="F150" s="40">
        <f t="shared" si="11"/>
        <v>0</v>
      </c>
      <c r="G150" s="1"/>
    </row>
    <row r="151" spans="1:10" ht="13.5" customHeight="1" x14ac:dyDescent="0.2">
      <c r="A151" s="2" t="s">
        <v>42</v>
      </c>
      <c r="B151" s="39"/>
      <c r="C151" s="133">
        <v>100</v>
      </c>
      <c r="D151" s="3">
        <f t="shared" si="12"/>
        <v>0</v>
      </c>
      <c r="E151" s="13">
        <f>COUNTIFS($A$12:$A$117,"Cond Ar Portátil 12.000 BTU/h")</f>
        <v>0</v>
      </c>
      <c r="F151" s="40">
        <f t="shared" si="11"/>
        <v>0</v>
      </c>
      <c r="G151" s="1"/>
    </row>
    <row r="152" spans="1:10" ht="13.5" customHeight="1" x14ac:dyDescent="0.2">
      <c r="A152" s="36" t="s">
        <v>7</v>
      </c>
      <c r="B152" s="22">
        <f>SUM(B129:B151)</f>
        <v>116</v>
      </c>
      <c r="C152" s="134"/>
      <c r="D152" s="37">
        <f>SUM(D129:D151)</f>
        <v>25318</v>
      </c>
      <c r="E152" s="22">
        <f>SUM(E129:E151)</f>
        <v>92</v>
      </c>
      <c r="F152" s="41">
        <f>SUM(F129:F151)</f>
        <v>24</v>
      </c>
      <c r="G152" s="54"/>
    </row>
    <row r="156" spans="1:10" ht="13.5" customHeight="1" x14ac:dyDescent="0.25">
      <c r="F156" s="17"/>
      <c r="J156" s="16"/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121:C121"/>
    <mergeCell ref="D121:I121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118:I118"/>
    <mergeCell ref="A122:C122"/>
    <mergeCell ref="D122:I122"/>
    <mergeCell ref="A126:F126"/>
    <mergeCell ref="A127:D127"/>
    <mergeCell ref="E127:E128"/>
    <mergeCell ref="F127:F128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4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35">
    <pageSetUpPr fitToPage="1"/>
  </sheetPr>
  <dimension ref="A1:I22"/>
  <sheetViews>
    <sheetView showGridLines="0" workbookViewId="0">
      <pane ySplit="11" topLeftCell="A12" activePane="bottomLeft" state="frozen"/>
      <selection activeCell="J116" sqref="J116"/>
      <selection pane="bottomLeft" activeCell="M15" sqref="M15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0" width="9.140625" style="7"/>
    <col min="11" max="11" width="0" style="7" hidden="1" customWidth="1"/>
    <col min="12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197</v>
      </c>
      <c r="B8" s="297"/>
      <c r="C8" s="297"/>
      <c r="D8" s="297"/>
      <c r="E8" s="297"/>
      <c r="F8" s="298"/>
    </row>
    <row r="9" spans="1:6" ht="13.5" customHeight="1" x14ac:dyDescent="0.25">
      <c r="A9" s="60" t="s">
        <v>156</v>
      </c>
      <c r="B9" s="270" t="s">
        <v>157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/>
    </row>
    <row r="13" spans="1:6" ht="13.5" customHeight="1" x14ac:dyDescent="0.2">
      <c r="A13" s="299"/>
      <c r="B13" s="300"/>
      <c r="C13" s="101"/>
      <c r="D13" s="103"/>
      <c r="E13" s="11"/>
      <c r="F13" s="109"/>
    </row>
    <row r="14" spans="1:6" ht="13.5" customHeight="1" x14ac:dyDescent="0.2">
      <c r="A14" s="313"/>
      <c r="B14" s="321"/>
      <c r="C14" s="102"/>
      <c r="D14" s="104"/>
      <c r="E14" s="82"/>
      <c r="F14" s="109"/>
    </row>
    <row r="15" spans="1:6" ht="13.5" customHeight="1" x14ac:dyDescent="0.25">
      <c r="A15" s="271" t="s">
        <v>199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1:F1"/>
    <mergeCell ref="A3:F3"/>
    <mergeCell ref="A4:C4"/>
    <mergeCell ref="D4:E4"/>
    <mergeCell ref="A5:C5"/>
    <mergeCell ref="D5:E5"/>
    <mergeCell ref="A13:B13"/>
    <mergeCell ref="A7:F7"/>
    <mergeCell ref="A8:F8"/>
    <mergeCell ref="B9:D9"/>
    <mergeCell ref="E9:F9"/>
    <mergeCell ref="A11:B11"/>
    <mergeCell ref="A12:B12"/>
    <mergeCell ref="A22:C22"/>
    <mergeCell ref="A14:B14"/>
    <mergeCell ref="A15:B15"/>
    <mergeCell ref="A18:F18"/>
    <mergeCell ref="A21:C21"/>
    <mergeCell ref="D21:F2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36">
    <pageSetUpPr fitToPage="1"/>
  </sheetPr>
  <dimension ref="A1:L127"/>
  <sheetViews>
    <sheetView showGridLines="0" workbookViewId="0">
      <pane ySplit="13" topLeftCell="A83" activePane="bottomLeft" state="frozen"/>
      <selection activeCell="A21" sqref="A21:C21"/>
      <selection pane="bottomLeft" activeCell="D38" sqref="D38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33.85546875" style="15" customWidth="1"/>
    <col min="11" max="11" width="14" style="15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272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271</v>
      </c>
      <c r="B9" s="270"/>
      <c r="C9" s="271" t="s">
        <v>1008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45538</v>
      </c>
      <c r="C15" s="254">
        <v>14589</v>
      </c>
      <c r="D15" s="114">
        <v>45658</v>
      </c>
      <c r="E15" s="20">
        <v>45687</v>
      </c>
      <c r="F15" s="11">
        <f t="shared" ref="F15:F46" si="0">(E15-D15)+1</f>
        <v>30</v>
      </c>
      <c r="G15" s="12">
        <v>235</v>
      </c>
      <c r="H15" s="13">
        <v>1</v>
      </c>
      <c r="I15" s="19">
        <f t="shared" ref="I15:I46" si="1">G15/30*H15*F15</f>
        <v>235</v>
      </c>
      <c r="J15" s="32" t="s">
        <v>1009</v>
      </c>
      <c r="K15" s="13">
        <v>67531</v>
      </c>
    </row>
    <row r="16" spans="1:11" ht="13.5" customHeight="1" x14ac:dyDescent="0.2">
      <c r="A16" s="2" t="s">
        <v>23</v>
      </c>
      <c r="B16" s="76">
        <v>45538</v>
      </c>
      <c r="C16" s="13">
        <v>14685</v>
      </c>
      <c r="D16" s="114">
        <v>45658</v>
      </c>
      <c r="E16" s="20">
        <v>45687</v>
      </c>
      <c r="F16" s="11">
        <f t="shared" si="0"/>
        <v>30</v>
      </c>
      <c r="G16" s="12">
        <v>235</v>
      </c>
      <c r="H16" s="13">
        <v>1</v>
      </c>
      <c r="I16" s="19">
        <f t="shared" si="1"/>
        <v>235</v>
      </c>
      <c r="J16" s="32" t="s">
        <v>1009</v>
      </c>
      <c r="K16" s="13">
        <v>67531</v>
      </c>
    </row>
    <row r="17" spans="1:11" ht="13.5" customHeight="1" x14ac:dyDescent="0.2">
      <c r="A17" s="2" t="s">
        <v>23</v>
      </c>
      <c r="B17" s="76">
        <v>45538</v>
      </c>
      <c r="C17" s="205">
        <v>14598</v>
      </c>
      <c r="D17" s="114">
        <v>45658</v>
      </c>
      <c r="E17" s="20">
        <v>45687</v>
      </c>
      <c r="F17" s="11">
        <f t="shared" si="0"/>
        <v>30</v>
      </c>
      <c r="G17" s="12">
        <v>235</v>
      </c>
      <c r="H17" s="13">
        <v>1</v>
      </c>
      <c r="I17" s="19">
        <f t="shared" si="1"/>
        <v>235</v>
      </c>
      <c r="J17" s="32" t="s">
        <v>1010</v>
      </c>
      <c r="K17" s="13">
        <v>67531</v>
      </c>
    </row>
    <row r="18" spans="1:11" ht="13.5" customHeight="1" x14ac:dyDescent="0.2">
      <c r="A18" s="2" t="s">
        <v>23</v>
      </c>
      <c r="B18" s="76">
        <v>45538</v>
      </c>
      <c r="C18" s="254">
        <v>14624</v>
      </c>
      <c r="D18" s="114">
        <v>45658</v>
      </c>
      <c r="E18" s="20">
        <v>45687</v>
      </c>
      <c r="F18" s="11">
        <f t="shared" si="0"/>
        <v>30</v>
      </c>
      <c r="G18" s="12">
        <v>235</v>
      </c>
      <c r="H18" s="13">
        <v>1</v>
      </c>
      <c r="I18" s="19">
        <f t="shared" si="1"/>
        <v>235</v>
      </c>
      <c r="J18" s="32" t="s">
        <v>1010</v>
      </c>
      <c r="K18" s="13">
        <v>67531</v>
      </c>
    </row>
    <row r="19" spans="1:11" ht="13.5" customHeight="1" x14ac:dyDescent="0.2">
      <c r="A19" s="2" t="s">
        <v>23</v>
      </c>
      <c r="B19" s="76">
        <v>45538</v>
      </c>
      <c r="C19" s="170">
        <v>14644</v>
      </c>
      <c r="D19" s="114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19">
        <f t="shared" si="1"/>
        <v>235</v>
      </c>
      <c r="J19" s="32" t="s">
        <v>1010</v>
      </c>
      <c r="K19" s="13">
        <v>66136</v>
      </c>
    </row>
    <row r="20" spans="1:11" ht="13.5" customHeight="1" x14ac:dyDescent="0.2">
      <c r="A20" s="2" t="s">
        <v>23</v>
      </c>
      <c r="B20" s="76">
        <v>45538</v>
      </c>
      <c r="C20" s="170">
        <v>14684</v>
      </c>
      <c r="D20" s="114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32" t="s">
        <v>1010</v>
      </c>
      <c r="K20" s="13">
        <v>66136</v>
      </c>
    </row>
    <row r="21" spans="1:11" ht="13.5" customHeight="1" x14ac:dyDescent="0.2">
      <c r="A21" s="2" t="s">
        <v>23</v>
      </c>
      <c r="B21" s="76">
        <v>45538</v>
      </c>
      <c r="C21" s="254">
        <v>14645</v>
      </c>
      <c r="D21" s="114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32" t="s">
        <v>1010</v>
      </c>
      <c r="K21" s="13">
        <v>66136</v>
      </c>
    </row>
    <row r="22" spans="1:11" ht="13.5" customHeight="1" x14ac:dyDescent="0.2">
      <c r="A22" s="2" t="s">
        <v>23</v>
      </c>
      <c r="B22" s="76">
        <v>45539</v>
      </c>
      <c r="C22" s="254">
        <v>14647</v>
      </c>
      <c r="D22" s="114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19">
        <f t="shared" si="1"/>
        <v>235</v>
      </c>
      <c r="J22" s="32" t="s">
        <v>1011</v>
      </c>
      <c r="K22" s="13">
        <v>67531</v>
      </c>
    </row>
    <row r="23" spans="1:11" ht="13.5" customHeight="1" x14ac:dyDescent="0.2">
      <c r="A23" s="2" t="s">
        <v>23</v>
      </c>
      <c r="B23" s="76">
        <v>45539</v>
      </c>
      <c r="C23" s="254">
        <v>14640</v>
      </c>
      <c r="D23" s="114">
        <v>45658</v>
      </c>
      <c r="E23" s="20">
        <v>45687</v>
      </c>
      <c r="F23" s="11">
        <f t="shared" si="0"/>
        <v>30</v>
      </c>
      <c r="G23" s="12">
        <v>235</v>
      </c>
      <c r="H23" s="13">
        <v>1</v>
      </c>
      <c r="I23" s="19">
        <f t="shared" si="1"/>
        <v>235</v>
      </c>
      <c r="J23" s="32" t="s">
        <v>1012</v>
      </c>
      <c r="K23" s="13">
        <v>67532</v>
      </c>
    </row>
    <row r="24" spans="1:11" ht="13.5" customHeight="1" x14ac:dyDescent="0.2">
      <c r="A24" s="2" t="s">
        <v>23</v>
      </c>
      <c r="B24" s="76">
        <v>45539</v>
      </c>
      <c r="C24" s="13">
        <v>14672</v>
      </c>
      <c r="D24" s="114">
        <v>45658</v>
      </c>
      <c r="E24" s="20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32" t="s">
        <v>1012</v>
      </c>
      <c r="K24" s="13">
        <v>67532</v>
      </c>
    </row>
    <row r="25" spans="1:11" ht="13.5" customHeight="1" x14ac:dyDescent="0.2">
      <c r="A25" s="2" t="s">
        <v>23</v>
      </c>
      <c r="B25" s="76">
        <v>45539</v>
      </c>
      <c r="C25" s="228">
        <v>14589</v>
      </c>
      <c r="D25" s="114">
        <v>45658</v>
      </c>
      <c r="E25" s="20">
        <v>45687</v>
      </c>
      <c r="F25" s="11">
        <f t="shared" si="0"/>
        <v>30</v>
      </c>
      <c r="G25" s="12">
        <v>235</v>
      </c>
      <c r="H25" s="13">
        <v>1</v>
      </c>
      <c r="I25" s="19">
        <f t="shared" si="1"/>
        <v>235</v>
      </c>
      <c r="J25" s="255" t="s">
        <v>1013</v>
      </c>
      <c r="K25" s="256">
        <v>66136</v>
      </c>
    </row>
    <row r="26" spans="1:11" ht="13.5" customHeight="1" x14ac:dyDescent="0.2">
      <c r="A26" s="2" t="s">
        <v>24</v>
      </c>
      <c r="B26" s="76">
        <v>45540</v>
      </c>
      <c r="C26" s="13">
        <v>15137</v>
      </c>
      <c r="D26" s="114">
        <v>45658</v>
      </c>
      <c r="E26" s="20">
        <v>45687</v>
      </c>
      <c r="F26" s="11">
        <f t="shared" si="0"/>
        <v>30</v>
      </c>
      <c r="G26" s="12">
        <v>238</v>
      </c>
      <c r="H26" s="13">
        <v>1</v>
      </c>
      <c r="I26" s="19">
        <f t="shared" si="1"/>
        <v>238</v>
      </c>
      <c r="J26" s="32" t="s">
        <v>1009</v>
      </c>
      <c r="K26" s="13">
        <v>67627</v>
      </c>
    </row>
    <row r="27" spans="1:11" ht="13.5" customHeight="1" x14ac:dyDescent="0.2">
      <c r="A27" s="2" t="s">
        <v>24</v>
      </c>
      <c r="B27" s="76">
        <v>45540</v>
      </c>
      <c r="C27" s="13">
        <v>15140</v>
      </c>
      <c r="D27" s="114">
        <v>45658</v>
      </c>
      <c r="E27" s="20">
        <v>45687</v>
      </c>
      <c r="F27" s="11">
        <f t="shared" si="0"/>
        <v>30</v>
      </c>
      <c r="G27" s="12">
        <v>238</v>
      </c>
      <c r="H27" s="13">
        <v>1</v>
      </c>
      <c r="I27" s="19">
        <f t="shared" si="1"/>
        <v>238</v>
      </c>
      <c r="J27" s="32" t="s">
        <v>1014</v>
      </c>
      <c r="K27" s="13">
        <v>67627</v>
      </c>
    </row>
    <row r="28" spans="1:11" ht="13.5" customHeight="1" x14ac:dyDescent="0.2">
      <c r="A28" s="2" t="s">
        <v>24</v>
      </c>
      <c r="B28" s="76">
        <v>45541</v>
      </c>
      <c r="C28" s="13">
        <v>16021</v>
      </c>
      <c r="D28" s="114">
        <v>45658</v>
      </c>
      <c r="E28" s="20">
        <v>45687</v>
      </c>
      <c r="F28" s="11">
        <f t="shared" si="0"/>
        <v>30</v>
      </c>
      <c r="G28" s="12">
        <v>238</v>
      </c>
      <c r="H28" s="13">
        <v>1</v>
      </c>
      <c r="I28" s="19">
        <f t="shared" si="1"/>
        <v>238</v>
      </c>
      <c r="J28" s="32" t="s">
        <v>1015</v>
      </c>
      <c r="K28" s="13">
        <v>67628</v>
      </c>
    </row>
    <row r="29" spans="1:11" ht="13.5" customHeight="1" x14ac:dyDescent="0.2">
      <c r="A29" s="2" t="s">
        <v>24</v>
      </c>
      <c r="B29" s="76">
        <v>45541</v>
      </c>
      <c r="C29" s="13">
        <v>13638</v>
      </c>
      <c r="D29" s="114">
        <v>45658</v>
      </c>
      <c r="E29" s="20">
        <v>45687</v>
      </c>
      <c r="F29" s="11">
        <f t="shared" si="0"/>
        <v>30</v>
      </c>
      <c r="G29" s="12">
        <v>238</v>
      </c>
      <c r="H29" s="13">
        <v>1</v>
      </c>
      <c r="I29" s="19">
        <f t="shared" si="1"/>
        <v>238</v>
      </c>
      <c r="J29" s="32" t="s">
        <v>1016</v>
      </c>
      <c r="K29" s="13"/>
    </row>
    <row r="30" spans="1:11" ht="13.5" customHeight="1" x14ac:dyDescent="0.2">
      <c r="A30" s="2" t="s">
        <v>24</v>
      </c>
      <c r="B30" s="76">
        <v>45541</v>
      </c>
      <c r="C30" s="13">
        <v>13642</v>
      </c>
      <c r="D30" s="114">
        <v>45658</v>
      </c>
      <c r="E30" s="20">
        <v>45687</v>
      </c>
      <c r="F30" s="11">
        <f t="shared" si="0"/>
        <v>30</v>
      </c>
      <c r="G30" s="12">
        <v>238</v>
      </c>
      <c r="H30" s="13">
        <v>1</v>
      </c>
      <c r="I30" s="19">
        <f t="shared" si="1"/>
        <v>238</v>
      </c>
      <c r="J30" s="32" t="s">
        <v>1016</v>
      </c>
      <c r="K30" s="13"/>
    </row>
    <row r="31" spans="1:11" ht="13.5" customHeight="1" x14ac:dyDescent="0.2">
      <c r="A31" s="2" t="s">
        <v>24</v>
      </c>
      <c r="B31" s="76">
        <v>45541</v>
      </c>
      <c r="C31" s="13">
        <v>13640</v>
      </c>
      <c r="D31" s="114">
        <v>45658</v>
      </c>
      <c r="E31" s="20">
        <v>45687</v>
      </c>
      <c r="F31" s="11">
        <f t="shared" si="0"/>
        <v>30</v>
      </c>
      <c r="G31" s="12">
        <v>238</v>
      </c>
      <c r="H31" s="13">
        <v>1</v>
      </c>
      <c r="I31" s="19">
        <f t="shared" si="1"/>
        <v>238</v>
      </c>
      <c r="J31" s="32" t="s">
        <v>1016</v>
      </c>
      <c r="K31" s="13"/>
    </row>
    <row r="32" spans="1:11" ht="13.5" customHeight="1" x14ac:dyDescent="0.2">
      <c r="A32" s="2" t="s">
        <v>24</v>
      </c>
      <c r="B32" s="76">
        <v>45541</v>
      </c>
      <c r="C32" s="13">
        <v>13636</v>
      </c>
      <c r="D32" s="114">
        <v>45658</v>
      </c>
      <c r="E32" s="20">
        <v>45687</v>
      </c>
      <c r="F32" s="11">
        <f t="shared" si="0"/>
        <v>30</v>
      </c>
      <c r="G32" s="12">
        <v>238</v>
      </c>
      <c r="H32" s="13">
        <v>1</v>
      </c>
      <c r="I32" s="19">
        <f t="shared" si="1"/>
        <v>238</v>
      </c>
      <c r="J32" s="32" t="s">
        <v>1016</v>
      </c>
      <c r="K32" s="13"/>
    </row>
    <row r="33" spans="1:11" ht="13.5" customHeight="1" x14ac:dyDescent="0.2">
      <c r="A33" s="2" t="s">
        <v>24</v>
      </c>
      <c r="B33" s="76">
        <v>45541</v>
      </c>
      <c r="C33" s="13">
        <v>13641</v>
      </c>
      <c r="D33" s="114">
        <v>45658</v>
      </c>
      <c r="E33" s="20">
        <v>45687</v>
      </c>
      <c r="F33" s="11">
        <f t="shared" si="0"/>
        <v>30</v>
      </c>
      <c r="G33" s="12">
        <v>238</v>
      </c>
      <c r="H33" s="13">
        <v>1</v>
      </c>
      <c r="I33" s="19">
        <f t="shared" si="1"/>
        <v>238</v>
      </c>
      <c r="J33" s="32" t="s">
        <v>1016</v>
      </c>
      <c r="K33" s="13"/>
    </row>
    <row r="34" spans="1:11" ht="13.5" customHeight="1" x14ac:dyDescent="0.2">
      <c r="A34" s="2" t="s">
        <v>24</v>
      </c>
      <c r="B34" s="76">
        <v>45541</v>
      </c>
      <c r="C34" s="13">
        <v>12947</v>
      </c>
      <c r="D34" s="114">
        <v>45658</v>
      </c>
      <c r="E34" s="20">
        <v>45687</v>
      </c>
      <c r="F34" s="11">
        <f t="shared" si="0"/>
        <v>30</v>
      </c>
      <c r="G34" s="12">
        <v>238</v>
      </c>
      <c r="H34" s="13">
        <v>1</v>
      </c>
      <c r="I34" s="19">
        <f t="shared" si="1"/>
        <v>238</v>
      </c>
      <c r="J34" s="32" t="s">
        <v>1016</v>
      </c>
      <c r="K34" s="13"/>
    </row>
    <row r="35" spans="1:11" ht="13.5" customHeight="1" x14ac:dyDescent="0.2">
      <c r="A35" s="2" t="s">
        <v>24</v>
      </c>
      <c r="B35" s="76">
        <v>45541</v>
      </c>
      <c r="C35" s="177">
        <v>14589</v>
      </c>
      <c r="D35" s="114">
        <v>45658</v>
      </c>
      <c r="E35" s="20">
        <v>45687</v>
      </c>
      <c r="F35" s="11">
        <f t="shared" si="0"/>
        <v>30</v>
      </c>
      <c r="G35" s="12">
        <v>238</v>
      </c>
      <c r="H35" s="13">
        <v>1</v>
      </c>
      <c r="I35" s="19">
        <f t="shared" si="1"/>
        <v>238</v>
      </c>
      <c r="J35" s="255" t="s">
        <v>1013</v>
      </c>
      <c r="K35" s="256">
        <v>67562</v>
      </c>
    </row>
    <row r="36" spans="1:11" ht="13.5" customHeight="1" x14ac:dyDescent="0.2">
      <c r="A36" s="2" t="s">
        <v>24</v>
      </c>
      <c r="B36" s="76">
        <v>45541</v>
      </c>
      <c r="C36" s="257">
        <v>14647</v>
      </c>
      <c r="D36" s="114">
        <v>45658</v>
      </c>
      <c r="E36" s="20">
        <v>45687</v>
      </c>
      <c r="F36" s="11">
        <f t="shared" si="0"/>
        <v>30</v>
      </c>
      <c r="G36" s="12">
        <v>238</v>
      </c>
      <c r="H36" s="13">
        <v>1</v>
      </c>
      <c r="I36" s="19">
        <f t="shared" si="1"/>
        <v>238</v>
      </c>
      <c r="J36" s="255" t="s">
        <v>1017</v>
      </c>
      <c r="K36" s="256">
        <v>67562</v>
      </c>
    </row>
    <row r="37" spans="1:11" ht="13.5" customHeight="1" x14ac:dyDescent="0.2">
      <c r="A37" s="2" t="s">
        <v>24</v>
      </c>
      <c r="B37" s="76">
        <v>45541</v>
      </c>
      <c r="C37" s="13">
        <v>12948</v>
      </c>
      <c r="D37" s="114">
        <v>45658</v>
      </c>
      <c r="E37" s="20">
        <v>45687</v>
      </c>
      <c r="F37" s="11">
        <f t="shared" si="0"/>
        <v>30</v>
      </c>
      <c r="G37" s="12">
        <v>238</v>
      </c>
      <c r="H37" s="13">
        <v>1</v>
      </c>
      <c r="I37" s="19">
        <f t="shared" si="1"/>
        <v>238</v>
      </c>
      <c r="J37" s="32" t="s">
        <v>1016</v>
      </c>
      <c r="K37" s="13" t="s">
        <v>1018</v>
      </c>
    </row>
    <row r="38" spans="1:11" ht="13.5" customHeight="1" x14ac:dyDescent="0.2">
      <c r="A38" s="2" t="s">
        <v>26</v>
      </c>
      <c r="B38" s="76">
        <v>45540</v>
      </c>
      <c r="C38" s="13">
        <v>16081</v>
      </c>
      <c r="D38" s="114">
        <v>45658</v>
      </c>
      <c r="E38" s="20">
        <v>45687</v>
      </c>
      <c r="F38" s="11">
        <f t="shared" si="0"/>
        <v>30</v>
      </c>
      <c r="G38" s="3">
        <v>260</v>
      </c>
      <c r="H38" s="13">
        <v>1</v>
      </c>
      <c r="I38" s="19">
        <f t="shared" si="1"/>
        <v>260</v>
      </c>
      <c r="J38" s="32" t="s">
        <v>1014</v>
      </c>
      <c r="K38" s="13">
        <v>67627</v>
      </c>
    </row>
    <row r="39" spans="1:11" ht="13.5" customHeight="1" x14ac:dyDescent="0.2">
      <c r="A39" s="2" t="s">
        <v>26</v>
      </c>
      <c r="B39" s="76">
        <v>45540</v>
      </c>
      <c r="C39" s="13">
        <v>16080</v>
      </c>
      <c r="D39" s="114">
        <v>45658</v>
      </c>
      <c r="E39" s="20">
        <v>45687</v>
      </c>
      <c r="F39" s="11">
        <f t="shared" si="0"/>
        <v>30</v>
      </c>
      <c r="G39" s="3">
        <v>260</v>
      </c>
      <c r="H39" s="13">
        <v>1</v>
      </c>
      <c r="I39" s="19">
        <f t="shared" si="1"/>
        <v>260</v>
      </c>
      <c r="J39" s="32" t="s">
        <v>1014</v>
      </c>
      <c r="K39" s="13">
        <v>67627</v>
      </c>
    </row>
    <row r="40" spans="1:11" ht="13.5" customHeight="1" x14ac:dyDescent="0.2">
      <c r="A40" s="2" t="s">
        <v>26</v>
      </c>
      <c r="B40" s="76">
        <v>45540</v>
      </c>
      <c r="C40" s="13">
        <v>16084</v>
      </c>
      <c r="D40" s="114">
        <v>45658</v>
      </c>
      <c r="E40" s="20">
        <v>45687</v>
      </c>
      <c r="F40" s="11">
        <f t="shared" si="0"/>
        <v>30</v>
      </c>
      <c r="G40" s="3">
        <v>260</v>
      </c>
      <c r="H40" s="13">
        <v>1</v>
      </c>
      <c r="I40" s="19">
        <f t="shared" si="1"/>
        <v>260</v>
      </c>
      <c r="J40" s="32" t="s">
        <v>1010</v>
      </c>
      <c r="K40" s="13">
        <v>67628</v>
      </c>
    </row>
    <row r="41" spans="1:11" ht="13.5" customHeight="1" x14ac:dyDescent="0.2">
      <c r="A41" s="2" t="s">
        <v>26</v>
      </c>
      <c r="B41" s="76">
        <v>45541</v>
      </c>
      <c r="C41" s="13">
        <v>16083</v>
      </c>
      <c r="D41" s="114">
        <v>45658</v>
      </c>
      <c r="E41" s="20">
        <v>45687</v>
      </c>
      <c r="F41" s="11">
        <f t="shared" si="0"/>
        <v>30</v>
      </c>
      <c r="G41" s="3">
        <v>260</v>
      </c>
      <c r="H41" s="13">
        <v>1</v>
      </c>
      <c r="I41" s="19">
        <f t="shared" si="1"/>
        <v>260</v>
      </c>
      <c r="J41" s="32" t="s">
        <v>1010</v>
      </c>
      <c r="K41" s="13">
        <v>67628</v>
      </c>
    </row>
    <row r="42" spans="1:11" ht="13.5" customHeight="1" x14ac:dyDescent="0.2">
      <c r="A42" s="2" t="s">
        <v>26</v>
      </c>
      <c r="B42" s="76">
        <v>45541</v>
      </c>
      <c r="C42" s="55">
        <v>12917</v>
      </c>
      <c r="D42" s="114">
        <v>45658</v>
      </c>
      <c r="E42" s="20">
        <v>45687</v>
      </c>
      <c r="F42" s="11">
        <f t="shared" si="0"/>
        <v>30</v>
      </c>
      <c r="G42" s="3">
        <v>260</v>
      </c>
      <c r="H42" s="13">
        <v>1</v>
      </c>
      <c r="I42" s="19">
        <f t="shared" si="1"/>
        <v>260</v>
      </c>
      <c r="J42" s="32" t="s">
        <v>1011</v>
      </c>
      <c r="K42" s="13" t="s">
        <v>1019</v>
      </c>
    </row>
    <row r="43" spans="1:11" ht="13.5" customHeight="1" x14ac:dyDescent="0.2">
      <c r="A43" s="2" t="s">
        <v>26</v>
      </c>
      <c r="B43" s="76">
        <v>45541</v>
      </c>
      <c r="C43" s="55">
        <v>14500</v>
      </c>
      <c r="D43" s="114">
        <v>45658</v>
      </c>
      <c r="E43" s="20">
        <v>45687</v>
      </c>
      <c r="F43" s="11">
        <f t="shared" si="0"/>
        <v>30</v>
      </c>
      <c r="G43" s="3">
        <v>260</v>
      </c>
      <c r="H43" s="13">
        <v>1</v>
      </c>
      <c r="I43" s="19">
        <f t="shared" si="1"/>
        <v>260</v>
      </c>
      <c r="J43" s="32" t="s">
        <v>1011</v>
      </c>
      <c r="K43" s="13" t="s">
        <v>1019</v>
      </c>
    </row>
    <row r="44" spans="1:11" ht="13.5" customHeight="1" x14ac:dyDescent="0.2">
      <c r="A44" s="2" t="s">
        <v>26</v>
      </c>
      <c r="B44" s="76">
        <v>45541</v>
      </c>
      <c r="C44" s="55">
        <v>13643</v>
      </c>
      <c r="D44" s="114">
        <v>45658</v>
      </c>
      <c r="E44" s="20">
        <v>45687</v>
      </c>
      <c r="F44" s="11">
        <f t="shared" si="0"/>
        <v>30</v>
      </c>
      <c r="G44" s="3">
        <v>260</v>
      </c>
      <c r="H44" s="13">
        <v>1</v>
      </c>
      <c r="I44" s="19">
        <f t="shared" si="1"/>
        <v>260</v>
      </c>
      <c r="J44" s="32" t="s">
        <v>1011</v>
      </c>
      <c r="K44" s="13" t="s">
        <v>1019</v>
      </c>
    </row>
    <row r="45" spans="1:11" ht="13.5" customHeight="1" x14ac:dyDescent="0.2">
      <c r="A45" s="2" t="s">
        <v>26</v>
      </c>
      <c r="B45" s="76">
        <v>45541</v>
      </c>
      <c r="C45" s="55">
        <v>16086</v>
      </c>
      <c r="D45" s="114">
        <v>45658</v>
      </c>
      <c r="E45" s="20">
        <v>45687</v>
      </c>
      <c r="F45" s="11">
        <f t="shared" si="0"/>
        <v>30</v>
      </c>
      <c r="G45" s="3">
        <v>260</v>
      </c>
      <c r="H45" s="13">
        <v>1</v>
      </c>
      <c r="I45" s="19">
        <f t="shared" si="1"/>
        <v>260</v>
      </c>
      <c r="J45" s="32" t="s">
        <v>1015</v>
      </c>
      <c r="K45" s="13" t="s">
        <v>1019</v>
      </c>
    </row>
    <row r="46" spans="1:11" ht="13.5" customHeight="1" x14ac:dyDescent="0.2">
      <c r="A46" s="2" t="s">
        <v>26</v>
      </c>
      <c r="B46" s="76">
        <v>45541</v>
      </c>
      <c r="C46" s="55">
        <v>16082</v>
      </c>
      <c r="D46" s="114">
        <v>45658</v>
      </c>
      <c r="E46" s="20">
        <v>45687</v>
      </c>
      <c r="F46" s="11">
        <f t="shared" si="0"/>
        <v>30</v>
      </c>
      <c r="G46" s="3">
        <v>260</v>
      </c>
      <c r="H46" s="13">
        <v>1</v>
      </c>
      <c r="I46" s="19">
        <f t="shared" si="1"/>
        <v>260</v>
      </c>
      <c r="J46" s="32" t="s">
        <v>1015</v>
      </c>
      <c r="K46" s="13" t="s">
        <v>1019</v>
      </c>
    </row>
    <row r="47" spans="1:11" ht="13.5" customHeight="1" x14ac:dyDescent="0.2">
      <c r="A47" s="2" t="s">
        <v>26</v>
      </c>
      <c r="B47" s="221">
        <v>45541</v>
      </c>
      <c r="C47" s="55">
        <v>16085</v>
      </c>
      <c r="D47" s="114">
        <v>45658</v>
      </c>
      <c r="E47" s="20">
        <v>45687</v>
      </c>
      <c r="F47" s="11">
        <f t="shared" ref="F47:F78" si="2">(E47-D47)+1</f>
        <v>30</v>
      </c>
      <c r="G47" s="3">
        <v>260</v>
      </c>
      <c r="H47" s="13">
        <v>1</v>
      </c>
      <c r="I47" s="19">
        <f t="shared" ref="I47:I78" si="3">G47/30*H47*F47</f>
        <v>260</v>
      </c>
      <c r="J47" s="32" t="s">
        <v>1015</v>
      </c>
      <c r="K47" s="13" t="s">
        <v>1019</v>
      </c>
    </row>
    <row r="48" spans="1:11" ht="13.5" customHeight="1" x14ac:dyDescent="0.2">
      <c r="A48" s="2" t="s">
        <v>27</v>
      </c>
      <c r="B48" s="221">
        <v>45597</v>
      </c>
      <c r="C48" s="177">
        <v>16351</v>
      </c>
      <c r="D48" s="114">
        <v>45658</v>
      </c>
      <c r="E48" s="20">
        <v>45687</v>
      </c>
      <c r="F48" s="11">
        <f t="shared" si="2"/>
        <v>30</v>
      </c>
      <c r="G48" s="3">
        <v>347</v>
      </c>
      <c r="H48" s="13">
        <v>1</v>
      </c>
      <c r="I48" s="19">
        <f t="shared" si="3"/>
        <v>347</v>
      </c>
      <c r="J48" s="77" t="s">
        <v>1020</v>
      </c>
      <c r="K48" s="13">
        <v>68522</v>
      </c>
    </row>
    <row r="49" spans="1:11" ht="13.5" customHeight="1" x14ac:dyDescent="0.2">
      <c r="A49" s="2" t="s">
        <v>27</v>
      </c>
      <c r="B49" s="221">
        <v>45597</v>
      </c>
      <c r="C49" s="177">
        <v>16349</v>
      </c>
      <c r="D49" s="114">
        <v>45658</v>
      </c>
      <c r="E49" s="20">
        <v>45687</v>
      </c>
      <c r="F49" s="11">
        <f t="shared" si="2"/>
        <v>30</v>
      </c>
      <c r="G49" s="3">
        <v>347</v>
      </c>
      <c r="H49" s="13">
        <v>1</v>
      </c>
      <c r="I49" s="19">
        <f t="shared" si="3"/>
        <v>347</v>
      </c>
      <c r="J49" s="77" t="s">
        <v>1021</v>
      </c>
      <c r="K49" s="13">
        <v>68522</v>
      </c>
    </row>
    <row r="50" spans="1:11" ht="13.5" customHeight="1" x14ac:dyDescent="0.2">
      <c r="A50" s="2" t="s">
        <v>27</v>
      </c>
      <c r="B50" s="221">
        <v>45597</v>
      </c>
      <c r="C50" s="177">
        <v>16342</v>
      </c>
      <c r="D50" s="114">
        <v>45658</v>
      </c>
      <c r="E50" s="20">
        <v>45687</v>
      </c>
      <c r="F50" s="11">
        <f t="shared" si="2"/>
        <v>30</v>
      </c>
      <c r="G50" s="3">
        <v>347</v>
      </c>
      <c r="H50" s="13">
        <v>1</v>
      </c>
      <c r="I50" s="258">
        <f t="shared" si="3"/>
        <v>347</v>
      </c>
      <c r="J50" s="77" t="s">
        <v>1022</v>
      </c>
      <c r="K50" s="253">
        <v>68524</v>
      </c>
    </row>
    <row r="51" spans="1:11" ht="13.5" customHeight="1" x14ac:dyDescent="0.2">
      <c r="A51" s="2" t="s">
        <v>27</v>
      </c>
      <c r="B51" s="221">
        <v>45597</v>
      </c>
      <c r="C51" s="177">
        <v>16353</v>
      </c>
      <c r="D51" s="114">
        <v>45658</v>
      </c>
      <c r="E51" s="20">
        <v>45687</v>
      </c>
      <c r="F51" s="11">
        <f t="shared" si="2"/>
        <v>30</v>
      </c>
      <c r="G51" s="3">
        <v>347</v>
      </c>
      <c r="H51" s="13">
        <v>1</v>
      </c>
      <c r="I51" s="258">
        <f t="shared" si="3"/>
        <v>347</v>
      </c>
      <c r="J51" s="77" t="s">
        <v>1022</v>
      </c>
      <c r="K51" s="253">
        <v>68524</v>
      </c>
    </row>
    <row r="52" spans="1:11" ht="13.5" customHeight="1" x14ac:dyDescent="0.2">
      <c r="A52" s="2" t="s">
        <v>27</v>
      </c>
      <c r="B52" s="221">
        <v>45597</v>
      </c>
      <c r="C52" s="177">
        <v>16343</v>
      </c>
      <c r="D52" s="114">
        <v>45658</v>
      </c>
      <c r="E52" s="20">
        <v>45687</v>
      </c>
      <c r="F52" s="11">
        <f t="shared" si="2"/>
        <v>30</v>
      </c>
      <c r="G52" s="3">
        <v>347</v>
      </c>
      <c r="H52" s="13">
        <v>1</v>
      </c>
      <c r="I52" s="258">
        <f t="shared" si="3"/>
        <v>347</v>
      </c>
      <c r="J52" s="77" t="s">
        <v>1023</v>
      </c>
      <c r="K52" s="253">
        <v>68524</v>
      </c>
    </row>
    <row r="53" spans="1:11" ht="13.5" customHeight="1" x14ac:dyDescent="0.2">
      <c r="A53" s="2" t="s">
        <v>27</v>
      </c>
      <c r="B53" s="221">
        <v>45597</v>
      </c>
      <c r="C53" s="177">
        <v>16352</v>
      </c>
      <c r="D53" s="114">
        <v>45658</v>
      </c>
      <c r="E53" s="20">
        <v>45687</v>
      </c>
      <c r="F53" s="11">
        <f t="shared" si="2"/>
        <v>30</v>
      </c>
      <c r="G53" s="3">
        <v>347</v>
      </c>
      <c r="H53" s="13">
        <v>1</v>
      </c>
      <c r="I53" s="258">
        <f t="shared" si="3"/>
        <v>347</v>
      </c>
      <c r="J53" s="77" t="s">
        <v>1024</v>
      </c>
      <c r="K53" s="253">
        <v>68524</v>
      </c>
    </row>
    <row r="54" spans="1:11" ht="13.5" customHeight="1" x14ac:dyDescent="0.2">
      <c r="A54" s="2" t="s">
        <v>27</v>
      </c>
      <c r="B54" s="259">
        <v>45597</v>
      </c>
      <c r="C54" s="177">
        <v>16345</v>
      </c>
      <c r="D54" s="114">
        <v>45658</v>
      </c>
      <c r="E54" s="20">
        <v>45687</v>
      </c>
      <c r="F54" s="11">
        <f t="shared" si="2"/>
        <v>30</v>
      </c>
      <c r="G54" s="3">
        <v>347</v>
      </c>
      <c r="H54" s="13">
        <v>1</v>
      </c>
      <c r="I54" s="258">
        <f t="shared" si="3"/>
        <v>347</v>
      </c>
      <c r="J54" s="77" t="s">
        <v>1025</v>
      </c>
      <c r="K54" s="253">
        <v>68524</v>
      </c>
    </row>
    <row r="55" spans="1:11" ht="13.5" customHeight="1" x14ac:dyDescent="0.2">
      <c r="A55" s="2" t="s">
        <v>27</v>
      </c>
      <c r="B55" s="221">
        <v>45597</v>
      </c>
      <c r="C55" s="177">
        <v>16341</v>
      </c>
      <c r="D55" s="114">
        <v>45658</v>
      </c>
      <c r="E55" s="20">
        <v>45687</v>
      </c>
      <c r="F55" s="11">
        <f t="shared" si="2"/>
        <v>30</v>
      </c>
      <c r="G55" s="3">
        <v>347</v>
      </c>
      <c r="H55" s="13">
        <v>1</v>
      </c>
      <c r="I55" s="258">
        <f t="shared" si="3"/>
        <v>347</v>
      </c>
      <c r="J55" s="260" t="s">
        <v>1026</v>
      </c>
      <c r="K55" s="13">
        <v>68529</v>
      </c>
    </row>
    <row r="56" spans="1:11" ht="13.5" customHeight="1" x14ac:dyDescent="0.2">
      <c r="A56" s="2" t="s">
        <v>27</v>
      </c>
      <c r="B56" s="221">
        <v>45597</v>
      </c>
      <c r="C56" s="177">
        <v>16340</v>
      </c>
      <c r="D56" s="114">
        <v>45658</v>
      </c>
      <c r="E56" s="20">
        <v>45687</v>
      </c>
      <c r="F56" s="11">
        <f t="shared" si="2"/>
        <v>30</v>
      </c>
      <c r="G56" s="3">
        <v>347</v>
      </c>
      <c r="H56" s="13">
        <v>1</v>
      </c>
      <c r="I56" s="258">
        <f t="shared" si="3"/>
        <v>347</v>
      </c>
      <c r="J56" s="77" t="s">
        <v>1027</v>
      </c>
      <c r="K56" s="13">
        <v>68529</v>
      </c>
    </row>
    <row r="57" spans="1:11" ht="13.5" customHeight="1" x14ac:dyDescent="0.2">
      <c r="A57" s="2" t="s">
        <v>27</v>
      </c>
      <c r="B57" s="221">
        <v>45597</v>
      </c>
      <c r="C57" s="177">
        <v>16344</v>
      </c>
      <c r="D57" s="114">
        <v>45658</v>
      </c>
      <c r="E57" s="20">
        <v>45687</v>
      </c>
      <c r="F57" s="11">
        <f t="shared" si="2"/>
        <v>30</v>
      </c>
      <c r="G57" s="3">
        <v>347</v>
      </c>
      <c r="H57" s="13">
        <v>1</v>
      </c>
      <c r="I57" s="258">
        <f t="shared" si="3"/>
        <v>347</v>
      </c>
      <c r="J57" s="77" t="s">
        <v>1028</v>
      </c>
      <c r="K57" s="13">
        <v>68529</v>
      </c>
    </row>
    <row r="58" spans="1:11" ht="13.5" customHeight="1" x14ac:dyDescent="0.2">
      <c r="A58" s="2" t="s">
        <v>27</v>
      </c>
      <c r="B58" s="76">
        <v>45597</v>
      </c>
      <c r="C58" s="177">
        <v>16347</v>
      </c>
      <c r="D58" s="114">
        <v>45658</v>
      </c>
      <c r="E58" s="20">
        <v>45687</v>
      </c>
      <c r="F58" s="11">
        <f t="shared" si="2"/>
        <v>30</v>
      </c>
      <c r="G58" s="3">
        <v>347</v>
      </c>
      <c r="H58" s="13">
        <v>1</v>
      </c>
      <c r="I58" s="258">
        <f t="shared" si="3"/>
        <v>347</v>
      </c>
      <c r="J58" s="77" t="s">
        <v>1029</v>
      </c>
      <c r="K58" s="13">
        <v>68529</v>
      </c>
    </row>
    <row r="59" spans="1:11" ht="13.5" customHeight="1" x14ac:dyDescent="0.2">
      <c r="A59" s="2" t="s">
        <v>27</v>
      </c>
      <c r="B59" s="76">
        <v>45597</v>
      </c>
      <c r="C59" s="177">
        <v>16346</v>
      </c>
      <c r="D59" s="114">
        <v>45658</v>
      </c>
      <c r="E59" s="20">
        <v>45687</v>
      </c>
      <c r="F59" s="11">
        <f t="shared" si="2"/>
        <v>30</v>
      </c>
      <c r="G59" s="3">
        <v>347</v>
      </c>
      <c r="H59" s="13">
        <v>1</v>
      </c>
      <c r="I59" s="258">
        <f t="shared" si="3"/>
        <v>347</v>
      </c>
      <c r="J59" s="85" t="s">
        <v>1030</v>
      </c>
      <c r="K59" s="13">
        <v>68529</v>
      </c>
    </row>
    <row r="60" spans="1:11" ht="13.5" customHeight="1" x14ac:dyDescent="0.2">
      <c r="A60" s="2" t="s">
        <v>27</v>
      </c>
      <c r="B60" s="221">
        <v>45597</v>
      </c>
      <c r="C60" s="177">
        <v>16333</v>
      </c>
      <c r="D60" s="114">
        <v>45658</v>
      </c>
      <c r="E60" s="20">
        <v>45687</v>
      </c>
      <c r="F60" s="11">
        <f t="shared" si="2"/>
        <v>30</v>
      </c>
      <c r="G60" s="3">
        <v>347</v>
      </c>
      <c r="H60" s="13">
        <v>1</v>
      </c>
      <c r="I60" s="258">
        <f t="shared" si="3"/>
        <v>347</v>
      </c>
      <c r="J60" s="77" t="s">
        <v>1031</v>
      </c>
      <c r="K60" s="253">
        <v>68532</v>
      </c>
    </row>
    <row r="61" spans="1:11" ht="13.5" customHeight="1" x14ac:dyDescent="0.2">
      <c r="A61" s="2" t="s">
        <v>27</v>
      </c>
      <c r="B61" s="221">
        <v>45597</v>
      </c>
      <c r="C61" s="177">
        <v>16337</v>
      </c>
      <c r="D61" s="114">
        <v>45658</v>
      </c>
      <c r="E61" s="20">
        <v>45687</v>
      </c>
      <c r="F61" s="11">
        <f t="shared" si="2"/>
        <v>30</v>
      </c>
      <c r="G61" s="3">
        <v>347</v>
      </c>
      <c r="H61" s="13">
        <v>1</v>
      </c>
      <c r="I61" s="258">
        <f t="shared" si="3"/>
        <v>347</v>
      </c>
      <c r="J61" s="77" t="s">
        <v>1032</v>
      </c>
      <c r="K61" s="253">
        <v>68532</v>
      </c>
    </row>
    <row r="62" spans="1:11" ht="13.5" customHeight="1" x14ac:dyDescent="0.2">
      <c r="A62" s="2" t="s">
        <v>27</v>
      </c>
      <c r="B62" s="221">
        <v>45597</v>
      </c>
      <c r="C62" s="177">
        <v>16332</v>
      </c>
      <c r="D62" s="114">
        <v>45658</v>
      </c>
      <c r="E62" s="20">
        <v>45687</v>
      </c>
      <c r="F62" s="11">
        <f t="shared" si="2"/>
        <v>30</v>
      </c>
      <c r="G62" s="3">
        <v>347</v>
      </c>
      <c r="H62" s="13">
        <v>1</v>
      </c>
      <c r="I62" s="258">
        <f t="shared" si="3"/>
        <v>347</v>
      </c>
      <c r="J62" s="77" t="s">
        <v>1033</v>
      </c>
      <c r="K62" s="253">
        <v>68532</v>
      </c>
    </row>
    <row r="63" spans="1:11" ht="13.5" customHeight="1" x14ac:dyDescent="0.2">
      <c r="A63" s="2" t="s">
        <v>27</v>
      </c>
      <c r="B63" s="221">
        <v>45597</v>
      </c>
      <c r="C63" s="177">
        <v>16331</v>
      </c>
      <c r="D63" s="114">
        <v>45658</v>
      </c>
      <c r="E63" s="20">
        <v>45687</v>
      </c>
      <c r="F63" s="11">
        <f t="shared" si="2"/>
        <v>30</v>
      </c>
      <c r="G63" s="3">
        <v>347</v>
      </c>
      <c r="H63" s="13">
        <v>1</v>
      </c>
      <c r="I63" s="258">
        <f t="shared" si="3"/>
        <v>347</v>
      </c>
      <c r="J63" s="77" t="s">
        <v>1034</v>
      </c>
      <c r="K63" s="253">
        <v>68532</v>
      </c>
    </row>
    <row r="64" spans="1:11" ht="13.5" customHeight="1" x14ac:dyDescent="0.2">
      <c r="A64" s="2" t="s">
        <v>27</v>
      </c>
      <c r="B64" s="221">
        <v>45597</v>
      </c>
      <c r="C64" s="177">
        <v>16348</v>
      </c>
      <c r="D64" s="114">
        <v>45658</v>
      </c>
      <c r="E64" s="20">
        <v>45687</v>
      </c>
      <c r="F64" s="11">
        <f t="shared" si="2"/>
        <v>30</v>
      </c>
      <c r="G64" s="3">
        <v>347</v>
      </c>
      <c r="H64" s="13">
        <v>1</v>
      </c>
      <c r="I64" s="258">
        <f t="shared" si="3"/>
        <v>347</v>
      </c>
      <c r="J64" s="77" t="s">
        <v>1034</v>
      </c>
      <c r="K64" s="253">
        <v>68532</v>
      </c>
    </row>
    <row r="65" spans="1:11" ht="13.5" customHeight="1" x14ac:dyDescent="0.2">
      <c r="A65" s="2" t="s">
        <v>27</v>
      </c>
      <c r="B65" s="221">
        <v>45597</v>
      </c>
      <c r="C65" s="177">
        <v>16327</v>
      </c>
      <c r="D65" s="114">
        <v>45658</v>
      </c>
      <c r="E65" s="20">
        <v>45687</v>
      </c>
      <c r="F65" s="11">
        <f t="shared" si="2"/>
        <v>30</v>
      </c>
      <c r="G65" s="3">
        <v>347</v>
      </c>
      <c r="H65" s="13">
        <v>1</v>
      </c>
      <c r="I65" s="258">
        <f t="shared" si="3"/>
        <v>347</v>
      </c>
      <c r="J65" s="69" t="s">
        <v>1035</v>
      </c>
      <c r="K65" s="253">
        <v>70870</v>
      </c>
    </row>
    <row r="66" spans="1:11" ht="13.5" customHeight="1" x14ac:dyDescent="0.2">
      <c r="A66" s="2" t="s">
        <v>27</v>
      </c>
      <c r="B66" s="221">
        <v>45597</v>
      </c>
      <c r="C66" s="177">
        <v>16326</v>
      </c>
      <c r="D66" s="114">
        <v>45658</v>
      </c>
      <c r="E66" s="20">
        <v>45687</v>
      </c>
      <c r="F66" s="11">
        <f t="shared" si="2"/>
        <v>30</v>
      </c>
      <c r="G66" s="3">
        <v>347</v>
      </c>
      <c r="H66" s="13">
        <v>1</v>
      </c>
      <c r="I66" s="258">
        <f t="shared" si="3"/>
        <v>347</v>
      </c>
      <c r="J66" s="69" t="s">
        <v>1036</v>
      </c>
      <c r="K66" s="253">
        <v>70870</v>
      </c>
    </row>
    <row r="67" spans="1:11" ht="13.5" customHeight="1" x14ac:dyDescent="0.2">
      <c r="A67" s="2" t="s">
        <v>27</v>
      </c>
      <c r="B67" s="221">
        <v>45597</v>
      </c>
      <c r="C67" s="177">
        <v>16336</v>
      </c>
      <c r="D67" s="114">
        <v>45658</v>
      </c>
      <c r="E67" s="20">
        <v>45687</v>
      </c>
      <c r="F67" s="11">
        <f t="shared" si="2"/>
        <v>30</v>
      </c>
      <c r="G67" s="3">
        <v>347</v>
      </c>
      <c r="H67" s="13">
        <v>1</v>
      </c>
      <c r="I67" s="258">
        <f t="shared" si="3"/>
        <v>347</v>
      </c>
      <c r="J67" s="69" t="s">
        <v>1037</v>
      </c>
      <c r="K67" s="253">
        <v>70871</v>
      </c>
    </row>
    <row r="68" spans="1:11" ht="13.5" customHeight="1" x14ac:dyDescent="0.2">
      <c r="A68" s="2" t="s">
        <v>27</v>
      </c>
      <c r="B68" s="221">
        <v>45597</v>
      </c>
      <c r="C68" s="177">
        <v>16323</v>
      </c>
      <c r="D68" s="114">
        <v>45658</v>
      </c>
      <c r="E68" s="20">
        <v>45687</v>
      </c>
      <c r="F68" s="11">
        <f t="shared" si="2"/>
        <v>30</v>
      </c>
      <c r="G68" s="3">
        <v>347</v>
      </c>
      <c r="H68" s="13">
        <v>1</v>
      </c>
      <c r="I68" s="258">
        <f t="shared" si="3"/>
        <v>347</v>
      </c>
      <c r="J68" s="69" t="s">
        <v>662</v>
      </c>
      <c r="K68" s="253">
        <v>70871</v>
      </c>
    </row>
    <row r="69" spans="1:11" ht="13.5" customHeight="1" x14ac:dyDescent="0.2">
      <c r="A69" s="2" t="s">
        <v>27</v>
      </c>
      <c r="B69" s="221">
        <v>45597</v>
      </c>
      <c r="C69" s="177">
        <v>16335</v>
      </c>
      <c r="D69" s="114">
        <v>45658</v>
      </c>
      <c r="E69" s="20">
        <v>45687</v>
      </c>
      <c r="F69" s="11">
        <f t="shared" si="2"/>
        <v>30</v>
      </c>
      <c r="G69" s="3">
        <v>347</v>
      </c>
      <c r="H69" s="13">
        <v>1</v>
      </c>
      <c r="I69" s="258">
        <f t="shared" si="3"/>
        <v>347</v>
      </c>
      <c r="J69" s="69" t="s">
        <v>1038</v>
      </c>
      <c r="K69" s="253">
        <v>70871</v>
      </c>
    </row>
    <row r="70" spans="1:11" ht="13.5" customHeight="1" x14ac:dyDescent="0.2">
      <c r="A70" s="2" t="s">
        <v>27</v>
      </c>
      <c r="B70" s="221">
        <v>45597</v>
      </c>
      <c r="C70" s="177"/>
      <c r="D70" s="114">
        <v>45658</v>
      </c>
      <c r="E70" s="20">
        <v>45687</v>
      </c>
      <c r="F70" s="11">
        <f t="shared" si="2"/>
        <v>30</v>
      </c>
      <c r="G70" s="3">
        <v>347</v>
      </c>
      <c r="H70" s="13">
        <v>1</v>
      </c>
      <c r="I70" s="258">
        <f t="shared" si="3"/>
        <v>347</v>
      </c>
      <c r="J70" s="261" t="s">
        <v>1013</v>
      </c>
      <c r="K70" s="262"/>
    </row>
    <row r="71" spans="1:11" ht="13.5" customHeight="1" x14ac:dyDescent="0.2">
      <c r="A71" s="2" t="s">
        <v>27</v>
      </c>
      <c r="B71" s="221">
        <v>45597</v>
      </c>
      <c r="C71" s="177"/>
      <c r="D71" s="114">
        <v>45658</v>
      </c>
      <c r="E71" s="20">
        <v>45687</v>
      </c>
      <c r="F71" s="11">
        <f t="shared" si="2"/>
        <v>30</v>
      </c>
      <c r="G71" s="3">
        <v>347</v>
      </c>
      <c r="H71" s="13">
        <v>1</v>
      </c>
      <c r="I71" s="258">
        <f t="shared" si="3"/>
        <v>347</v>
      </c>
      <c r="J71" s="261" t="s">
        <v>1013</v>
      </c>
      <c r="K71" s="262"/>
    </row>
    <row r="72" spans="1:11" ht="13.5" customHeight="1" x14ac:dyDescent="0.2">
      <c r="A72" s="2" t="s">
        <v>27</v>
      </c>
      <c r="B72" s="221">
        <v>45597</v>
      </c>
      <c r="C72" s="257"/>
      <c r="D72" s="114">
        <v>45658</v>
      </c>
      <c r="E72" s="20">
        <v>45687</v>
      </c>
      <c r="F72" s="11">
        <f t="shared" si="2"/>
        <v>30</v>
      </c>
      <c r="G72" s="3">
        <v>347</v>
      </c>
      <c r="H72" s="13">
        <v>1</v>
      </c>
      <c r="I72" s="258">
        <f t="shared" si="3"/>
        <v>347</v>
      </c>
      <c r="J72" s="261" t="s">
        <v>1017</v>
      </c>
      <c r="K72" s="262"/>
    </row>
    <row r="73" spans="1:11" ht="13.5" customHeight="1" x14ac:dyDescent="0.2">
      <c r="A73" s="2" t="s">
        <v>32</v>
      </c>
      <c r="B73" s="221">
        <v>45664</v>
      </c>
      <c r="C73" s="177">
        <v>17323</v>
      </c>
      <c r="D73" s="114">
        <v>45664</v>
      </c>
      <c r="E73" s="20">
        <v>45687</v>
      </c>
      <c r="F73" s="11">
        <f t="shared" si="2"/>
        <v>24</v>
      </c>
      <c r="G73" s="3">
        <v>447</v>
      </c>
      <c r="H73" s="13">
        <v>1</v>
      </c>
      <c r="I73" s="258">
        <f t="shared" si="3"/>
        <v>357.6</v>
      </c>
      <c r="J73" s="69" t="s">
        <v>1017</v>
      </c>
      <c r="K73" s="253" t="s">
        <v>1039</v>
      </c>
    </row>
    <row r="74" spans="1:11" ht="13.5" customHeight="1" x14ac:dyDescent="0.2">
      <c r="A74" s="2" t="s">
        <v>32</v>
      </c>
      <c r="B74" s="221">
        <v>45664</v>
      </c>
      <c r="C74" s="257">
        <v>12825</v>
      </c>
      <c r="D74" s="114">
        <v>45664</v>
      </c>
      <c r="E74" s="20">
        <v>45687</v>
      </c>
      <c r="F74" s="11">
        <f t="shared" si="2"/>
        <v>24</v>
      </c>
      <c r="G74" s="3">
        <v>447</v>
      </c>
      <c r="H74" s="13">
        <v>1</v>
      </c>
      <c r="I74" s="258">
        <f t="shared" si="3"/>
        <v>357.6</v>
      </c>
      <c r="J74" s="69" t="s">
        <v>1017</v>
      </c>
      <c r="K74" s="253" t="s">
        <v>1039</v>
      </c>
    </row>
    <row r="75" spans="1:11" ht="13.5" customHeight="1" x14ac:dyDescent="0.2">
      <c r="A75" s="2" t="s">
        <v>34</v>
      </c>
      <c r="B75" s="221">
        <v>45664</v>
      </c>
      <c r="C75" s="177">
        <v>17128</v>
      </c>
      <c r="D75" s="114">
        <v>45664</v>
      </c>
      <c r="E75" s="20">
        <v>45687</v>
      </c>
      <c r="F75" s="11">
        <f t="shared" si="2"/>
        <v>24</v>
      </c>
      <c r="G75" s="3">
        <v>597</v>
      </c>
      <c r="H75" s="13">
        <v>1</v>
      </c>
      <c r="I75" s="258">
        <f t="shared" si="3"/>
        <v>477.59999999999997</v>
      </c>
      <c r="J75" s="69" t="s">
        <v>1011</v>
      </c>
      <c r="K75" s="253"/>
    </row>
    <row r="76" spans="1:11" ht="13.5" customHeight="1" x14ac:dyDescent="0.2">
      <c r="A76" s="2" t="s">
        <v>34</v>
      </c>
      <c r="B76" s="221">
        <v>45664</v>
      </c>
      <c r="C76" s="257">
        <v>17133</v>
      </c>
      <c r="D76" s="114">
        <v>45664</v>
      </c>
      <c r="E76" s="20">
        <v>45687</v>
      </c>
      <c r="F76" s="11">
        <f t="shared" si="2"/>
        <v>24</v>
      </c>
      <c r="G76" s="3">
        <v>597</v>
      </c>
      <c r="H76" s="13">
        <v>1</v>
      </c>
      <c r="I76" s="258">
        <f t="shared" si="3"/>
        <v>477.59999999999997</v>
      </c>
      <c r="J76" s="69" t="s">
        <v>1009</v>
      </c>
      <c r="K76" s="253"/>
    </row>
    <row r="77" spans="1:11" ht="13.5" customHeight="1" x14ac:dyDescent="0.2">
      <c r="A77" s="2" t="s">
        <v>34</v>
      </c>
      <c r="B77" s="221">
        <v>45664</v>
      </c>
      <c r="C77" s="257">
        <v>16030</v>
      </c>
      <c r="D77" s="114">
        <v>45664</v>
      </c>
      <c r="E77" s="20">
        <v>45687</v>
      </c>
      <c r="F77" s="11">
        <f t="shared" si="2"/>
        <v>24</v>
      </c>
      <c r="G77" s="3">
        <v>597</v>
      </c>
      <c r="H77" s="13">
        <v>1</v>
      </c>
      <c r="I77" s="258">
        <f t="shared" si="3"/>
        <v>477.59999999999997</v>
      </c>
      <c r="J77" s="69" t="s">
        <v>1040</v>
      </c>
      <c r="K77" s="253">
        <v>71636</v>
      </c>
    </row>
    <row r="78" spans="1:11" ht="13.5" customHeight="1" x14ac:dyDescent="0.2">
      <c r="A78" s="2" t="s">
        <v>34</v>
      </c>
      <c r="B78" s="221">
        <v>45664</v>
      </c>
      <c r="C78" s="257">
        <v>16027</v>
      </c>
      <c r="D78" s="114">
        <v>45664</v>
      </c>
      <c r="E78" s="20">
        <v>45687</v>
      </c>
      <c r="F78" s="11">
        <f t="shared" si="2"/>
        <v>24</v>
      </c>
      <c r="G78" s="3">
        <v>597</v>
      </c>
      <c r="H78" s="13">
        <v>1</v>
      </c>
      <c r="I78" s="258">
        <f t="shared" si="3"/>
        <v>477.59999999999997</v>
      </c>
      <c r="J78" s="69" t="s">
        <v>1017</v>
      </c>
      <c r="K78" s="253">
        <v>71636</v>
      </c>
    </row>
    <row r="79" spans="1:11" ht="13.5" customHeight="1" x14ac:dyDescent="0.2">
      <c r="A79" s="2" t="s">
        <v>34</v>
      </c>
      <c r="B79" s="221">
        <v>45664</v>
      </c>
      <c r="C79" s="257">
        <v>17136</v>
      </c>
      <c r="D79" s="114">
        <v>45664</v>
      </c>
      <c r="E79" s="20">
        <v>45687</v>
      </c>
      <c r="F79" s="11">
        <f t="shared" ref="F79:F82" si="4">(E79-D79)+1</f>
        <v>24</v>
      </c>
      <c r="G79" s="3">
        <v>597</v>
      </c>
      <c r="H79" s="13">
        <v>1</v>
      </c>
      <c r="I79" s="258">
        <f t="shared" ref="I79:I82" si="5">G79/30*H79*F79</f>
        <v>477.59999999999997</v>
      </c>
      <c r="J79" s="69" t="s">
        <v>1010</v>
      </c>
      <c r="K79" s="253"/>
    </row>
    <row r="80" spans="1:11" ht="13.5" customHeight="1" x14ac:dyDescent="0.2">
      <c r="A80" s="2" t="s">
        <v>34</v>
      </c>
      <c r="B80" s="221">
        <v>45664</v>
      </c>
      <c r="C80" s="257">
        <v>17134</v>
      </c>
      <c r="D80" s="114">
        <v>45664</v>
      </c>
      <c r="E80" s="20">
        <v>45687</v>
      </c>
      <c r="F80" s="11">
        <f t="shared" si="4"/>
        <v>24</v>
      </c>
      <c r="G80" s="3">
        <v>597</v>
      </c>
      <c r="H80" s="13">
        <v>1</v>
      </c>
      <c r="I80" s="258">
        <f t="shared" si="5"/>
        <v>477.59999999999997</v>
      </c>
      <c r="J80" s="69" t="s">
        <v>1013</v>
      </c>
      <c r="K80" s="253"/>
    </row>
    <row r="81" spans="1:11" ht="13.5" customHeight="1" x14ac:dyDescent="0.2">
      <c r="A81" s="2" t="s">
        <v>40</v>
      </c>
      <c r="B81" s="221">
        <v>45664</v>
      </c>
      <c r="C81" s="257">
        <v>16937</v>
      </c>
      <c r="D81" s="114">
        <v>45664</v>
      </c>
      <c r="E81" s="20">
        <v>45687</v>
      </c>
      <c r="F81" s="11">
        <f t="shared" si="4"/>
        <v>24</v>
      </c>
      <c r="G81" s="3">
        <v>645</v>
      </c>
      <c r="H81" s="13">
        <v>1</v>
      </c>
      <c r="I81" s="258">
        <f t="shared" si="5"/>
        <v>516</v>
      </c>
      <c r="J81" s="69" t="s">
        <v>1041</v>
      </c>
      <c r="K81" s="253">
        <v>71636</v>
      </c>
    </row>
    <row r="82" spans="1:11" ht="13.5" customHeight="1" x14ac:dyDescent="0.2">
      <c r="A82" s="2" t="s">
        <v>40</v>
      </c>
      <c r="B82" s="221">
        <v>45664</v>
      </c>
      <c r="C82" s="257">
        <v>12640</v>
      </c>
      <c r="D82" s="114">
        <v>45664</v>
      </c>
      <c r="E82" s="20">
        <v>45687</v>
      </c>
      <c r="F82" s="11">
        <f t="shared" si="4"/>
        <v>24</v>
      </c>
      <c r="G82" s="3">
        <v>645</v>
      </c>
      <c r="H82" s="13">
        <v>1</v>
      </c>
      <c r="I82" s="258">
        <f t="shared" si="5"/>
        <v>516</v>
      </c>
      <c r="J82" s="69" t="s">
        <v>1041</v>
      </c>
      <c r="K82" s="253">
        <v>71636</v>
      </c>
    </row>
    <row r="83" spans="1:11" ht="13.5" customHeight="1" x14ac:dyDescent="0.25">
      <c r="A83" s="14"/>
      <c r="B83" s="76"/>
      <c r="C83" s="98"/>
      <c r="D83" s="20"/>
      <c r="E83" s="20"/>
      <c r="F83" s="11"/>
      <c r="G83" s="12"/>
      <c r="H83" s="13"/>
      <c r="I83" s="19"/>
      <c r="J83" s="32"/>
      <c r="K83" s="13"/>
    </row>
    <row r="84" spans="1:11" ht="13.5" customHeight="1" x14ac:dyDescent="0.25">
      <c r="A84" s="21" t="s">
        <v>181</v>
      </c>
      <c r="B84" s="26"/>
      <c r="C84" s="137"/>
      <c r="D84" s="23"/>
      <c r="E84" s="23"/>
      <c r="F84" s="24"/>
      <c r="G84" s="23"/>
      <c r="H84" s="22">
        <f>SUM(H15:H82)</f>
        <v>68</v>
      </c>
      <c r="I84" s="112">
        <f>SUM(I15:I82)</f>
        <v>21328.799999999988</v>
      </c>
      <c r="J84" s="33"/>
      <c r="K84" s="116"/>
    </row>
    <row r="85" spans="1:11" ht="13.5" customHeight="1" x14ac:dyDescent="0.25">
      <c r="D85" s="8"/>
      <c r="E85" s="8"/>
      <c r="F85" s="9"/>
      <c r="G85" s="10"/>
      <c r="I85" s="10"/>
      <c r="J85" s="4"/>
    </row>
    <row r="86" spans="1:11" ht="13.5" customHeight="1" x14ac:dyDescent="0.25">
      <c r="D86" s="8"/>
      <c r="E86" s="8"/>
      <c r="F86" s="9"/>
      <c r="G86" s="10"/>
      <c r="H86" s="50">
        <f>H84</f>
        <v>68</v>
      </c>
      <c r="I86" s="25">
        <f>I84</f>
        <v>21328.799999999988</v>
      </c>
      <c r="J86" s="16"/>
    </row>
    <row r="87" spans="1:11" ht="13.5" customHeight="1" x14ac:dyDescent="0.25">
      <c r="D87" s="8"/>
      <c r="E87" s="8"/>
      <c r="F87" s="9"/>
      <c r="G87" s="10"/>
      <c r="I87" s="10"/>
      <c r="J87" s="16"/>
    </row>
    <row r="88" spans="1:11" ht="13.5" customHeight="1" x14ac:dyDescent="0.25">
      <c r="D88" s="8"/>
      <c r="E88" s="8"/>
      <c r="F88" s="9"/>
      <c r="G88" s="10"/>
      <c r="I88" s="10"/>
      <c r="J88" s="7"/>
    </row>
    <row r="89" spans="1:11" ht="13.5" customHeight="1" x14ac:dyDescent="0.25">
      <c r="A89" s="289" t="s">
        <v>124</v>
      </c>
      <c r="B89" s="289"/>
      <c r="C89" s="289"/>
      <c r="D89" s="289"/>
      <c r="E89" s="289"/>
      <c r="F89" s="289"/>
      <c r="G89" s="289"/>
      <c r="H89" s="289"/>
      <c r="I89" s="289"/>
      <c r="J89" s="7"/>
    </row>
    <row r="90" spans="1:11" ht="13.5" customHeight="1" x14ac:dyDescent="0.25">
      <c r="J90" s="7"/>
    </row>
    <row r="91" spans="1:11" ht="13.5" customHeight="1" x14ac:dyDescent="0.2">
      <c r="A91" s="27" t="s">
        <v>125</v>
      </c>
      <c r="B91" s="7"/>
      <c r="F91" s="71"/>
      <c r="G91" s="10"/>
      <c r="I91" s="72"/>
      <c r="J91" s="7"/>
    </row>
    <row r="92" spans="1:11" ht="60" customHeight="1" x14ac:dyDescent="0.25">
      <c r="A92" s="291"/>
      <c r="B92" s="275"/>
      <c r="C92" s="292"/>
      <c r="D92" s="290"/>
      <c r="E92" s="290"/>
      <c r="F92" s="290"/>
      <c r="G92" s="290"/>
      <c r="H92" s="290"/>
      <c r="I92" s="290"/>
      <c r="J92" s="7"/>
    </row>
    <row r="93" spans="1:11" ht="13.5" customHeight="1" x14ac:dyDescent="0.25">
      <c r="A93" s="274" t="s">
        <v>126</v>
      </c>
      <c r="B93" s="274"/>
      <c r="C93" s="274"/>
      <c r="D93" s="274" t="s">
        <v>127</v>
      </c>
      <c r="E93" s="274"/>
      <c r="F93" s="274"/>
      <c r="G93" s="274"/>
      <c r="H93" s="274"/>
      <c r="I93" s="274"/>
      <c r="J93" s="7"/>
    </row>
    <row r="94" spans="1:11" ht="13.5" customHeight="1" x14ac:dyDescent="0.25">
      <c r="D94" s="8"/>
      <c r="E94" s="8"/>
      <c r="F94" s="9"/>
      <c r="G94" s="10"/>
      <c r="I94" s="10"/>
      <c r="J94" s="7"/>
    </row>
    <row r="95" spans="1:11" ht="13.5" customHeight="1" x14ac:dyDescent="0.25">
      <c r="D95" s="8"/>
      <c r="E95" s="8"/>
      <c r="F95" s="9"/>
      <c r="G95" s="10"/>
      <c r="I95" s="10"/>
      <c r="J95" s="7"/>
    </row>
    <row r="96" spans="1:11" ht="13.5" customHeight="1" x14ac:dyDescent="0.25">
      <c r="D96" s="8"/>
      <c r="E96" s="8"/>
      <c r="F96" s="9"/>
      <c r="G96" s="10"/>
      <c r="I96" s="10"/>
      <c r="J96" s="7"/>
    </row>
    <row r="97" spans="1:10" s="7" customFormat="1" ht="13.5" customHeight="1" x14ac:dyDescent="0.2">
      <c r="A97" s="266" t="s">
        <v>29</v>
      </c>
      <c r="B97" s="266"/>
      <c r="C97" s="266"/>
      <c r="D97" s="266"/>
      <c r="E97" s="266"/>
      <c r="F97" s="266"/>
      <c r="G97" s="51"/>
      <c r="I97" s="10"/>
      <c r="J97" s="16"/>
    </row>
    <row r="98" spans="1:10" s="7" customFormat="1" ht="13.5" customHeight="1" x14ac:dyDescent="0.2">
      <c r="A98" s="267" t="s">
        <v>45</v>
      </c>
      <c r="B98" s="267"/>
      <c r="C98" s="267"/>
      <c r="D98" s="267"/>
      <c r="E98" s="283" t="s">
        <v>5</v>
      </c>
      <c r="F98" s="282" t="s">
        <v>6</v>
      </c>
      <c r="G98" s="52"/>
      <c r="I98" s="10"/>
      <c r="J98" s="16"/>
    </row>
    <row r="99" spans="1:10" s="7" customFormat="1" ht="13.5" customHeight="1" x14ac:dyDescent="0.2">
      <c r="A99" s="34" t="s">
        <v>0</v>
      </c>
      <c r="B99" s="34" t="s">
        <v>3</v>
      </c>
      <c r="C99" s="34" t="s">
        <v>2</v>
      </c>
      <c r="D99" s="34" t="s">
        <v>4</v>
      </c>
      <c r="E99" s="284"/>
      <c r="F99" s="282"/>
      <c r="G99" s="53"/>
      <c r="J99" s="15"/>
    </row>
    <row r="100" spans="1:10" s="7" customFormat="1" ht="13.5" customHeight="1" x14ac:dyDescent="0.2">
      <c r="A100" s="2" t="s">
        <v>18</v>
      </c>
      <c r="B100" s="39"/>
      <c r="C100" s="35">
        <v>37</v>
      </c>
      <c r="D100" s="35">
        <v>0</v>
      </c>
      <c r="E100" s="13">
        <f>COUNTIFS($A$12:$A$88,"Cond Ar Janela 7.500 BTU/h")</f>
        <v>0</v>
      </c>
      <c r="F100" s="40">
        <f t="shared" ref="F100:F122" si="6">B100-E100</f>
        <v>0</v>
      </c>
      <c r="G100" s="1"/>
      <c r="J100" s="15"/>
    </row>
    <row r="101" spans="1:10" s="7" customFormat="1" ht="13.5" customHeight="1" x14ac:dyDescent="0.2">
      <c r="A101" s="2" t="s">
        <v>19</v>
      </c>
      <c r="B101" s="39"/>
      <c r="C101" s="3">
        <v>210</v>
      </c>
      <c r="D101" s="3">
        <f t="shared" ref="D101:D122" si="7">B101*C101</f>
        <v>0</v>
      </c>
      <c r="E101" s="13">
        <f>COUNTIFS($A$12:$A$88,"Cond Ar Janela 10.000 BTU/h")</f>
        <v>0</v>
      </c>
      <c r="F101" s="40">
        <f t="shared" si="6"/>
        <v>0</v>
      </c>
      <c r="G101" s="1"/>
      <c r="J101" s="15"/>
    </row>
    <row r="102" spans="1:10" s="7" customFormat="1" ht="13.5" customHeight="1" x14ac:dyDescent="0.2">
      <c r="A102" s="2" t="s">
        <v>20</v>
      </c>
      <c r="B102" s="39"/>
      <c r="C102" s="3">
        <v>208</v>
      </c>
      <c r="D102" s="3">
        <f t="shared" si="7"/>
        <v>0</v>
      </c>
      <c r="E102" s="13">
        <f>COUNTIFS($A$12:$A$88,"Cond Ar Janela 18.000 BTU/h")</f>
        <v>0</v>
      </c>
      <c r="F102" s="40">
        <f t="shared" si="6"/>
        <v>0</v>
      </c>
      <c r="G102" s="1"/>
      <c r="J102" s="15"/>
    </row>
    <row r="103" spans="1:10" s="7" customFormat="1" ht="13.5" customHeight="1" x14ac:dyDescent="0.2">
      <c r="A103" s="2" t="s">
        <v>21</v>
      </c>
      <c r="B103" s="39"/>
      <c r="C103" s="3">
        <v>57</v>
      </c>
      <c r="D103" s="3">
        <f t="shared" si="7"/>
        <v>0</v>
      </c>
      <c r="E103" s="13">
        <f>COUNTIFS($A$12:$A$88,"Cond Ar Janela 21.000 BTU/h")</f>
        <v>0</v>
      </c>
      <c r="F103" s="40">
        <f t="shared" si="6"/>
        <v>0</v>
      </c>
      <c r="G103" s="1"/>
      <c r="J103" s="15"/>
    </row>
    <row r="104" spans="1:10" s="7" customFormat="1" ht="13.5" customHeight="1" x14ac:dyDescent="0.2">
      <c r="A104" s="2" t="s">
        <v>22</v>
      </c>
      <c r="B104" s="39"/>
      <c r="C104" s="3">
        <v>147</v>
      </c>
      <c r="D104" s="3">
        <f t="shared" si="7"/>
        <v>0</v>
      </c>
      <c r="E104" s="13">
        <f>COUNTIFS($A$12:$A$88,"Cond Ar Split 9.000 BTU/h Hi Wall")</f>
        <v>0</v>
      </c>
      <c r="F104" s="40">
        <f t="shared" si="6"/>
        <v>0</v>
      </c>
      <c r="G104" s="1"/>
      <c r="J104" s="15"/>
    </row>
    <row r="105" spans="1:10" s="7" customFormat="1" ht="13.5" customHeight="1" x14ac:dyDescent="0.2">
      <c r="A105" s="2" t="s">
        <v>23</v>
      </c>
      <c r="B105" s="39">
        <v>54</v>
      </c>
      <c r="C105" s="3">
        <v>235</v>
      </c>
      <c r="D105" s="3">
        <f t="shared" si="7"/>
        <v>12690</v>
      </c>
      <c r="E105" s="13">
        <f>COUNTIFS($A$12:$A$88,"Cond Ar Split 12.000 BTU/h Hi Wall")</f>
        <v>11</v>
      </c>
      <c r="F105" s="40">
        <f t="shared" si="6"/>
        <v>43</v>
      </c>
      <c r="G105" s="1"/>
      <c r="J105" s="15"/>
    </row>
    <row r="106" spans="1:10" s="7" customFormat="1" ht="13.5" customHeight="1" x14ac:dyDescent="0.2">
      <c r="A106" s="2" t="s">
        <v>24</v>
      </c>
      <c r="B106" s="39">
        <v>30</v>
      </c>
      <c r="C106" s="3">
        <v>238</v>
      </c>
      <c r="D106" s="3">
        <f t="shared" si="7"/>
        <v>7140</v>
      </c>
      <c r="E106" s="13">
        <f>COUNTIFS($A$12:$A$88,"Cond Ar Split 18.000 BTU/h Hi Wall")</f>
        <v>12</v>
      </c>
      <c r="F106" s="40">
        <f t="shared" si="6"/>
        <v>18</v>
      </c>
      <c r="G106" s="1"/>
      <c r="J106" s="15"/>
    </row>
    <row r="107" spans="1:10" s="7" customFormat="1" ht="13.5" customHeight="1" x14ac:dyDescent="0.2">
      <c r="A107" s="2" t="s">
        <v>25</v>
      </c>
      <c r="B107" s="39"/>
      <c r="C107" s="3">
        <v>242</v>
      </c>
      <c r="D107" s="3">
        <f t="shared" si="7"/>
        <v>0</v>
      </c>
      <c r="E107" s="13">
        <f>COUNTIFS($A$12:$A$88,"Cond Ar Split 22.000 BTU/h Hi Wall")</f>
        <v>0</v>
      </c>
      <c r="F107" s="40">
        <f t="shared" si="6"/>
        <v>0</v>
      </c>
      <c r="G107" s="1"/>
      <c r="J107" s="15"/>
    </row>
    <row r="108" spans="1:10" s="7" customFormat="1" ht="13.5" customHeight="1" x14ac:dyDescent="0.2">
      <c r="A108" s="2" t="s">
        <v>26</v>
      </c>
      <c r="B108" s="206">
        <f>10+8</f>
        <v>18</v>
      </c>
      <c r="C108" s="3">
        <v>260</v>
      </c>
      <c r="D108" s="3">
        <f t="shared" si="7"/>
        <v>4680</v>
      </c>
      <c r="E108" s="13">
        <f>COUNTIFS($A$12:$A$88,"Cond Ar Split 24.000 BTU/h Hi Wall")</f>
        <v>10</v>
      </c>
      <c r="F108" s="40">
        <f t="shared" si="6"/>
        <v>8</v>
      </c>
      <c r="G108" s="1"/>
      <c r="J108" s="15"/>
    </row>
    <row r="109" spans="1:10" s="7" customFormat="1" ht="13.5" customHeight="1" x14ac:dyDescent="0.2">
      <c r="A109" s="2" t="s">
        <v>27</v>
      </c>
      <c r="B109" s="206">
        <f>22+3</f>
        <v>25</v>
      </c>
      <c r="C109" s="3">
        <v>347</v>
      </c>
      <c r="D109" s="3">
        <f t="shared" si="7"/>
        <v>8675</v>
      </c>
      <c r="E109" s="13">
        <f>COUNTIFS($A$12:$A$88,"Cond Ar Split 30.000 BTU/h Hi Wall")</f>
        <v>25</v>
      </c>
      <c r="F109" s="40">
        <f t="shared" si="6"/>
        <v>0</v>
      </c>
      <c r="G109" s="1"/>
      <c r="J109" s="15"/>
    </row>
    <row r="110" spans="1:10" s="7" customFormat="1" ht="13.5" customHeight="1" x14ac:dyDescent="0.2">
      <c r="A110" s="2" t="s">
        <v>30</v>
      </c>
      <c r="B110" s="39"/>
      <c r="C110" s="3">
        <v>367</v>
      </c>
      <c r="D110" s="3">
        <f t="shared" si="7"/>
        <v>0</v>
      </c>
      <c r="E110" s="13">
        <f>COUNTIFS($A$12:$A$88,"Cond Ar Split 24.000 BTU/h Piso/Teto")</f>
        <v>0</v>
      </c>
      <c r="F110" s="40">
        <f t="shared" si="6"/>
        <v>0</v>
      </c>
      <c r="G110" s="1"/>
      <c r="J110" s="15"/>
    </row>
    <row r="111" spans="1:10" s="7" customFormat="1" ht="13.5" customHeight="1" x14ac:dyDescent="0.2">
      <c r="A111" s="2" t="s">
        <v>31</v>
      </c>
      <c r="B111" s="39"/>
      <c r="C111" s="3">
        <v>367</v>
      </c>
      <c r="D111" s="3">
        <f t="shared" si="7"/>
        <v>0</v>
      </c>
      <c r="E111" s="13">
        <f>COUNTIFS($A$12:$A$88,"Cond Ar Split 30.000 BTU/h Piso/Teto")</f>
        <v>0</v>
      </c>
      <c r="F111" s="40">
        <f t="shared" si="6"/>
        <v>0</v>
      </c>
      <c r="G111" s="1"/>
      <c r="J111" s="15"/>
    </row>
    <row r="112" spans="1:10" s="7" customFormat="1" ht="13.5" customHeight="1" x14ac:dyDescent="0.2">
      <c r="A112" s="2" t="s">
        <v>32</v>
      </c>
      <c r="B112" s="206">
        <v>2</v>
      </c>
      <c r="C112" s="3">
        <v>447</v>
      </c>
      <c r="D112" s="3">
        <f t="shared" si="7"/>
        <v>894</v>
      </c>
      <c r="E112" s="13">
        <f>COUNTIFS($A$12:$A$88,"Cond Ar Split 36.000 BTU/h Piso/Teto")</f>
        <v>2</v>
      </c>
      <c r="F112" s="40">
        <f t="shared" si="6"/>
        <v>0</v>
      </c>
      <c r="G112" s="1"/>
      <c r="J112" s="15"/>
    </row>
    <row r="113" spans="1:12" ht="13.5" customHeight="1" x14ac:dyDescent="0.2">
      <c r="A113" s="2" t="s">
        <v>33</v>
      </c>
      <c r="B113" s="39"/>
      <c r="C113" s="3">
        <v>497</v>
      </c>
      <c r="D113" s="3">
        <f t="shared" si="7"/>
        <v>0</v>
      </c>
      <c r="E113" s="13">
        <f>COUNTIFS($A$12:$A$88,"Cond Ar Split 48.000 BTU/h Piso/Teto")</f>
        <v>0</v>
      </c>
      <c r="F113" s="40">
        <f t="shared" si="6"/>
        <v>0</v>
      </c>
      <c r="G113" s="1"/>
    </row>
    <row r="114" spans="1:12" ht="13.5" customHeight="1" x14ac:dyDescent="0.2">
      <c r="A114" s="2" t="s">
        <v>34</v>
      </c>
      <c r="B114" s="206">
        <v>6</v>
      </c>
      <c r="C114" s="3">
        <v>597</v>
      </c>
      <c r="D114" s="3">
        <f t="shared" si="7"/>
        <v>3582</v>
      </c>
      <c r="E114" s="13">
        <f>COUNTIFS($A$12:$A$88,"Cond Ar Split 60.000 BTU/h Piso/Teto")</f>
        <v>6</v>
      </c>
      <c r="F114" s="40">
        <f t="shared" si="6"/>
        <v>0</v>
      </c>
      <c r="G114" s="1"/>
    </row>
    <row r="115" spans="1:12" s="15" customFormat="1" ht="13.5" customHeight="1" x14ac:dyDescent="0.2">
      <c r="A115" s="2" t="s">
        <v>35</v>
      </c>
      <c r="B115" s="39"/>
      <c r="C115" s="3">
        <v>395</v>
      </c>
      <c r="D115" s="3">
        <f t="shared" si="7"/>
        <v>0</v>
      </c>
      <c r="E115" s="13">
        <f>COUNTIFS($A$12:$A$88,"Cond Ar Split 18.000 BTU/h Cassete")</f>
        <v>0</v>
      </c>
      <c r="F115" s="40">
        <f t="shared" si="6"/>
        <v>0</v>
      </c>
      <c r="G115" s="1"/>
      <c r="H115" s="7"/>
      <c r="I115" s="7"/>
      <c r="L115" s="7"/>
    </row>
    <row r="116" spans="1:12" s="15" customFormat="1" ht="13.5" customHeight="1" x14ac:dyDescent="0.2">
      <c r="A116" s="2" t="s">
        <v>36</v>
      </c>
      <c r="B116" s="39"/>
      <c r="C116" s="3">
        <v>442.75</v>
      </c>
      <c r="D116" s="3">
        <f t="shared" si="7"/>
        <v>0</v>
      </c>
      <c r="E116" s="13">
        <f>COUNTIFS($A$12:$A$88,"Cond Ar Split 24.000 BTU/h Cassete")</f>
        <v>0</v>
      </c>
      <c r="F116" s="40">
        <f t="shared" si="6"/>
        <v>0</v>
      </c>
      <c r="G116" s="1"/>
      <c r="H116" s="7"/>
      <c r="I116" s="7"/>
      <c r="L116" s="7"/>
    </row>
    <row r="117" spans="1:12" s="15" customFormat="1" ht="13.5" customHeight="1" x14ac:dyDescent="0.2">
      <c r="A117" s="2" t="s">
        <v>37</v>
      </c>
      <c r="B117" s="39"/>
      <c r="C117" s="3">
        <v>430</v>
      </c>
      <c r="D117" s="3">
        <f t="shared" si="7"/>
        <v>0</v>
      </c>
      <c r="E117" s="13">
        <f>COUNTIFS($A$12:$A$88,"Cond Ar Split 30.000 BTU/h Cassete")</f>
        <v>0</v>
      </c>
      <c r="F117" s="40">
        <f t="shared" si="6"/>
        <v>0</v>
      </c>
      <c r="G117" s="1"/>
      <c r="H117" s="7"/>
      <c r="I117" s="7"/>
      <c r="L117" s="7"/>
    </row>
    <row r="118" spans="1:12" s="15" customFormat="1" ht="13.5" customHeight="1" x14ac:dyDescent="0.2">
      <c r="A118" s="2" t="s">
        <v>38</v>
      </c>
      <c r="B118" s="39"/>
      <c r="C118" s="3">
        <v>478</v>
      </c>
      <c r="D118" s="3">
        <f t="shared" si="7"/>
        <v>0</v>
      </c>
      <c r="E118" s="13">
        <f>COUNTIFS($A$12:$A$88,"Cond Ar Split 36.000 BTU/h Cassete")</f>
        <v>0</v>
      </c>
      <c r="F118" s="40">
        <f t="shared" si="6"/>
        <v>0</v>
      </c>
      <c r="G118" s="1"/>
      <c r="H118" s="7"/>
      <c r="I118" s="7"/>
      <c r="L118" s="7"/>
    </row>
    <row r="119" spans="1:12" s="15" customFormat="1" ht="13.5" customHeight="1" x14ac:dyDescent="0.2">
      <c r="A119" s="2" t="s">
        <v>39</v>
      </c>
      <c r="B119" s="39"/>
      <c r="C119" s="3">
        <v>577</v>
      </c>
      <c r="D119" s="3">
        <f t="shared" si="7"/>
        <v>0</v>
      </c>
      <c r="E119" s="13">
        <f>COUNTIFS($A$12:$A$88,"Cond Ar Split 48.000 BTU/h Cassete")</f>
        <v>0</v>
      </c>
      <c r="F119" s="40">
        <f t="shared" si="6"/>
        <v>0</v>
      </c>
      <c r="G119" s="1"/>
      <c r="H119" s="7"/>
      <c r="I119" s="7"/>
      <c r="L119" s="7"/>
    </row>
    <row r="120" spans="1:12" s="15" customFormat="1" ht="13.5" customHeight="1" x14ac:dyDescent="0.2">
      <c r="A120" s="2" t="s">
        <v>40</v>
      </c>
      <c r="B120" s="206">
        <v>2</v>
      </c>
      <c r="C120" s="3">
        <v>645</v>
      </c>
      <c r="D120" s="3">
        <f t="shared" si="7"/>
        <v>1290</v>
      </c>
      <c r="E120" s="13">
        <f>COUNTIFS($A$12:$A$88,"Cond Ar Split 60.000 BTU/h Cassete")</f>
        <v>2</v>
      </c>
      <c r="F120" s="40">
        <f t="shared" si="6"/>
        <v>0</v>
      </c>
      <c r="G120" s="1"/>
      <c r="H120" s="7"/>
      <c r="I120" s="7"/>
      <c r="L120" s="7"/>
    </row>
    <row r="121" spans="1:12" s="15" customFormat="1" ht="13.5" customHeight="1" x14ac:dyDescent="0.2">
      <c r="A121" s="2" t="s">
        <v>41</v>
      </c>
      <c r="B121" s="39"/>
      <c r="C121" s="3">
        <v>147</v>
      </c>
      <c r="D121" s="3">
        <f t="shared" si="7"/>
        <v>0</v>
      </c>
      <c r="E121" s="13">
        <f>COUNTIFS($A$12:$A$88,"Cond Ar Tri Split 36.000 BTU/h (3x12.000)")</f>
        <v>0</v>
      </c>
      <c r="F121" s="40">
        <f t="shared" si="6"/>
        <v>0</v>
      </c>
      <c r="G121" s="1"/>
      <c r="H121" s="7"/>
      <c r="I121" s="7"/>
      <c r="L121" s="7"/>
    </row>
    <row r="122" spans="1:12" s="15" customFormat="1" ht="13.5" customHeight="1" x14ac:dyDescent="0.2">
      <c r="A122" s="2" t="s">
        <v>42</v>
      </c>
      <c r="B122" s="39"/>
      <c r="C122" s="3">
        <v>100</v>
      </c>
      <c r="D122" s="3">
        <f t="shared" si="7"/>
        <v>0</v>
      </c>
      <c r="E122" s="13">
        <f>COUNTIFS($A$12:$A$88,"Cond Ar Portátil 12.000 BTU/h")</f>
        <v>0</v>
      </c>
      <c r="F122" s="40">
        <f t="shared" si="6"/>
        <v>0</v>
      </c>
      <c r="G122" s="1"/>
      <c r="H122" s="7"/>
      <c r="I122" s="7"/>
      <c r="L122" s="7"/>
    </row>
    <row r="123" spans="1:12" s="15" customFormat="1" ht="13.5" customHeight="1" x14ac:dyDescent="0.2">
      <c r="A123" s="36" t="s">
        <v>7</v>
      </c>
      <c r="B123" s="22">
        <f>SUM(B100:B122)</f>
        <v>137</v>
      </c>
      <c r="C123" s="38"/>
      <c r="D123" s="37">
        <f>SUM(D100:D122)</f>
        <v>38951</v>
      </c>
      <c r="E123" s="22">
        <f>SUM(E100:E122)</f>
        <v>68</v>
      </c>
      <c r="F123" s="41">
        <f>SUM(F100:F122)</f>
        <v>69</v>
      </c>
      <c r="G123" s="54"/>
      <c r="H123" s="7"/>
      <c r="I123" s="7"/>
      <c r="L123" s="7"/>
    </row>
    <row r="127" spans="1:12" s="15" customFormat="1" ht="13.5" customHeight="1" x14ac:dyDescent="0.25">
      <c r="A127" s="7"/>
      <c r="C127" s="7"/>
      <c r="D127" s="7"/>
      <c r="E127" s="7"/>
      <c r="F127" s="17"/>
      <c r="G127" s="7"/>
      <c r="H127" s="7"/>
      <c r="I127" s="7"/>
      <c r="J127" s="16"/>
      <c r="L127" s="7"/>
    </row>
  </sheetData>
  <mergeCells count="27">
    <mergeCell ref="A93:C93"/>
    <mergeCell ref="D93:I93"/>
    <mergeCell ref="A97:F97"/>
    <mergeCell ref="A98:D98"/>
    <mergeCell ref="E98:E99"/>
    <mergeCell ref="F98:F99"/>
    <mergeCell ref="A92:C92"/>
    <mergeCell ref="D92:I92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89:I89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18" right="0.19685039370078741" top="0.27559055118110237" bottom="0.35433070866141736" header="0.23622047244094491" footer="0.15748031496062992"/>
  <pageSetup paperSize="9" scale="5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I22"/>
  <sheetViews>
    <sheetView showGridLines="0" workbookViewId="0">
      <pane ySplit="11" topLeftCell="A12" activePane="bottomLeft" state="frozen"/>
      <selection activeCell="A21" sqref="A21:C21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272</v>
      </c>
      <c r="B8" s="297"/>
      <c r="C8" s="297"/>
      <c r="D8" s="297"/>
      <c r="E8" s="297"/>
      <c r="F8" s="298"/>
    </row>
    <row r="9" spans="1:6" ht="13.5" customHeight="1" x14ac:dyDescent="0.25">
      <c r="A9" s="60" t="s">
        <v>271</v>
      </c>
      <c r="B9" s="270" t="s">
        <v>336</v>
      </c>
      <c r="C9" s="270"/>
      <c r="D9" s="270"/>
      <c r="E9" s="271" t="s">
        <v>991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3"/>
      <c r="E12" s="11"/>
      <c r="F12" s="109">
        <f>D12/30*C12*E12</f>
        <v>0</v>
      </c>
    </row>
    <row r="13" spans="1:6" ht="13.5" customHeight="1" x14ac:dyDescent="0.2">
      <c r="A13" s="299"/>
      <c r="B13" s="300"/>
      <c r="C13" s="101"/>
      <c r="D13" s="3"/>
      <c r="E13" s="11"/>
      <c r="F13" s="109"/>
    </row>
    <row r="14" spans="1:6" ht="13.5" customHeight="1" x14ac:dyDescent="0.2">
      <c r="A14" s="313"/>
      <c r="B14" s="321"/>
      <c r="C14" s="102"/>
      <c r="D14" s="104"/>
      <c r="E14" s="82"/>
      <c r="F14" s="109">
        <f>D14/30*C14*E14</f>
        <v>0</v>
      </c>
    </row>
    <row r="15" spans="1:6" ht="13.5" customHeight="1" x14ac:dyDescent="0.25">
      <c r="A15" s="271" t="s">
        <v>181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  <c r="G18" s="74"/>
      <c r="H18" s="74"/>
      <c r="I18" s="74"/>
    </row>
    <row r="20" spans="1:9" ht="13.5" customHeight="1" x14ac:dyDescent="0.2">
      <c r="A20" s="27" t="s">
        <v>125</v>
      </c>
      <c r="B20" s="27"/>
      <c r="F20" s="110"/>
      <c r="G20" s="10"/>
      <c r="I20" s="111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  <c r="G22" s="27"/>
      <c r="H22" s="27"/>
      <c r="I22" s="27"/>
    </row>
  </sheetData>
  <mergeCells count="19">
    <mergeCell ref="A12:B12"/>
    <mergeCell ref="A22:C22"/>
    <mergeCell ref="A13:B13"/>
    <mergeCell ref="A14:B14"/>
    <mergeCell ref="A15:B15"/>
    <mergeCell ref="A18:F18"/>
    <mergeCell ref="A21:C21"/>
    <mergeCell ref="D21:F21"/>
    <mergeCell ref="A7:F7"/>
    <mergeCell ref="A8:F8"/>
    <mergeCell ref="B9:D9"/>
    <mergeCell ref="E9:F9"/>
    <mergeCell ref="A11:B11"/>
    <mergeCell ref="A1:F1"/>
    <mergeCell ref="A3:F3"/>
    <mergeCell ref="A4:C4"/>
    <mergeCell ref="D4:E4"/>
    <mergeCell ref="A5:C5"/>
    <mergeCell ref="D5:E5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38">
    <pageSetUpPr fitToPage="1"/>
  </sheetPr>
  <dimension ref="A1:K86"/>
  <sheetViews>
    <sheetView showGridLines="0" workbookViewId="0">
      <pane ySplit="13" topLeftCell="A41" activePane="bottomLeft" state="frozen"/>
      <selection activeCell="B45" sqref="B45"/>
      <selection pane="bottomLeft" activeCell="A13" sqref="A13:K13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27.85546875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236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237</v>
      </c>
      <c r="B9" s="270"/>
      <c r="C9" s="271" t="s">
        <v>789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22</v>
      </c>
      <c r="B15" s="76">
        <v>45512</v>
      </c>
      <c r="C15" s="55">
        <v>915</v>
      </c>
      <c r="D15" s="20">
        <v>45658</v>
      </c>
      <c r="E15" s="20">
        <v>45687</v>
      </c>
      <c r="F15" s="11">
        <f t="shared" ref="F15:F41" si="0">(E15-D15)+1</f>
        <v>30</v>
      </c>
      <c r="G15" s="12">
        <v>147</v>
      </c>
      <c r="H15" s="13">
        <v>1</v>
      </c>
      <c r="I15" s="19">
        <f t="shared" ref="I15:I41" si="1">G15/30*H15*F15</f>
        <v>147</v>
      </c>
      <c r="J15" s="172" t="s">
        <v>733</v>
      </c>
      <c r="K15" s="170" t="s">
        <v>629</v>
      </c>
    </row>
    <row r="16" spans="1:11" ht="13.5" customHeight="1" x14ac:dyDescent="0.2">
      <c r="A16" s="2" t="s">
        <v>22</v>
      </c>
      <c r="B16" s="76">
        <v>45512</v>
      </c>
      <c r="C16" s="55">
        <v>1046</v>
      </c>
      <c r="D16" s="20">
        <v>45658</v>
      </c>
      <c r="E16" s="20">
        <v>45687</v>
      </c>
      <c r="F16" s="11">
        <f t="shared" si="0"/>
        <v>30</v>
      </c>
      <c r="G16" s="12">
        <v>147</v>
      </c>
      <c r="H16" s="13">
        <v>1</v>
      </c>
      <c r="I16" s="19">
        <f t="shared" si="1"/>
        <v>147</v>
      </c>
      <c r="J16" s="172" t="s">
        <v>739</v>
      </c>
      <c r="K16" s="170" t="s">
        <v>629</v>
      </c>
    </row>
    <row r="17" spans="1:11" ht="13.5" customHeight="1" x14ac:dyDescent="0.2">
      <c r="A17" s="2" t="s">
        <v>22</v>
      </c>
      <c r="B17" s="76">
        <v>45512</v>
      </c>
      <c r="C17" s="55">
        <v>1044</v>
      </c>
      <c r="D17" s="20">
        <v>45658</v>
      </c>
      <c r="E17" s="20">
        <v>45687</v>
      </c>
      <c r="F17" s="11">
        <f t="shared" si="0"/>
        <v>30</v>
      </c>
      <c r="G17" s="12">
        <v>147</v>
      </c>
      <c r="H17" s="13">
        <v>1</v>
      </c>
      <c r="I17" s="19">
        <f t="shared" si="1"/>
        <v>147</v>
      </c>
      <c r="J17" s="172" t="s">
        <v>740</v>
      </c>
      <c r="K17" s="170" t="s">
        <v>629</v>
      </c>
    </row>
    <row r="18" spans="1:11" ht="13.5" customHeight="1" x14ac:dyDescent="0.2">
      <c r="A18" s="2" t="s">
        <v>23</v>
      </c>
      <c r="B18" s="76">
        <v>45516</v>
      </c>
      <c r="C18" s="55">
        <v>14122</v>
      </c>
      <c r="D18" s="20">
        <v>45658</v>
      </c>
      <c r="E18" s="20">
        <v>45687</v>
      </c>
      <c r="F18" s="11">
        <f t="shared" si="0"/>
        <v>30</v>
      </c>
      <c r="G18" s="12">
        <v>235</v>
      </c>
      <c r="H18" s="13">
        <v>1</v>
      </c>
      <c r="I18" s="19">
        <f t="shared" si="1"/>
        <v>235</v>
      </c>
      <c r="J18" s="32" t="s">
        <v>235</v>
      </c>
      <c r="K18" s="13" t="s">
        <v>750</v>
      </c>
    </row>
    <row r="19" spans="1:11" ht="13.5" customHeight="1" x14ac:dyDescent="0.2">
      <c r="A19" s="2" t="s">
        <v>23</v>
      </c>
      <c r="B19" s="76">
        <v>45565</v>
      </c>
      <c r="C19" s="55">
        <v>14611</v>
      </c>
      <c r="D19" s="20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19">
        <f t="shared" si="1"/>
        <v>235</v>
      </c>
      <c r="J19" s="32" t="s">
        <v>321</v>
      </c>
      <c r="K19" s="13" t="s">
        <v>751</v>
      </c>
    </row>
    <row r="20" spans="1:11" ht="13.5" customHeight="1" x14ac:dyDescent="0.2">
      <c r="A20" s="2" t="s">
        <v>23</v>
      </c>
      <c r="B20" s="76">
        <v>45512</v>
      </c>
      <c r="C20" s="55">
        <v>903</v>
      </c>
      <c r="D20" s="20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32" t="s">
        <v>727</v>
      </c>
      <c r="K20" s="13" t="s">
        <v>629</v>
      </c>
    </row>
    <row r="21" spans="1:11" ht="13.5" customHeight="1" x14ac:dyDescent="0.2">
      <c r="A21" s="2" t="s">
        <v>23</v>
      </c>
      <c r="B21" s="76">
        <v>45512</v>
      </c>
      <c r="C21" s="55">
        <v>1441</v>
      </c>
      <c r="D21" s="20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14" t="s">
        <v>728</v>
      </c>
      <c r="K21" s="13" t="s">
        <v>629</v>
      </c>
    </row>
    <row r="22" spans="1:11" ht="13.5" customHeight="1" x14ac:dyDescent="0.2">
      <c r="A22" s="2" t="s">
        <v>23</v>
      </c>
      <c r="B22" s="76">
        <v>45512</v>
      </c>
      <c r="C22" s="55">
        <v>1920</v>
      </c>
      <c r="D22" s="20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19">
        <f t="shared" si="1"/>
        <v>235</v>
      </c>
      <c r="J22" s="172" t="s">
        <v>729</v>
      </c>
      <c r="K22" s="170" t="s">
        <v>629</v>
      </c>
    </row>
    <row r="23" spans="1:11" ht="13.5" customHeight="1" x14ac:dyDescent="0.2">
      <c r="A23" s="2" t="s">
        <v>23</v>
      </c>
      <c r="B23" s="76">
        <v>45512</v>
      </c>
      <c r="C23" s="55">
        <v>2236</v>
      </c>
      <c r="D23" s="20">
        <v>45658</v>
      </c>
      <c r="E23" s="20">
        <v>45687</v>
      </c>
      <c r="F23" s="11">
        <f t="shared" si="0"/>
        <v>30</v>
      </c>
      <c r="G23" s="12">
        <v>235</v>
      </c>
      <c r="H23" s="13">
        <v>1</v>
      </c>
      <c r="I23" s="19">
        <f t="shared" si="1"/>
        <v>235</v>
      </c>
      <c r="J23" s="172" t="s">
        <v>730</v>
      </c>
      <c r="K23" s="170" t="s">
        <v>629</v>
      </c>
    </row>
    <row r="24" spans="1:11" ht="13.5" customHeight="1" x14ac:dyDescent="0.2">
      <c r="A24" s="2" t="s">
        <v>23</v>
      </c>
      <c r="B24" s="76">
        <v>45512</v>
      </c>
      <c r="C24" s="55">
        <v>2368</v>
      </c>
      <c r="D24" s="20">
        <v>45658</v>
      </c>
      <c r="E24" s="20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172" t="s">
        <v>735</v>
      </c>
      <c r="K24" s="170" t="s">
        <v>629</v>
      </c>
    </row>
    <row r="25" spans="1:11" ht="13.5" customHeight="1" x14ac:dyDescent="0.2">
      <c r="A25" s="2" t="s">
        <v>23</v>
      </c>
      <c r="B25" s="76">
        <v>45512</v>
      </c>
      <c r="C25" s="55">
        <v>2374</v>
      </c>
      <c r="D25" s="20">
        <v>45658</v>
      </c>
      <c r="E25" s="20">
        <v>45687</v>
      </c>
      <c r="F25" s="11">
        <f t="shared" si="0"/>
        <v>30</v>
      </c>
      <c r="G25" s="12">
        <v>235</v>
      </c>
      <c r="H25" s="13">
        <v>1</v>
      </c>
      <c r="I25" s="19">
        <f t="shared" si="1"/>
        <v>235</v>
      </c>
      <c r="J25" s="172" t="s">
        <v>339</v>
      </c>
      <c r="K25" s="170" t="s">
        <v>629</v>
      </c>
    </row>
    <row r="26" spans="1:11" ht="13.5" customHeight="1" x14ac:dyDescent="0.2">
      <c r="A26" s="2" t="s">
        <v>23</v>
      </c>
      <c r="B26" s="76">
        <v>45512</v>
      </c>
      <c r="C26" s="55">
        <v>2370</v>
      </c>
      <c r="D26" s="20">
        <v>45658</v>
      </c>
      <c r="E26" s="20">
        <v>45687</v>
      </c>
      <c r="F26" s="11">
        <f t="shared" si="0"/>
        <v>30</v>
      </c>
      <c r="G26" s="12">
        <v>235</v>
      </c>
      <c r="H26" s="13">
        <v>1</v>
      </c>
      <c r="I26" s="19">
        <f t="shared" si="1"/>
        <v>235</v>
      </c>
      <c r="J26" s="172" t="s">
        <v>736</v>
      </c>
      <c r="K26" s="170" t="s">
        <v>629</v>
      </c>
    </row>
    <row r="27" spans="1:11" ht="13.5" customHeight="1" x14ac:dyDescent="0.2">
      <c r="A27" s="2" t="s">
        <v>23</v>
      </c>
      <c r="B27" s="76">
        <v>45512</v>
      </c>
      <c r="C27" s="55">
        <v>2376</v>
      </c>
      <c r="D27" s="20">
        <v>45658</v>
      </c>
      <c r="E27" s="20">
        <v>45687</v>
      </c>
      <c r="F27" s="11">
        <f t="shared" si="0"/>
        <v>30</v>
      </c>
      <c r="G27" s="12">
        <v>235</v>
      </c>
      <c r="H27" s="13">
        <v>1</v>
      </c>
      <c r="I27" s="19">
        <f t="shared" si="1"/>
        <v>235</v>
      </c>
      <c r="J27" s="172" t="s">
        <v>737</v>
      </c>
      <c r="K27" s="170" t="s">
        <v>629</v>
      </c>
    </row>
    <row r="28" spans="1:11" ht="13.5" customHeight="1" x14ac:dyDescent="0.2">
      <c r="A28" s="2" t="s">
        <v>23</v>
      </c>
      <c r="B28" s="76">
        <v>45512</v>
      </c>
      <c r="C28" s="55">
        <v>2372</v>
      </c>
      <c r="D28" s="20">
        <v>45658</v>
      </c>
      <c r="E28" s="20">
        <v>45687</v>
      </c>
      <c r="F28" s="11">
        <f t="shared" si="0"/>
        <v>30</v>
      </c>
      <c r="G28" s="12">
        <v>235</v>
      </c>
      <c r="H28" s="13">
        <v>1</v>
      </c>
      <c r="I28" s="19">
        <f t="shared" si="1"/>
        <v>235</v>
      </c>
      <c r="J28" s="172" t="s">
        <v>738</v>
      </c>
      <c r="K28" s="170" t="s">
        <v>629</v>
      </c>
    </row>
    <row r="29" spans="1:11" ht="13.5" customHeight="1" x14ac:dyDescent="0.2">
      <c r="A29" s="2" t="s">
        <v>23</v>
      </c>
      <c r="B29" s="76">
        <v>45568</v>
      </c>
      <c r="C29" s="177">
        <v>15258</v>
      </c>
      <c r="D29" s="20">
        <v>45658</v>
      </c>
      <c r="E29" s="20">
        <v>45687</v>
      </c>
      <c r="F29" s="11">
        <f t="shared" si="0"/>
        <v>30</v>
      </c>
      <c r="G29" s="12">
        <v>235</v>
      </c>
      <c r="H29" s="13">
        <v>1</v>
      </c>
      <c r="I29" s="19">
        <f t="shared" si="1"/>
        <v>235</v>
      </c>
      <c r="J29" s="172" t="s">
        <v>752</v>
      </c>
      <c r="K29" s="170" t="s">
        <v>747</v>
      </c>
    </row>
    <row r="30" spans="1:11" ht="13.5" customHeight="1" x14ac:dyDescent="0.2">
      <c r="A30" s="2" t="s">
        <v>23</v>
      </c>
      <c r="B30" s="76">
        <v>45568</v>
      </c>
      <c r="C30" s="177">
        <v>14619</v>
      </c>
      <c r="D30" s="20">
        <v>45658</v>
      </c>
      <c r="E30" s="20">
        <v>45687</v>
      </c>
      <c r="F30" s="11">
        <f t="shared" si="0"/>
        <v>30</v>
      </c>
      <c r="G30" s="12">
        <v>235</v>
      </c>
      <c r="H30" s="13">
        <v>1</v>
      </c>
      <c r="I30" s="19">
        <f t="shared" si="1"/>
        <v>235</v>
      </c>
      <c r="J30" s="172" t="s">
        <v>753</v>
      </c>
      <c r="K30" s="170" t="s">
        <v>747</v>
      </c>
    </row>
    <row r="31" spans="1:11" ht="13.5" customHeight="1" x14ac:dyDescent="0.2">
      <c r="A31" s="2" t="s">
        <v>23</v>
      </c>
      <c r="B31" s="76">
        <v>45580</v>
      </c>
      <c r="C31" s="177">
        <v>15323</v>
      </c>
      <c r="D31" s="20">
        <v>45658</v>
      </c>
      <c r="E31" s="20">
        <v>45687</v>
      </c>
      <c r="F31" s="11">
        <f t="shared" si="0"/>
        <v>30</v>
      </c>
      <c r="G31" s="12">
        <v>235</v>
      </c>
      <c r="H31" s="13">
        <v>1</v>
      </c>
      <c r="I31" s="19">
        <f t="shared" si="1"/>
        <v>235</v>
      </c>
      <c r="J31" s="172" t="s">
        <v>755</v>
      </c>
      <c r="K31" s="170" t="s">
        <v>754</v>
      </c>
    </row>
    <row r="32" spans="1:11" ht="13.5" customHeight="1" x14ac:dyDescent="0.2">
      <c r="A32" s="2" t="s">
        <v>23</v>
      </c>
      <c r="B32" s="76">
        <v>45580</v>
      </c>
      <c r="C32" s="177">
        <v>15322</v>
      </c>
      <c r="D32" s="20">
        <v>45658</v>
      </c>
      <c r="E32" s="20">
        <v>45687</v>
      </c>
      <c r="F32" s="11">
        <f t="shared" si="0"/>
        <v>30</v>
      </c>
      <c r="G32" s="12">
        <v>235</v>
      </c>
      <c r="H32" s="13">
        <v>1</v>
      </c>
      <c r="I32" s="19">
        <f t="shared" si="1"/>
        <v>235</v>
      </c>
      <c r="J32" s="172" t="s">
        <v>756</v>
      </c>
      <c r="K32" s="170" t="s">
        <v>754</v>
      </c>
    </row>
    <row r="33" spans="1:11" ht="13.5" customHeight="1" x14ac:dyDescent="0.2">
      <c r="A33" s="2" t="s">
        <v>24</v>
      </c>
      <c r="B33" s="76">
        <v>45516</v>
      </c>
      <c r="C33" s="55">
        <v>14512</v>
      </c>
      <c r="D33" s="20">
        <v>45658</v>
      </c>
      <c r="E33" s="20">
        <v>45687</v>
      </c>
      <c r="F33" s="11">
        <f t="shared" si="0"/>
        <v>30</v>
      </c>
      <c r="G33" s="12">
        <v>238</v>
      </c>
      <c r="H33" s="13">
        <v>1</v>
      </c>
      <c r="I33" s="19">
        <f t="shared" si="1"/>
        <v>238</v>
      </c>
      <c r="J33" s="32" t="s">
        <v>113</v>
      </c>
      <c r="K33" s="13" t="s">
        <v>748</v>
      </c>
    </row>
    <row r="34" spans="1:11" ht="13.5" customHeight="1" x14ac:dyDescent="0.2">
      <c r="A34" s="2" t="s">
        <v>24</v>
      </c>
      <c r="B34" s="76">
        <v>45539</v>
      </c>
      <c r="C34" s="55">
        <v>15141</v>
      </c>
      <c r="D34" s="20">
        <v>45658</v>
      </c>
      <c r="E34" s="20">
        <v>45687</v>
      </c>
      <c r="F34" s="11">
        <f t="shared" si="0"/>
        <v>30</v>
      </c>
      <c r="G34" s="12">
        <v>238</v>
      </c>
      <c r="H34" s="13">
        <v>1</v>
      </c>
      <c r="I34" s="19">
        <f t="shared" si="1"/>
        <v>238</v>
      </c>
      <c r="J34" s="32" t="s">
        <v>275</v>
      </c>
      <c r="K34" s="13" t="s">
        <v>749</v>
      </c>
    </row>
    <row r="35" spans="1:11" ht="13.5" customHeight="1" x14ac:dyDescent="0.2">
      <c r="A35" s="2" t="s">
        <v>24</v>
      </c>
      <c r="B35" s="76">
        <v>45539</v>
      </c>
      <c r="C35" s="55">
        <v>14836</v>
      </c>
      <c r="D35" s="20">
        <v>45658</v>
      </c>
      <c r="E35" s="20">
        <v>45687</v>
      </c>
      <c r="F35" s="11">
        <f t="shared" si="0"/>
        <v>30</v>
      </c>
      <c r="G35" s="12">
        <v>238</v>
      </c>
      <c r="H35" s="13">
        <v>1</v>
      </c>
      <c r="I35" s="19">
        <f t="shared" si="1"/>
        <v>238</v>
      </c>
      <c r="J35" s="32" t="s">
        <v>276</v>
      </c>
      <c r="K35" s="13" t="s">
        <v>749</v>
      </c>
    </row>
    <row r="36" spans="1:11" ht="13.5" customHeight="1" x14ac:dyDescent="0.2">
      <c r="A36" s="2" t="s">
        <v>24</v>
      </c>
      <c r="B36" s="76">
        <v>45512</v>
      </c>
      <c r="C36" s="55">
        <v>1824</v>
      </c>
      <c r="D36" s="20">
        <v>45658</v>
      </c>
      <c r="E36" s="20">
        <v>45687</v>
      </c>
      <c r="F36" s="11">
        <f t="shared" si="0"/>
        <v>30</v>
      </c>
      <c r="G36" s="12">
        <v>238</v>
      </c>
      <c r="H36" s="13">
        <v>1</v>
      </c>
      <c r="I36" s="19">
        <f t="shared" si="1"/>
        <v>238</v>
      </c>
      <c r="J36" s="172" t="s">
        <v>198</v>
      </c>
      <c r="K36" s="170" t="s">
        <v>629</v>
      </c>
    </row>
    <row r="37" spans="1:11" ht="13.5" customHeight="1" x14ac:dyDescent="0.2">
      <c r="A37" s="2" t="s">
        <v>24</v>
      </c>
      <c r="B37" s="76">
        <v>45512</v>
      </c>
      <c r="C37" s="55">
        <v>1823</v>
      </c>
      <c r="D37" s="20">
        <v>45658</v>
      </c>
      <c r="E37" s="20">
        <v>45687</v>
      </c>
      <c r="F37" s="11">
        <f t="shared" si="0"/>
        <v>30</v>
      </c>
      <c r="G37" s="12">
        <v>238</v>
      </c>
      <c r="H37" s="13">
        <v>1</v>
      </c>
      <c r="I37" s="19">
        <f t="shared" si="1"/>
        <v>238</v>
      </c>
      <c r="J37" s="172" t="s">
        <v>198</v>
      </c>
      <c r="K37" s="170" t="s">
        <v>629</v>
      </c>
    </row>
    <row r="38" spans="1:11" ht="13.5" customHeight="1" x14ac:dyDescent="0.2">
      <c r="A38" s="2" t="s">
        <v>24</v>
      </c>
      <c r="B38" s="76">
        <v>45512</v>
      </c>
      <c r="C38" s="55">
        <v>2083</v>
      </c>
      <c r="D38" s="20">
        <v>45658</v>
      </c>
      <c r="E38" s="20">
        <v>45687</v>
      </c>
      <c r="F38" s="11">
        <f t="shared" si="0"/>
        <v>30</v>
      </c>
      <c r="G38" s="12">
        <v>238</v>
      </c>
      <c r="H38" s="13">
        <v>1</v>
      </c>
      <c r="I38" s="19">
        <f t="shared" si="1"/>
        <v>238</v>
      </c>
      <c r="J38" s="172" t="s">
        <v>731</v>
      </c>
      <c r="K38" s="170" t="s">
        <v>629</v>
      </c>
    </row>
    <row r="39" spans="1:11" ht="13.5" customHeight="1" x14ac:dyDescent="0.2">
      <c r="A39" s="2" t="s">
        <v>27</v>
      </c>
      <c r="B39" s="76">
        <v>45512</v>
      </c>
      <c r="C39" s="55">
        <v>941</v>
      </c>
      <c r="D39" s="20">
        <v>45658</v>
      </c>
      <c r="E39" s="20">
        <v>45687</v>
      </c>
      <c r="F39" s="11">
        <f t="shared" si="0"/>
        <v>30</v>
      </c>
      <c r="G39" s="12">
        <v>347</v>
      </c>
      <c r="H39" s="13">
        <v>1</v>
      </c>
      <c r="I39" s="19">
        <f t="shared" si="1"/>
        <v>347</v>
      </c>
      <c r="J39" s="172" t="s">
        <v>734</v>
      </c>
      <c r="K39" s="170" t="s">
        <v>629</v>
      </c>
    </row>
    <row r="40" spans="1:11" ht="13.5" customHeight="1" x14ac:dyDescent="0.2">
      <c r="A40" s="2" t="s">
        <v>32</v>
      </c>
      <c r="B40" s="76">
        <v>45574</v>
      </c>
      <c r="C40" s="177">
        <v>21927</v>
      </c>
      <c r="D40" s="20">
        <v>45658</v>
      </c>
      <c r="E40" s="20">
        <v>45687</v>
      </c>
      <c r="F40" s="11">
        <f t="shared" si="0"/>
        <v>30</v>
      </c>
      <c r="G40" s="12">
        <v>447</v>
      </c>
      <c r="H40" s="13">
        <v>1</v>
      </c>
      <c r="I40" s="19">
        <f t="shared" si="1"/>
        <v>447</v>
      </c>
      <c r="J40" s="172" t="s">
        <v>732</v>
      </c>
      <c r="K40" s="170" t="s">
        <v>629</v>
      </c>
    </row>
    <row r="41" spans="1:11" ht="13.5" customHeight="1" x14ac:dyDescent="0.2">
      <c r="A41" s="2" t="s">
        <v>22</v>
      </c>
      <c r="B41" s="76">
        <v>45637</v>
      </c>
      <c r="C41" s="228">
        <v>16753</v>
      </c>
      <c r="D41" s="20">
        <v>45658</v>
      </c>
      <c r="E41" s="20">
        <v>45687</v>
      </c>
      <c r="F41" s="11">
        <f t="shared" si="0"/>
        <v>30</v>
      </c>
      <c r="G41" s="12">
        <v>147</v>
      </c>
      <c r="H41" s="13">
        <v>1</v>
      </c>
      <c r="I41" s="19">
        <f t="shared" si="1"/>
        <v>147</v>
      </c>
      <c r="J41" s="172" t="s">
        <v>981</v>
      </c>
      <c r="K41" s="170"/>
    </row>
    <row r="42" spans="1:11" ht="13.5" customHeight="1" x14ac:dyDescent="0.2">
      <c r="A42" s="2"/>
      <c r="B42" s="13"/>
      <c r="C42" s="13"/>
      <c r="D42" s="20"/>
      <c r="E42" s="20"/>
      <c r="F42" s="11"/>
      <c r="G42" s="12"/>
      <c r="H42" s="13"/>
      <c r="I42" s="19">
        <f t="shared" ref="I42" si="2">G42/30*H42*F42</f>
        <v>0</v>
      </c>
      <c r="J42" s="32"/>
      <c r="K42" s="13"/>
    </row>
    <row r="43" spans="1:11" ht="13.5" customHeight="1" x14ac:dyDescent="0.25">
      <c r="A43" s="21" t="s">
        <v>741</v>
      </c>
      <c r="B43" s="26"/>
      <c r="C43" s="137"/>
      <c r="D43" s="23"/>
      <c r="E43" s="23"/>
      <c r="F43" s="24"/>
      <c r="G43" s="23"/>
      <c r="H43" s="22">
        <f>SUM(H15:H42)</f>
        <v>27</v>
      </c>
      <c r="I43" s="112">
        <f>SUM(I15:I42)</f>
        <v>6335</v>
      </c>
      <c r="J43" s="33"/>
      <c r="K43" s="116"/>
    </row>
    <row r="44" spans="1:11" ht="13.5" customHeight="1" x14ac:dyDescent="0.25">
      <c r="D44" s="8"/>
      <c r="E44" s="8"/>
      <c r="F44" s="9"/>
      <c r="G44" s="10"/>
      <c r="I44" s="10"/>
      <c r="J44" s="4"/>
    </row>
    <row r="45" spans="1:11" ht="13.5" customHeight="1" x14ac:dyDescent="0.25">
      <c r="D45" s="8"/>
      <c r="E45" s="8"/>
      <c r="F45" s="9"/>
      <c r="G45" s="10"/>
      <c r="H45" s="50">
        <f>H43</f>
        <v>27</v>
      </c>
      <c r="I45" s="25">
        <f>I43</f>
        <v>6335</v>
      </c>
      <c r="J45" s="16"/>
    </row>
    <row r="46" spans="1:11" ht="13.5" customHeight="1" x14ac:dyDescent="0.25">
      <c r="D46" s="8"/>
      <c r="E46" s="8"/>
      <c r="F46" s="9"/>
      <c r="G46" s="10"/>
      <c r="I46" s="10"/>
      <c r="J46" s="16"/>
    </row>
    <row r="47" spans="1:11" ht="13.5" customHeight="1" x14ac:dyDescent="0.25">
      <c r="D47" s="8"/>
      <c r="E47" s="8"/>
      <c r="F47" s="9"/>
      <c r="G47" s="10"/>
      <c r="I47" s="10"/>
      <c r="J47" s="7"/>
    </row>
    <row r="48" spans="1:11" ht="13.5" customHeight="1" x14ac:dyDescent="0.25">
      <c r="A48" s="289" t="s">
        <v>124</v>
      </c>
      <c r="B48" s="289"/>
      <c r="C48" s="289"/>
      <c r="D48" s="289"/>
      <c r="E48" s="289"/>
      <c r="F48" s="289"/>
      <c r="G48" s="289"/>
      <c r="H48" s="289"/>
      <c r="I48" s="289"/>
      <c r="J48" s="7"/>
    </row>
    <row r="49" spans="1:10" ht="13.5" customHeight="1" x14ac:dyDescent="0.25">
      <c r="J49" s="7"/>
    </row>
    <row r="50" spans="1:10" ht="13.5" customHeight="1" x14ac:dyDescent="0.2">
      <c r="A50" s="27" t="s">
        <v>125</v>
      </c>
      <c r="B50" s="7"/>
      <c r="F50" s="71"/>
      <c r="G50" s="10"/>
      <c r="I50" s="72"/>
      <c r="J50" s="7"/>
    </row>
    <row r="51" spans="1:10" ht="60" customHeight="1" x14ac:dyDescent="0.25">
      <c r="A51" s="291"/>
      <c r="B51" s="275"/>
      <c r="C51" s="292"/>
      <c r="D51" s="290"/>
      <c r="E51" s="290"/>
      <c r="F51" s="290"/>
      <c r="G51" s="290"/>
      <c r="H51" s="290"/>
      <c r="I51" s="290"/>
      <c r="J51" s="7"/>
    </row>
    <row r="52" spans="1:10" ht="13.5" customHeight="1" x14ac:dyDescent="0.25">
      <c r="A52" s="274" t="s">
        <v>126</v>
      </c>
      <c r="B52" s="274"/>
      <c r="C52" s="274"/>
      <c r="D52" s="274" t="s">
        <v>127</v>
      </c>
      <c r="E52" s="274"/>
      <c r="F52" s="274"/>
      <c r="G52" s="274"/>
      <c r="H52" s="274"/>
      <c r="I52" s="274"/>
      <c r="J52" s="7"/>
    </row>
    <row r="53" spans="1:10" ht="13.5" customHeight="1" x14ac:dyDescent="0.25">
      <c r="D53" s="8"/>
      <c r="E53" s="8"/>
      <c r="F53" s="9"/>
      <c r="G53" s="10"/>
      <c r="I53" s="10"/>
      <c r="J53" s="7"/>
    </row>
    <row r="54" spans="1:10" ht="13.5" customHeight="1" x14ac:dyDescent="0.25">
      <c r="D54" s="8"/>
      <c r="E54" s="8"/>
      <c r="F54" s="9"/>
      <c r="G54" s="10"/>
      <c r="I54" s="10"/>
      <c r="J54" s="7"/>
    </row>
    <row r="55" spans="1:10" ht="13.5" customHeight="1" x14ac:dyDescent="0.25">
      <c r="D55" s="8"/>
      <c r="E55" s="8"/>
      <c r="F55" s="9"/>
      <c r="G55" s="10"/>
      <c r="I55" s="10"/>
      <c r="J55" s="7"/>
    </row>
    <row r="56" spans="1:10" ht="13.5" customHeight="1" x14ac:dyDescent="0.2">
      <c r="A56" s="266" t="s">
        <v>29</v>
      </c>
      <c r="B56" s="266"/>
      <c r="C56" s="266"/>
      <c r="D56" s="266"/>
      <c r="E56" s="266"/>
      <c r="F56" s="266"/>
      <c r="G56" s="51"/>
      <c r="I56" s="10"/>
      <c r="J56" s="16"/>
    </row>
    <row r="57" spans="1:10" ht="13.5" customHeight="1" x14ac:dyDescent="0.2">
      <c r="A57" s="267" t="s">
        <v>45</v>
      </c>
      <c r="B57" s="267"/>
      <c r="C57" s="267"/>
      <c r="D57" s="267"/>
      <c r="E57" s="283" t="s">
        <v>5</v>
      </c>
      <c r="F57" s="282" t="s">
        <v>6</v>
      </c>
      <c r="G57" s="52"/>
      <c r="I57" s="10"/>
      <c r="J57" s="16"/>
    </row>
    <row r="58" spans="1:10" ht="13.5" customHeight="1" x14ac:dyDescent="0.2">
      <c r="A58" s="34" t="s">
        <v>0</v>
      </c>
      <c r="B58" s="34" t="s">
        <v>3</v>
      </c>
      <c r="C58" s="34" t="s">
        <v>2</v>
      </c>
      <c r="D58" s="34" t="s">
        <v>4</v>
      </c>
      <c r="E58" s="284"/>
      <c r="F58" s="282"/>
      <c r="G58" s="53"/>
    </row>
    <row r="59" spans="1:10" ht="13.5" customHeight="1" x14ac:dyDescent="0.2">
      <c r="A59" s="2" t="s">
        <v>18</v>
      </c>
      <c r="B59" s="39"/>
      <c r="C59" s="35">
        <v>37</v>
      </c>
      <c r="D59" s="35">
        <v>0</v>
      </c>
      <c r="E59" s="13">
        <f>COUNTIFS($A$12:$A$47,"Cond Ar Janela 7.500 BTU/h")</f>
        <v>0</v>
      </c>
      <c r="F59" s="40"/>
      <c r="G59" s="1"/>
    </row>
    <row r="60" spans="1:10" ht="13.5" customHeight="1" x14ac:dyDescent="0.2">
      <c r="A60" s="2" t="s">
        <v>19</v>
      </c>
      <c r="B60" s="39"/>
      <c r="C60" s="3">
        <v>210</v>
      </c>
      <c r="D60" s="3">
        <f t="shared" ref="D60:D69" si="3">B60*C60</f>
        <v>0</v>
      </c>
      <c r="E60" s="13">
        <f>COUNTIFS($A$12:$A$47,"Cond Ar Janela 10.000 BTU/h")</f>
        <v>0</v>
      </c>
      <c r="F60" s="40"/>
      <c r="G60" s="1"/>
    </row>
    <row r="61" spans="1:10" ht="13.5" customHeight="1" x14ac:dyDescent="0.2">
      <c r="A61" s="2" t="s">
        <v>20</v>
      </c>
      <c r="B61" s="39"/>
      <c r="C61" s="3">
        <v>208</v>
      </c>
      <c r="D61" s="3">
        <f t="shared" si="3"/>
        <v>0</v>
      </c>
      <c r="E61" s="13">
        <f>COUNTIFS($A$12:$A$47,"Cond Ar Janela 18.000 BTU/h")</f>
        <v>0</v>
      </c>
      <c r="F61" s="40"/>
      <c r="G61" s="1"/>
    </row>
    <row r="62" spans="1:10" ht="13.5" customHeight="1" x14ac:dyDescent="0.2">
      <c r="A62" s="2" t="s">
        <v>21</v>
      </c>
      <c r="B62" s="39"/>
      <c r="C62" s="3">
        <v>57</v>
      </c>
      <c r="D62" s="3">
        <f t="shared" si="3"/>
        <v>0</v>
      </c>
      <c r="E62" s="13">
        <f>COUNTIFS($A$12:$A$47,"Cond Ar Janela 21.000 BTU/h")</f>
        <v>0</v>
      </c>
      <c r="F62" s="40"/>
      <c r="G62" s="1"/>
    </row>
    <row r="63" spans="1:10" ht="13.5" customHeight="1" x14ac:dyDescent="0.2">
      <c r="A63" s="2" t="s">
        <v>22</v>
      </c>
      <c r="B63" s="39">
        <v>19</v>
      </c>
      <c r="C63" s="3">
        <v>147</v>
      </c>
      <c r="D63" s="3">
        <f t="shared" si="3"/>
        <v>2793</v>
      </c>
      <c r="E63" s="13">
        <f>COUNTIFS($A$12:$A$47,"Cond Ar Split 9.000 BTU/h Hi Wall")</f>
        <v>4</v>
      </c>
      <c r="F63" s="40">
        <f>B63-E63</f>
        <v>15</v>
      </c>
      <c r="G63" s="1"/>
    </row>
    <row r="64" spans="1:10" ht="13.5" customHeight="1" x14ac:dyDescent="0.2">
      <c r="A64" s="2" t="s">
        <v>23</v>
      </c>
      <c r="B64" s="39">
        <v>18</v>
      </c>
      <c r="C64" s="3">
        <v>235</v>
      </c>
      <c r="D64" s="3">
        <f t="shared" si="3"/>
        <v>4230</v>
      </c>
      <c r="E64" s="13">
        <f>COUNTIFS($A$12:$A$47,"Cond Ar Split 12.000 BTU/h Hi Wall")</f>
        <v>15</v>
      </c>
      <c r="F64" s="40">
        <f t="shared" ref="F64:F65" si="4">B64-E64</f>
        <v>3</v>
      </c>
      <c r="G64" s="1"/>
    </row>
    <row r="65" spans="1:9" ht="13.5" customHeight="1" x14ac:dyDescent="0.2">
      <c r="A65" s="2" t="s">
        <v>24</v>
      </c>
      <c r="B65" s="39">
        <v>14</v>
      </c>
      <c r="C65" s="3">
        <v>238</v>
      </c>
      <c r="D65" s="3">
        <f t="shared" si="3"/>
        <v>3332</v>
      </c>
      <c r="E65" s="13">
        <f>COUNTIFS($A$12:$A$47,"Cond Ar Split 18.000 BTU/h Hi Wall")</f>
        <v>6</v>
      </c>
      <c r="F65" s="40">
        <f t="shared" si="4"/>
        <v>8</v>
      </c>
      <c r="G65" s="1"/>
    </row>
    <row r="66" spans="1:9" ht="13.5" customHeight="1" x14ac:dyDescent="0.2">
      <c r="A66" s="2" t="s">
        <v>25</v>
      </c>
      <c r="B66" s="39"/>
      <c r="C66" s="3">
        <v>242</v>
      </c>
      <c r="D66" s="3">
        <f t="shared" si="3"/>
        <v>0</v>
      </c>
      <c r="E66" s="13">
        <f>COUNTIFS($A$12:$A$47,"Cond Ar Split 22.000 BTU/h Hi Wall")</f>
        <v>0</v>
      </c>
      <c r="F66" s="40"/>
      <c r="G66" s="1"/>
    </row>
    <row r="67" spans="1:9" ht="13.5" customHeight="1" x14ac:dyDescent="0.2">
      <c r="A67" s="2" t="s">
        <v>26</v>
      </c>
      <c r="B67" s="39"/>
      <c r="C67" s="3">
        <v>260</v>
      </c>
      <c r="D67" s="3">
        <f t="shared" si="3"/>
        <v>0</v>
      </c>
      <c r="E67" s="13">
        <f>COUNTIFS($A$12:$A$47,"Cond Ar Split 24.000 BTU/h Hi Wall")</f>
        <v>0</v>
      </c>
      <c r="F67" s="40"/>
      <c r="G67" s="1"/>
    </row>
    <row r="68" spans="1:9" ht="13.5" customHeight="1" x14ac:dyDescent="0.2">
      <c r="A68" s="2" t="s">
        <v>27</v>
      </c>
      <c r="B68" s="39">
        <v>1</v>
      </c>
      <c r="C68" s="3">
        <v>347</v>
      </c>
      <c r="D68" s="3">
        <f t="shared" si="3"/>
        <v>347</v>
      </c>
      <c r="E68" s="13">
        <f>COUNTIFS($A$12:$A$47,"Cond Ar Split 30.000 BTU/h Hi Wall")</f>
        <v>1</v>
      </c>
      <c r="F68" s="40">
        <f>B68-E68</f>
        <v>0</v>
      </c>
      <c r="G68" s="1"/>
    </row>
    <row r="69" spans="1:9" ht="13.5" customHeight="1" x14ac:dyDescent="0.2">
      <c r="A69" s="2" t="s">
        <v>30</v>
      </c>
      <c r="B69" s="39"/>
      <c r="C69" s="3">
        <v>367</v>
      </c>
      <c r="D69" s="3">
        <f t="shared" si="3"/>
        <v>0</v>
      </c>
      <c r="E69" s="13">
        <f>COUNTIFS($A$12:$A$47,"Cond Ar Split 24.000 BTU/h Piso/Teto")</f>
        <v>0</v>
      </c>
      <c r="F69" s="40"/>
      <c r="G69" s="1"/>
    </row>
    <row r="70" spans="1:9" ht="13.5" customHeight="1" x14ac:dyDescent="0.2">
      <c r="A70" s="2" t="s">
        <v>31</v>
      </c>
      <c r="B70" s="39"/>
      <c r="C70" s="3">
        <v>367</v>
      </c>
      <c r="D70" s="3">
        <f>B70*C70</f>
        <v>0</v>
      </c>
      <c r="E70" s="13">
        <f>COUNTIFS($A$12:$A$47,"Cond Ar Split 30.000 BTU/h Piso/Teto")</f>
        <v>0</v>
      </c>
      <c r="F70" s="40"/>
      <c r="G70" s="1"/>
    </row>
    <row r="71" spans="1:9" ht="13.5" customHeight="1" x14ac:dyDescent="0.2">
      <c r="A71" s="2" t="s">
        <v>32</v>
      </c>
      <c r="B71" s="206">
        <v>2</v>
      </c>
      <c r="C71" s="3">
        <v>447</v>
      </c>
      <c r="D71" s="3">
        <f>B71*C71</f>
        <v>894</v>
      </c>
      <c r="E71" s="13">
        <f>COUNTIFS($A$12:$A$47,"Cond Ar Split 36.000 BTU/h Piso/Teto")</f>
        <v>1</v>
      </c>
      <c r="F71" s="40">
        <f>B71-E71</f>
        <v>1</v>
      </c>
      <c r="G71" s="1"/>
    </row>
    <row r="72" spans="1:9" ht="13.5" customHeight="1" x14ac:dyDescent="0.2">
      <c r="A72" s="2" t="s">
        <v>33</v>
      </c>
      <c r="B72" s="39"/>
      <c r="C72" s="3">
        <v>497</v>
      </c>
      <c r="D72" s="3">
        <f>B72*C72</f>
        <v>0</v>
      </c>
      <c r="E72" s="13">
        <f>COUNTIFS($A$12:$A$47,"Cond Ar Split 48.000 BTU/h Piso/Teto")</f>
        <v>0</v>
      </c>
      <c r="F72" s="40"/>
      <c r="G72" s="1"/>
    </row>
    <row r="73" spans="1:9" ht="13.5" customHeight="1" x14ac:dyDescent="0.2">
      <c r="A73" s="2" t="s">
        <v>34</v>
      </c>
      <c r="B73" s="39"/>
      <c r="C73" s="3">
        <v>597</v>
      </c>
      <c r="D73" s="3">
        <f t="shared" ref="D73:D81" si="5">B73*C73</f>
        <v>0</v>
      </c>
      <c r="E73" s="13">
        <f>COUNTIFS($A$12:$A$47,"Cond Ar Split 60.000 BTU/h Piso/Teto")</f>
        <v>0</v>
      </c>
      <c r="F73" s="40"/>
      <c r="G73" s="1"/>
    </row>
    <row r="74" spans="1:9" s="15" customFormat="1" ht="13.5" customHeight="1" x14ac:dyDescent="0.2">
      <c r="A74" s="2" t="s">
        <v>35</v>
      </c>
      <c r="B74" s="39"/>
      <c r="C74" s="3">
        <v>395</v>
      </c>
      <c r="D74" s="3">
        <f t="shared" si="5"/>
        <v>0</v>
      </c>
      <c r="E74" s="13">
        <f>COUNTIFS($A$12:$A$47,"Cond Ar Split 18.000 BTU/h Cassete")</f>
        <v>0</v>
      </c>
      <c r="F74" s="40"/>
      <c r="G74" s="1"/>
      <c r="H74" s="7"/>
      <c r="I74" s="7"/>
    </row>
    <row r="75" spans="1:9" s="15" customFormat="1" ht="13.5" customHeight="1" x14ac:dyDescent="0.2">
      <c r="A75" s="2" t="s">
        <v>36</v>
      </c>
      <c r="B75" s="39"/>
      <c r="C75" s="3">
        <v>442.75</v>
      </c>
      <c r="D75" s="3">
        <f t="shared" si="5"/>
        <v>0</v>
      </c>
      <c r="E75" s="13">
        <f>COUNTIFS($A$12:$A$47,"Cond Ar Split 24.000 BTU/h Cassete")</f>
        <v>0</v>
      </c>
      <c r="F75" s="40"/>
      <c r="G75" s="1"/>
      <c r="H75" s="7"/>
      <c r="I75" s="7"/>
    </row>
    <row r="76" spans="1:9" s="15" customFormat="1" ht="13.5" customHeight="1" x14ac:dyDescent="0.2">
      <c r="A76" s="2" t="s">
        <v>37</v>
      </c>
      <c r="B76" s="39"/>
      <c r="C76" s="3">
        <v>430</v>
      </c>
      <c r="D76" s="3">
        <f t="shared" si="5"/>
        <v>0</v>
      </c>
      <c r="E76" s="13">
        <f>COUNTIFS($A$12:$A$47,"Cond Ar Split 30.000 BTU/h Cassete")</f>
        <v>0</v>
      </c>
      <c r="F76" s="40"/>
      <c r="G76" s="1"/>
      <c r="H76" s="7"/>
      <c r="I76" s="7"/>
    </row>
    <row r="77" spans="1:9" s="15" customFormat="1" ht="13.5" customHeight="1" x14ac:dyDescent="0.2">
      <c r="A77" s="2" t="s">
        <v>38</v>
      </c>
      <c r="B77" s="39">
        <v>3</v>
      </c>
      <c r="C77" s="3">
        <v>478</v>
      </c>
      <c r="D77" s="3">
        <f t="shared" si="5"/>
        <v>1434</v>
      </c>
      <c r="E77" s="13">
        <f>COUNTIFS($A$12:$A$47,"Cond Ar Split 36.000 BTU/h Cassete")</f>
        <v>0</v>
      </c>
      <c r="F77" s="40">
        <f>B77-E77</f>
        <v>3</v>
      </c>
      <c r="G77" s="1"/>
      <c r="H77" s="7"/>
      <c r="I77" s="7"/>
    </row>
    <row r="78" spans="1:9" s="15" customFormat="1" ht="13.5" customHeight="1" x14ac:dyDescent="0.2">
      <c r="A78" s="2" t="s">
        <v>39</v>
      </c>
      <c r="B78" s="39"/>
      <c r="C78" s="3">
        <v>577</v>
      </c>
      <c r="D78" s="3">
        <f t="shared" si="5"/>
        <v>0</v>
      </c>
      <c r="E78" s="13">
        <f>COUNTIFS($A$12:$A$47,"Cond Ar Split 48.000 BTU/h Cassete")</f>
        <v>0</v>
      </c>
      <c r="F78" s="40"/>
      <c r="G78" s="1"/>
      <c r="H78" s="7"/>
      <c r="I78" s="7"/>
    </row>
    <row r="79" spans="1:9" s="15" customFormat="1" ht="13.5" customHeight="1" x14ac:dyDescent="0.2">
      <c r="A79" s="2" t="s">
        <v>40</v>
      </c>
      <c r="B79" s="39"/>
      <c r="C79" s="3">
        <v>645</v>
      </c>
      <c r="D79" s="3">
        <f t="shared" si="5"/>
        <v>0</v>
      </c>
      <c r="E79" s="13">
        <f>COUNTIFS($A$12:$A$47,"Cond Ar Split 60.000 BTU/h Cassete")</f>
        <v>0</v>
      </c>
      <c r="F79" s="40"/>
      <c r="G79" s="1"/>
      <c r="H79" s="7"/>
      <c r="I79" s="7"/>
    </row>
    <row r="80" spans="1:9" s="15" customFormat="1" ht="13.5" customHeight="1" x14ac:dyDescent="0.2">
      <c r="A80" s="2" t="s">
        <v>41</v>
      </c>
      <c r="B80" s="39"/>
      <c r="C80" s="3">
        <v>147</v>
      </c>
      <c r="D80" s="3">
        <f t="shared" si="5"/>
        <v>0</v>
      </c>
      <c r="E80" s="13">
        <f>COUNTIFS($A$12:$A$47,"Cond Ar Tri Split 36.000 BTU/h (3x12.000)")</f>
        <v>0</v>
      </c>
      <c r="F80" s="40"/>
      <c r="G80" s="1"/>
      <c r="H80" s="7"/>
      <c r="I80" s="7"/>
    </row>
    <row r="81" spans="1:10" s="15" customFormat="1" ht="13.5" customHeight="1" x14ac:dyDescent="0.2">
      <c r="A81" s="2" t="s">
        <v>42</v>
      </c>
      <c r="B81" s="39"/>
      <c r="C81" s="3">
        <v>100</v>
      </c>
      <c r="D81" s="3">
        <f t="shared" si="5"/>
        <v>0</v>
      </c>
      <c r="E81" s="13">
        <f>COUNTIFS($A$12:$A$47,"Cond Ar Portátil 12.000 BTU/h")</f>
        <v>0</v>
      </c>
      <c r="F81" s="40"/>
      <c r="G81" s="1"/>
      <c r="H81" s="7"/>
      <c r="I81" s="7"/>
    </row>
    <row r="82" spans="1:10" s="15" customFormat="1" ht="13.5" customHeight="1" x14ac:dyDescent="0.2">
      <c r="A82" s="36" t="s">
        <v>7</v>
      </c>
      <c r="B82" s="22">
        <f>SUM(B59:B81)</f>
        <v>57</v>
      </c>
      <c r="C82" s="38"/>
      <c r="D82" s="37">
        <f>SUM(D59:D81)</f>
        <v>13030</v>
      </c>
      <c r="E82" s="22">
        <f>SUM(E59:E81)</f>
        <v>27</v>
      </c>
      <c r="F82" s="41">
        <f>SUM(F59:F81)</f>
        <v>30</v>
      </c>
      <c r="G82" s="54"/>
      <c r="H82" s="7"/>
      <c r="I82" s="7"/>
    </row>
    <row r="86" spans="1:10" s="15" customFormat="1" ht="13.5" customHeight="1" x14ac:dyDescent="0.25">
      <c r="A86" s="7"/>
      <c r="C86" s="7"/>
      <c r="D86" s="7"/>
      <c r="E86" s="7"/>
      <c r="F86" s="17"/>
      <c r="G86" s="7"/>
      <c r="H86" s="7"/>
      <c r="I86" s="7"/>
      <c r="J86" s="16"/>
    </row>
  </sheetData>
  <sortState xmlns:xlrd2="http://schemas.microsoft.com/office/spreadsheetml/2017/richdata2" ref="A15:K41">
    <sortCondition ref="A15:A41"/>
  </sortState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51:C51"/>
    <mergeCell ref="D51:I51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48:I48"/>
    <mergeCell ref="A52:C52"/>
    <mergeCell ref="D52:I52"/>
    <mergeCell ref="A56:F56"/>
    <mergeCell ref="A57:D57"/>
    <mergeCell ref="E57:E58"/>
    <mergeCell ref="F57:F58"/>
  </mergeCells>
  <printOptions horizontalCentered="1"/>
  <pageMargins left="0.18" right="0.19685039370078741" top="0.27559055118110237" bottom="0.35433070866141736" header="0.23622047244094491" footer="0.15748031496062992"/>
  <pageSetup paperSize="9" scale="74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39">
    <pageSetUpPr fitToPage="1"/>
  </sheetPr>
  <dimension ref="A1:I21"/>
  <sheetViews>
    <sheetView showGridLines="0" workbookViewId="0">
      <pane ySplit="11" topLeftCell="A12" activePane="bottomLeft" state="frozen"/>
      <selection activeCell="A78" sqref="A78"/>
      <selection pane="bottomLeft" activeCell="J17" sqref="J17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241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240</v>
      </c>
      <c r="B8" s="297"/>
      <c r="C8" s="297"/>
      <c r="D8" s="297"/>
      <c r="E8" s="297"/>
      <c r="F8" s="298"/>
    </row>
    <row r="9" spans="1:6" ht="13.5" customHeight="1" x14ac:dyDescent="0.25">
      <c r="A9" s="60" t="s">
        <v>239</v>
      </c>
      <c r="B9" s="270" t="s">
        <v>238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/>
    </row>
    <row r="13" spans="1:6" ht="13.5" customHeight="1" x14ac:dyDescent="0.2">
      <c r="A13" s="313"/>
      <c r="B13" s="321"/>
      <c r="C13" s="102"/>
      <c r="D13" s="104"/>
      <c r="E13" s="82"/>
      <c r="F13" s="109">
        <f t="shared" ref="F13" si="0">D13/30*C13*E13</f>
        <v>0</v>
      </c>
    </row>
    <row r="14" spans="1:6" ht="13.5" customHeight="1" x14ac:dyDescent="0.25">
      <c r="A14" s="271" t="s">
        <v>43</v>
      </c>
      <c r="B14" s="273"/>
      <c r="C14" s="58">
        <f>SUM(C12:C13)</f>
        <v>0</v>
      </c>
      <c r="D14" s="57"/>
      <c r="E14" s="57"/>
      <c r="F14" s="73">
        <f>SUM(F12:F13)</f>
        <v>0</v>
      </c>
    </row>
    <row r="15" spans="1:6" ht="13.5" customHeight="1" x14ac:dyDescent="0.25">
      <c r="A15" s="105"/>
      <c r="B15" s="105"/>
      <c r="C15" s="105"/>
      <c r="D15" s="106"/>
      <c r="E15" s="107"/>
      <c r="F15" s="108"/>
    </row>
    <row r="17" spans="1:9" ht="13.5" customHeight="1" x14ac:dyDescent="0.25">
      <c r="A17" s="289" t="s">
        <v>124</v>
      </c>
      <c r="B17" s="289"/>
      <c r="C17" s="289"/>
      <c r="D17" s="289"/>
      <c r="E17" s="289"/>
      <c r="F17" s="289"/>
      <c r="G17" s="74"/>
      <c r="H17" s="74"/>
      <c r="I17" s="74"/>
    </row>
    <row r="19" spans="1:9" ht="13.5" customHeight="1" x14ac:dyDescent="0.2">
      <c r="A19" s="27" t="s">
        <v>125</v>
      </c>
      <c r="B19" s="27"/>
      <c r="F19" s="110"/>
      <c r="G19" s="10"/>
      <c r="I19" s="111"/>
    </row>
    <row r="20" spans="1:9" ht="60" customHeight="1" x14ac:dyDescent="0.25">
      <c r="A20" s="291"/>
      <c r="B20" s="275"/>
      <c r="C20" s="292"/>
      <c r="D20" s="290"/>
      <c r="E20" s="290"/>
      <c r="F20" s="290"/>
    </row>
    <row r="21" spans="1:9" ht="13.5" customHeight="1" x14ac:dyDescent="0.25">
      <c r="A21" s="274" t="s">
        <v>126</v>
      </c>
      <c r="B21" s="274"/>
      <c r="C21" s="274"/>
      <c r="D21" s="75"/>
      <c r="E21" s="75" t="s">
        <v>127</v>
      </c>
      <c r="F21" s="75"/>
      <c r="G21" s="27"/>
      <c r="H21" s="27"/>
      <c r="I21" s="27"/>
    </row>
  </sheetData>
  <mergeCells count="18"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  <mergeCell ref="A12:B12"/>
    <mergeCell ref="A21:C21"/>
    <mergeCell ref="A13:B13"/>
    <mergeCell ref="A14:B14"/>
    <mergeCell ref="A17:F17"/>
    <mergeCell ref="A20:C20"/>
    <mergeCell ref="D20:F20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K118"/>
  <sheetViews>
    <sheetView showGridLines="0" workbookViewId="0">
      <pane ySplit="13" topLeftCell="A71" activePane="bottomLeft" state="frozen"/>
      <selection activeCell="A99" sqref="A99"/>
      <selection pane="bottomLeft" activeCell="E74" sqref="E74"/>
    </sheetView>
  </sheetViews>
  <sheetFormatPr defaultRowHeight="13.5" customHeight="1" x14ac:dyDescent="0.25"/>
  <cols>
    <col min="1" max="1" width="37.28515625" style="7" customWidth="1"/>
    <col min="2" max="2" width="12.28515625" style="15" bestFit="1" customWidth="1"/>
    <col min="3" max="3" width="11" style="7" bestFit="1" customWidth="1"/>
    <col min="4" max="5" width="10.140625" style="7" bestFit="1" customWidth="1"/>
    <col min="6" max="6" width="9.85546875" style="7" bestFit="1" customWidth="1"/>
    <col min="7" max="7" width="11" style="7" bestFit="1" customWidth="1"/>
    <col min="8" max="8" width="11.5703125" style="7" bestFit="1" customWidth="1"/>
    <col min="9" max="9" width="17.5703125" style="7" bestFit="1" customWidth="1"/>
    <col min="10" max="10" width="30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303" t="s">
        <v>224</v>
      </c>
      <c r="B1" s="303"/>
      <c r="C1" s="303"/>
      <c r="D1" s="303"/>
      <c r="E1" s="303"/>
      <c r="F1" s="303"/>
      <c r="G1" s="303"/>
      <c r="H1" s="303"/>
      <c r="I1" s="303"/>
      <c r="J1" s="4"/>
    </row>
    <row r="2" spans="1:11" ht="13.5" customHeight="1" x14ac:dyDescent="0.25">
      <c r="B2" s="7"/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724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191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183</v>
      </c>
      <c r="B9" s="270"/>
      <c r="C9" s="271" t="s">
        <v>184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45531</v>
      </c>
      <c r="C15" s="55">
        <v>14602</v>
      </c>
      <c r="D15" s="20">
        <v>45658</v>
      </c>
      <c r="E15" s="20">
        <v>45687</v>
      </c>
      <c r="F15" s="11">
        <f>(E15-D15)+1</f>
        <v>30</v>
      </c>
      <c r="G15" s="12">
        <v>235</v>
      </c>
      <c r="H15" s="13">
        <v>1</v>
      </c>
      <c r="I15" s="19">
        <f>G15/30*H15*F15</f>
        <v>235</v>
      </c>
      <c r="J15" s="32" t="s">
        <v>206</v>
      </c>
      <c r="K15" s="13">
        <v>66135</v>
      </c>
    </row>
    <row r="16" spans="1:11" ht="13.5" customHeight="1" x14ac:dyDescent="0.2">
      <c r="A16" s="2" t="s">
        <v>23</v>
      </c>
      <c r="B16" s="76">
        <v>45531</v>
      </c>
      <c r="C16" s="55">
        <v>14578</v>
      </c>
      <c r="D16" s="20">
        <v>45658</v>
      </c>
      <c r="E16" s="20">
        <v>45687</v>
      </c>
      <c r="F16" s="11">
        <f t="shared" ref="F16:F26" si="0">(E16-D16)+1</f>
        <v>30</v>
      </c>
      <c r="G16" s="12">
        <v>235</v>
      </c>
      <c r="H16" s="13">
        <v>1</v>
      </c>
      <c r="I16" s="19">
        <f t="shared" ref="I16:I26" si="1">G16/30*H16*F16</f>
        <v>235</v>
      </c>
      <c r="J16" s="32" t="s">
        <v>205</v>
      </c>
      <c r="K16" s="13">
        <v>66135</v>
      </c>
    </row>
    <row r="17" spans="1:11" ht="13.5" customHeight="1" x14ac:dyDescent="0.2">
      <c r="A17" s="2" t="s">
        <v>23</v>
      </c>
      <c r="B17" s="76">
        <v>45531</v>
      </c>
      <c r="C17" s="55">
        <v>14597</v>
      </c>
      <c r="D17" s="20">
        <v>45658</v>
      </c>
      <c r="E17" s="20">
        <v>45687</v>
      </c>
      <c r="F17" s="11">
        <f t="shared" si="0"/>
        <v>30</v>
      </c>
      <c r="G17" s="12">
        <v>235</v>
      </c>
      <c r="H17" s="13">
        <v>1</v>
      </c>
      <c r="I17" s="19">
        <f t="shared" si="1"/>
        <v>235</v>
      </c>
      <c r="J17" s="32" t="s">
        <v>207</v>
      </c>
      <c r="K17" s="13">
        <v>66135</v>
      </c>
    </row>
    <row r="18" spans="1:11" ht="13.5" customHeight="1" x14ac:dyDescent="0.2">
      <c r="A18" s="2" t="s">
        <v>23</v>
      </c>
      <c r="B18" s="76">
        <v>45531</v>
      </c>
      <c r="C18" s="55">
        <v>14593</v>
      </c>
      <c r="D18" s="20">
        <v>45658</v>
      </c>
      <c r="E18" s="20">
        <v>45687</v>
      </c>
      <c r="F18" s="11">
        <f t="shared" si="0"/>
        <v>30</v>
      </c>
      <c r="G18" s="12">
        <v>235</v>
      </c>
      <c r="H18" s="13">
        <v>1</v>
      </c>
      <c r="I18" s="19">
        <f t="shared" si="1"/>
        <v>235</v>
      </c>
      <c r="J18" s="32" t="s">
        <v>208</v>
      </c>
      <c r="K18" s="13">
        <v>66135</v>
      </c>
    </row>
    <row r="19" spans="1:11" ht="13.5" customHeight="1" x14ac:dyDescent="0.2">
      <c r="A19" s="2" t="s">
        <v>24</v>
      </c>
      <c r="B19" s="76">
        <v>45537</v>
      </c>
      <c r="C19" s="55">
        <v>15149</v>
      </c>
      <c r="D19" s="20">
        <v>45658</v>
      </c>
      <c r="E19" s="20">
        <v>45687</v>
      </c>
      <c r="F19" s="11">
        <f t="shared" si="0"/>
        <v>30</v>
      </c>
      <c r="G19" s="12">
        <v>238</v>
      </c>
      <c r="H19" s="13">
        <v>1</v>
      </c>
      <c r="I19" s="19">
        <f t="shared" si="1"/>
        <v>238</v>
      </c>
      <c r="J19" s="32" t="s">
        <v>278</v>
      </c>
      <c r="K19" s="13">
        <v>67825</v>
      </c>
    </row>
    <row r="20" spans="1:11" ht="13.5" customHeight="1" x14ac:dyDescent="0.2">
      <c r="A20" s="2" t="s">
        <v>24</v>
      </c>
      <c r="B20" s="76">
        <v>45537</v>
      </c>
      <c r="C20" s="55">
        <v>15154</v>
      </c>
      <c r="D20" s="20">
        <v>45658</v>
      </c>
      <c r="E20" s="20">
        <v>45687</v>
      </c>
      <c r="F20" s="11">
        <f t="shared" si="0"/>
        <v>30</v>
      </c>
      <c r="G20" s="12">
        <v>238</v>
      </c>
      <c r="H20" s="13">
        <v>1</v>
      </c>
      <c r="I20" s="19">
        <f t="shared" si="1"/>
        <v>238</v>
      </c>
      <c r="J20" s="32" t="s">
        <v>279</v>
      </c>
      <c r="K20" s="13">
        <v>67825</v>
      </c>
    </row>
    <row r="21" spans="1:11" ht="13.5" customHeight="1" x14ac:dyDescent="0.2">
      <c r="A21" s="2" t="s">
        <v>24</v>
      </c>
      <c r="B21" s="76">
        <v>45537</v>
      </c>
      <c r="C21" s="55">
        <v>15150</v>
      </c>
      <c r="D21" s="20">
        <v>45658</v>
      </c>
      <c r="E21" s="20">
        <v>45687</v>
      </c>
      <c r="F21" s="11">
        <f t="shared" si="0"/>
        <v>30</v>
      </c>
      <c r="G21" s="12">
        <v>238</v>
      </c>
      <c r="H21" s="13">
        <v>1</v>
      </c>
      <c r="I21" s="19">
        <f>G21/30*H21*F21</f>
        <v>238</v>
      </c>
      <c r="J21" s="32" t="s">
        <v>280</v>
      </c>
      <c r="K21" s="13">
        <v>67825</v>
      </c>
    </row>
    <row r="22" spans="1:11" ht="13.5" customHeight="1" x14ac:dyDescent="0.2">
      <c r="A22" s="2" t="s">
        <v>24</v>
      </c>
      <c r="B22" s="76">
        <v>45537</v>
      </c>
      <c r="C22" s="55">
        <v>15144</v>
      </c>
      <c r="D22" s="20">
        <v>45658</v>
      </c>
      <c r="E22" s="20">
        <v>45687</v>
      </c>
      <c r="F22" s="11">
        <f t="shared" si="0"/>
        <v>30</v>
      </c>
      <c r="G22" s="12">
        <v>238</v>
      </c>
      <c r="H22" s="13">
        <v>1</v>
      </c>
      <c r="I22" s="19">
        <f t="shared" si="1"/>
        <v>238</v>
      </c>
      <c r="J22" s="32" t="s">
        <v>281</v>
      </c>
      <c r="K22" s="13">
        <v>67825</v>
      </c>
    </row>
    <row r="23" spans="1:11" ht="13.5" customHeight="1" x14ac:dyDescent="0.2">
      <c r="A23" s="2" t="s">
        <v>24</v>
      </c>
      <c r="B23" s="76">
        <v>45537</v>
      </c>
      <c r="C23" s="55">
        <v>15145</v>
      </c>
      <c r="D23" s="20">
        <v>45658</v>
      </c>
      <c r="E23" s="20">
        <v>45687</v>
      </c>
      <c r="F23" s="11">
        <f t="shared" si="0"/>
        <v>30</v>
      </c>
      <c r="G23" s="12">
        <v>238</v>
      </c>
      <c r="H23" s="13">
        <v>1</v>
      </c>
      <c r="I23" s="19">
        <f t="shared" si="1"/>
        <v>238</v>
      </c>
      <c r="J23" s="32" t="s">
        <v>282</v>
      </c>
      <c r="K23" s="13">
        <v>67826</v>
      </c>
    </row>
    <row r="24" spans="1:11" ht="13.5" customHeight="1" x14ac:dyDescent="0.2">
      <c r="A24" s="2" t="s">
        <v>24</v>
      </c>
      <c r="B24" s="76">
        <v>45537</v>
      </c>
      <c r="C24" s="55">
        <v>15151</v>
      </c>
      <c r="D24" s="20">
        <v>45658</v>
      </c>
      <c r="E24" s="20">
        <v>45687</v>
      </c>
      <c r="F24" s="11">
        <f t="shared" si="0"/>
        <v>30</v>
      </c>
      <c r="G24" s="12">
        <v>238</v>
      </c>
      <c r="H24" s="13">
        <v>1</v>
      </c>
      <c r="I24" s="19">
        <f t="shared" si="1"/>
        <v>238</v>
      </c>
      <c r="J24" s="32" t="s">
        <v>283</v>
      </c>
      <c r="K24" s="13">
        <v>67826</v>
      </c>
    </row>
    <row r="25" spans="1:11" ht="13.5" customHeight="1" x14ac:dyDescent="0.2">
      <c r="A25" s="2" t="s">
        <v>24</v>
      </c>
      <c r="B25" s="76">
        <v>45537</v>
      </c>
      <c r="C25" s="55">
        <v>15156</v>
      </c>
      <c r="D25" s="20">
        <v>45658</v>
      </c>
      <c r="E25" s="20">
        <v>45687</v>
      </c>
      <c r="F25" s="11">
        <f t="shared" si="0"/>
        <v>30</v>
      </c>
      <c r="G25" s="12">
        <v>238</v>
      </c>
      <c r="H25" s="13">
        <v>1</v>
      </c>
      <c r="I25" s="19">
        <f t="shared" si="1"/>
        <v>238</v>
      </c>
      <c r="J25" s="32" t="s">
        <v>284</v>
      </c>
      <c r="K25" s="13">
        <v>67826</v>
      </c>
    </row>
    <row r="26" spans="1:11" ht="13.5" customHeight="1" x14ac:dyDescent="0.2">
      <c r="A26" s="2" t="s">
        <v>24</v>
      </c>
      <c r="B26" s="76">
        <v>45537</v>
      </c>
      <c r="C26" s="55">
        <v>15152</v>
      </c>
      <c r="D26" s="20">
        <v>45658</v>
      </c>
      <c r="E26" s="20">
        <v>45687</v>
      </c>
      <c r="F26" s="11">
        <f t="shared" si="0"/>
        <v>30</v>
      </c>
      <c r="G26" s="12">
        <v>238</v>
      </c>
      <c r="H26" s="13">
        <v>1</v>
      </c>
      <c r="I26" s="19">
        <f t="shared" si="1"/>
        <v>238</v>
      </c>
      <c r="J26" s="32" t="s">
        <v>285</v>
      </c>
      <c r="K26" s="13">
        <v>67826</v>
      </c>
    </row>
    <row r="27" spans="1:11" ht="13.5" customHeight="1" x14ac:dyDescent="0.2">
      <c r="A27" s="2" t="s">
        <v>34</v>
      </c>
      <c r="B27" s="76">
        <v>45537</v>
      </c>
      <c r="C27" s="55">
        <v>12430</v>
      </c>
      <c r="D27" s="20">
        <v>45658</v>
      </c>
      <c r="E27" s="20">
        <v>45687</v>
      </c>
      <c r="F27" s="11">
        <f>(E27-D27)+1</f>
        <v>30</v>
      </c>
      <c r="G27" s="12">
        <v>597</v>
      </c>
      <c r="H27" s="13">
        <v>1</v>
      </c>
      <c r="I27" s="19">
        <f t="shared" ref="I27:I32" si="2">G27/30*H27*F27</f>
        <v>597</v>
      </c>
      <c r="J27" s="217" t="s">
        <v>314</v>
      </c>
      <c r="K27" s="13">
        <v>66135</v>
      </c>
    </row>
    <row r="28" spans="1:11" ht="13.5" customHeight="1" x14ac:dyDescent="0.2">
      <c r="A28" s="2" t="s">
        <v>34</v>
      </c>
      <c r="B28" s="76">
        <v>45537</v>
      </c>
      <c r="C28" s="55">
        <v>12772</v>
      </c>
      <c r="D28" s="20">
        <v>45658</v>
      </c>
      <c r="E28" s="20">
        <v>45687</v>
      </c>
      <c r="F28" s="11">
        <f>(E28-D28)+1</f>
        <v>30</v>
      </c>
      <c r="G28" s="12">
        <v>597</v>
      </c>
      <c r="H28" s="13">
        <v>1</v>
      </c>
      <c r="I28" s="19">
        <f t="shared" si="2"/>
        <v>597</v>
      </c>
      <c r="J28" s="217" t="s">
        <v>314</v>
      </c>
      <c r="K28" s="13">
        <v>66135</v>
      </c>
    </row>
    <row r="29" spans="1:11" ht="13.5" customHeight="1" x14ac:dyDescent="0.2">
      <c r="A29" s="2" t="s">
        <v>34</v>
      </c>
      <c r="B29" s="76">
        <v>45537</v>
      </c>
      <c r="C29" s="55">
        <v>16001</v>
      </c>
      <c r="D29" s="20">
        <v>45658</v>
      </c>
      <c r="E29" s="20">
        <v>45687</v>
      </c>
      <c r="F29" s="11">
        <f>(E29-D29)+1</f>
        <v>30</v>
      </c>
      <c r="G29" s="12">
        <v>597</v>
      </c>
      <c r="H29" s="13">
        <v>1</v>
      </c>
      <c r="I29" s="19">
        <f t="shared" si="2"/>
        <v>597</v>
      </c>
      <c r="J29" s="217" t="s">
        <v>313</v>
      </c>
      <c r="K29" s="13">
        <v>68517</v>
      </c>
    </row>
    <row r="30" spans="1:11" ht="13.5" customHeight="1" x14ac:dyDescent="0.2">
      <c r="A30" s="2" t="s">
        <v>22</v>
      </c>
      <c r="B30" s="76">
        <v>45574</v>
      </c>
      <c r="C30" s="219">
        <v>14374</v>
      </c>
      <c r="D30" s="20">
        <v>45658</v>
      </c>
      <c r="E30" s="20">
        <v>45687</v>
      </c>
      <c r="F30" s="11">
        <f>(E30-D30)+1</f>
        <v>30</v>
      </c>
      <c r="G30" s="12">
        <v>147</v>
      </c>
      <c r="H30" s="13">
        <v>1</v>
      </c>
      <c r="I30" s="19">
        <f t="shared" si="2"/>
        <v>147</v>
      </c>
      <c r="J30" s="217" t="s">
        <v>589</v>
      </c>
      <c r="K30" s="13">
        <v>67436</v>
      </c>
    </row>
    <row r="31" spans="1:11" ht="13.5" customHeight="1" x14ac:dyDescent="0.2">
      <c r="A31" s="2" t="s">
        <v>22</v>
      </c>
      <c r="B31" s="76">
        <v>45574</v>
      </c>
      <c r="C31" s="219">
        <v>14459</v>
      </c>
      <c r="D31" s="20">
        <v>45658</v>
      </c>
      <c r="E31" s="20">
        <v>45687</v>
      </c>
      <c r="F31" s="11">
        <f t="shared" ref="F31:F72" si="3">(E31-D31)+1</f>
        <v>30</v>
      </c>
      <c r="G31" s="12">
        <v>147</v>
      </c>
      <c r="H31" s="13">
        <v>1</v>
      </c>
      <c r="I31" s="19">
        <f t="shared" si="2"/>
        <v>147</v>
      </c>
      <c r="J31" s="217" t="s">
        <v>590</v>
      </c>
      <c r="K31" s="13">
        <v>67436</v>
      </c>
    </row>
    <row r="32" spans="1:11" ht="13.5" customHeight="1" x14ac:dyDescent="0.2">
      <c r="A32" s="2" t="s">
        <v>23</v>
      </c>
      <c r="B32" s="76">
        <v>45574</v>
      </c>
      <c r="C32" s="219">
        <v>14672</v>
      </c>
      <c r="D32" s="20">
        <v>45658</v>
      </c>
      <c r="E32" s="20">
        <v>45687</v>
      </c>
      <c r="F32" s="11">
        <f t="shared" si="3"/>
        <v>30</v>
      </c>
      <c r="G32" s="12">
        <v>235</v>
      </c>
      <c r="H32" s="13">
        <v>1</v>
      </c>
      <c r="I32" s="19">
        <f t="shared" si="2"/>
        <v>235</v>
      </c>
      <c r="J32" s="217" t="s">
        <v>591</v>
      </c>
      <c r="K32" s="13">
        <v>67436</v>
      </c>
    </row>
    <row r="33" spans="1:11" ht="13.5" customHeight="1" x14ac:dyDescent="0.2">
      <c r="A33" s="2" t="s">
        <v>23</v>
      </c>
      <c r="B33" s="76">
        <v>45574</v>
      </c>
      <c r="C33" s="219">
        <v>14691</v>
      </c>
      <c r="D33" s="20">
        <v>45658</v>
      </c>
      <c r="E33" s="20">
        <v>45687</v>
      </c>
      <c r="F33" s="11">
        <f t="shared" si="3"/>
        <v>30</v>
      </c>
      <c r="G33" s="12">
        <v>235</v>
      </c>
      <c r="H33" s="13">
        <v>1</v>
      </c>
      <c r="I33" s="19">
        <f t="shared" ref="I33:I73" si="4">G33/30*H33*F33</f>
        <v>235</v>
      </c>
      <c r="J33" s="217" t="s">
        <v>592</v>
      </c>
      <c r="K33" s="13">
        <v>67438</v>
      </c>
    </row>
    <row r="34" spans="1:11" ht="13.5" customHeight="1" x14ac:dyDescent="0.2">
      <c r="A34" s="2" t="s">
        <v>23</v>
      </c>
      <c r="B34" s="76">
        <v>45574</v>
      </c>
      <c r="C34" s="219">
        <v>14671</v>
      </c>
      <c r="D34" s="20">
        <v>45658</v>
      </c>
      <c r="E34" s="20">
        <v>45687</v>
      </c>
      <c r="F34" s="11">
        <f t="shared" si="3"/>
        <v>30</v>
      </c>
      <c r="G34" s="12">
        <v>235</v>
      </c>
      <c r="H34" s="13">
        <v>1</v>
      </c>
      <c r="I34" s="19">
        <f t="shared" si="4"/>
        <v>235</v>
      </c>
      <c r="J34" s="217" t="s">
        <v>593</v>
      </c>
      <c r="K34" s="13">
        <v>67438</v>
      </c>
    </row>
    <row r="35" spans="1:11" ht="13.5" customHeight="1" x14ac:dyDescent="0.2">
      <c r="A35" s="2" t="s">
        <v>23</v>
      </c>
      <c r="B35" s="76">
        <v>45574</v>
      </c>
      <c r="C35" s="219">
        <v>14685</v>
      </c>
      <c r="D35" s="20">
        <v>45658</v>
      </c>
      <c r="E35" s="20">
        <v>45687</v>
      </c>
      <c r="F35" s="11">
        <f t="shared" si="3"/>
        <v>30</v>
      </c>
      <c r="G35" s="12">
        <v>235</v>
      </c>
      <c r="H35" s="13">
        <v>1</v>
      </c>
      <c r="I35" s="19">
        <f t="shared" si="4"/>
        <v>235</v>
      </c>
      <c r="J35" s="217" t="s">
        <v>594</v>
      </c>
      <c r="K35" s="13">
        <v>67438</v>
      </c>
    </row>
    <row r="36" spans="1:11" ht="13.5" customHeight="1" x14ac:dyDescent="0.2">
      <c r="A36" s="2" t="s">
        <v>23</v>
      </c>
      <c r="B36" s="76">
        <v>45574</v>
      </c>
      <c r="C36" s="219">
        <v>14684</v>
      </c>
      <c r="D36" s="20">
        <v>45658</v>
      </c>
      <c r="E36" s="20">
        <v>45687</v>
      </c>
      <c r="F36" s="11">
        <f t="shared" si="3"/>
        <v>30</v>
      </c>
      <c r="G36" s="12">
        <v>235</v>
      </c>
      <c r="H36" s="13">
        <v>1</v>
      </c>
      <c r="I36" s="19">
        <f t="shared" si="4"/>
        <v>235</v>
      </c>
      <c r="J36" s="217" t="s">
        <v>595</v>
      </c>
      <c r="K36" s="13">
        <v>67438</v>
      </c>
    </row>
    <row r="37" spans="1:11" ht="13.5" customHeight="1" x14ac:dyDescent="0.2">
      <c r="A37" s="2" t="s">
        <v>25</v>
      </c>
      <c r="B37" s="76">
        <v>45575</v>
      </c>
      <c r="C37" s="219">
        <v>215937</v>
      </c>
      <c r="D37" s="20">
        <v>45658</v>
      </c>
      <c r="E37" s="20">
        <v>45687</v>
      </c>
      <c r="F37" s="11">
        <f t="shared" si="3"/>
        <v>30</v>
      </c>
      <c r="G37" s="12">
        <v>242</v>
      </c>
      <c r="H37" s="13">
        <v>1</v>
      </c>
      <c r="I37" s="19">
        <f t="shared" si="4"/>
        <v>242</v>
      </c>
      <c r="J37" s="217" t="s">
        <v>300</v>
      </c>
      <c r="K37" s="13">
        <v>68451</v>
      </c>
    </row>
    <row r="38" spans="1:11" ht="13.5" customHeight="1" x14ac:dyDescent="0.2">
      <c r="A38" s="2" t="s">
        <v>25</v>
      </c>
      <c r="B38" s="76">
        <v>45575</v>
      </c>
      <c r="C38" s="219">
        <v>215941</v>
      </c>
      <c r="D38" s="20">
        <v>45658</v>
      </c>
      <c r="E38" s="20">
        <v>45687</v>
      </c>
      <c r="F38" s="11">
        <f t="shared" si="3"/>
        <v>30</v>
      </c>
      <c r="G38" s="12">
        <v>242</v>
      </c>
      <c r="H38" s="13">
        <v>1</v>
      </c>
      <c r="I38" s="19">
        <f t="shared" si="4"/>
        <v>242</v>
      </c>
      <c r="J38" s="217" t="s">
        <v>273</v>
      </c>
      <c r="K38" s="13">
        <v>68451</v>
      </c>
    </row>
    <row r="39" spans="1:11" ht="13.5" customHeight="1" x14ac:dyDescent="0.2">
      <c r="A39" s="2" t="s">
        <v>25</v>
      </c>
      <c r="B39" s="76">
        <v>45575</v>
      </c>
      <c r="C39" s="219">
        <v>215938</v>
      </c>
      <c r="D39" s="20">
        <v>45658</v>
      </c>
      <c r="E39" s="20">
        <v>45687</v>
      </c>
      <c r="F39" s="11">
        <f t="shared" si="3"/>
        <v>30</v>
      </c>
      <c r="G39" s="12">
        <v>242</v>
      </c>
      <c r="H39" s="13">
        <v>1</v>
      </c>
      <c r="I39" s="19">
        <f t="shared" si="4"/>
        <v>242</v>
      </c>
      <c r="J39" s="217" t="s">
        <v>274</v>
      </c>
      <c r="K39" s="13">
        <v>68451</v>
      </c>
    </row>
    <row r="40" spans="1:11" ht="13.5" customHeight="1" x14ac:dyDescent="0.2">
      <c r="A40" s="2" t="s">
        <v>25</v>
      </c>
      <c r="B40" s="76">
        <v>45575</v>
      </c>
      <c r="C40" s="219">
        <v>215942</v>
      </c>
      <c r="D40" s="20">
        <v>45658</v>
      </c>
      <c r="E40" s="20">
        <v>45687</v>
      </c>
      <c r="F40" s="11">
        <f t="shared" si="3"/>
        <v>30</v>
      </c>
      <c r="G40" s="12">
        <v>242</v>
      </c>
      <c r="H40" s="13">
        <v>1</v>
      </c>
      <c r="I40" s="19">
        <f t="shared" si="4"/>
        <v>242</v>
      </c>
      <c r="J40" s="217" t="s">
        <v>301</v>
      </c>
      <c r="K40" s="13">
        <v>68451</v>
      </c>
    </row>
    <row r="41" spans="1:11" ht="13.5" customHeight="1" x14ac:dyDescent="0.2">
      <c r="A41" s="2" t="s">
        <v>25</v>
      </c>
      <c r="B41" s="76">
        <v>45575</v>
      </c>
      <c r="C41" s="219">
        <v>215939</v>
      </c>
      <c r="D41" s="20">
        <v>45658</v>
      </c>
      <c r="E41" s="20">
        <v>45687</v>
      </c>
      <c r="F41" s="11">
        <f t="shared" si="3"/>
        <v>30</v>
      </c>
      <c r="G41" s="12">
        <v>242</v>
      </c>
      <c r="H41" s="13">
        <v>1</v>
      </c>
      <c r="I41" s="19">
        <f t="shared" si="4"/>
        <v>242</v>
      </c>
      <c r="J41" s="217" t="s">
        <v>297</v>
      </c>
      <c r="K41" s="13">
        <v>68451</v>
      </c>
    </row>
    <row r="42" spans="1:11" ht="13.5" customHeight="1" x14ac:dyDescent="0.2">
      <c r="A42" s="2" t="s">
        <v>25</v>
      </c>
      <c r="B42" s="76">
        <v>45575</v>
      </c>
      <c r="C42" s="219">
        <v>215943</v>
      </c>
      <c r="D42" s="20">
        <v>45658</v>
      </c>
      <c r="E42" s="20">
        <v>45687</v>
      </c>
      <c r="F42" s="11">
        <f t="shared" si="3"/>
        <v>30</v>
      </c>
      <c r="G42" s="12">
        <v>242</v>
      </c>
      <c r="H42" s="13">
        <v>1</v>
      </c>
      <c r="I42" s="19">
        <f t="shared" si="4"/>
        <v>242</v>
      </c>
      <c r="J42" s="217" t="s">
        <v>302</v>
      </c>
      <c r="K42" s="13">
        <v>68451</v>
      </c>
    </row>
    <row r="43" spans="1:11" ht="13.5" customHeight="1" x14ac:dyDescent="0.2">
      <c r="A43" s="2" t="s">
        <v>25</v>
      </c>
      <c r="B43" s="76">
        <v>45575</v>
      </c>
      <c r="C43" s="219">
        <v>215940</v>
      </c>
      <c r="D43" s="20">
        <v>45658</v>
      </c>
      <c r="E43" s="20">
        <v>45687</v>
      </c>
      <c r="F43" s="11">
        <f t="shared" si="3"/>
        <v>30</v>
      </c>
      <c r="G43" s="12">
        <v>242</v>
      </c>
      <c r="H43" s="13">
        <v>1</v>
      </c>
      <c r="I43" s="19">
        <f t="shared" si="4"/>
        <v>242</v>
      </c>
      <c r="J43" s="217" t="s">
        <v>303</v>
      </c>
      <c r="K43" s="13">
        <v>68451</v>
      </c>
    </row>
    <row r="44" spans="1:11" ht="13.5" customHeight="1" x14ac:dyDescent="0.2">
      <c r="A44" s="2" t="s">
        <v>25</v>
      </c>
      <c r="B44" s="76">
        <v>45575</v>
      </c>
      <c r="C44" s="219">
        <v>215945</v>
      </c>
      <c r="D44" s="20">
        <v>45658</v>
      </c>
      <c r="E44" s="20">
        <v>45687</v>
      </c>
      <c r="F44" s="11">
        <f t="shared" si="3"/>
        <v>30</v>
      </c>
      <c r="G44" s="12">
        <v>242</v>
      </c>
      <c r="H44" s="13">
        <v>1</v>
      </c>
      <c r="I44" s="19">
        <f t="shared" si="4"/>
        <v>242</v>
      </c>
      <c r="J44" s="217" t="s">
        <v>305</v>
      </c>
      <c r="K44" s="13">
        <v>68456</v>
      </c>
    </row>
    <row r="45" spans="1:11" ht="13.5" customHeight="1" x14ac:dyDescent="0.2">
      <c r="A45" s="2" t="s">
        <v>25</v>
      </c>
      <c r="B45" s="76">
        <v>45575</v>
      </c>
      <c r="C45" s="219">
        <v>215948</v>
      </c>
      <c r="D45" s="20">
        <v>45658</v>
      </c>
      <c r="E45" s="20">
        <v>45687</v>
      </c>
      <c r="F45" s="11">
        <f t="shared" si="3"/>
        <v>30</v>
      </c>
      <c r="G45" s="12">
        <v>242</v>
      </c>
      <c r="H45" s="13">
        <v>1</v>
      </c>
      <c r="I45" s="19">
        <f t="shared" si="4"/>
        <v>242</v>
      </c>
      <c r="J45" s="217" t="s">
        <v>304</v>
      </c>
      <c r="K45" s="13">
        <v>68456</v>
      </c>
    </row>
    <row r="46" spans="1:11" ht="13.5" customHeight="1" x14ac:dyDescent="0.2">
      <c r="A46" s="2" t="s">
        <v>25</v>
      </c>
      <c r="B46" s="76">
        <v>45574</v>
      </c>
      <c r="C46" s="219">
        <v>15946</v>
      </c>
      <c r="D46" s="20">
        <v>45658</v>
      </c>
      <c r="E46" s="20">
        <v>45687</v>
      </c>
      <c r="F46" s="11">
        <f t="shared" si="3"/>
        <v>30</v>
      </c>
      <c r="G46" s="12">
        <v>242</v>
      </c>
      <c r="H46" s="13">
        <v>1</v>
      </c>
      <c r="I46" s="19">
        <f t="shared" si="4"/>
        <v>242</v>
      </c>
      <c r="J46" s="217" t="s">
        <v>596</v>
      </c>
      <c r="K46" s="13">
        <v>68456</v>
      </c>
    </row>
    <row r="47" spans="1:11" ht="13.5" customHeight="1" x14ac:dyDescent="0.2">
      <c r="A47" s="2" t="s">
        <v>25</v>
      </c>
      <c r="B47" s="76">
        <v>45574</v>
      </c>
      <c r="C47" s="219">
        <v>15949</v>
      </c>
      <c r="D47" s="20">
        <v>45658</v>
      </c>
      <c r="E47" s="20">
        <v>45687</v>
      </c>
      <c r="F47" s="11">
        <f t="shared" si="3"/>
        <v>30</v>
      </c>
      <c r="G47" s="12">
        <v>242</v>
      </c>
      <c r="H47" s="13">
        <v>1</v>
      </c>
      <c r="I47" s="19">
        <f t="shared" si="4"/>
        <v>242</v>
      </c>
      <c r="J47" s="217" t="s">
        <v>597</v>
      </c>
      <c r="K47" s="13">
        <v>68456</v>
      </c>
    </row>
    <row r="48" spans="1:11" ht="13.5" customHeight="1" x14ac:dyDescent="0.2">
      <c r="A48" s="2" t="s">
        <v>25</v>
      </c>
      <c r="B48" s="76">
        <v>45574</v>
      </c>
      <c r="C48" s="219">
        <v>15947</v>
      </c>
      <c r="D48" s="20">
        <v>45658</v>
      </c>
      <c r="E48" s="20">
        <v>45687</v>
      </c>
      <c r="F48" s="11">
        <f t="shared" si="3"/>
        <v>30</v>
      </c>
      <c r="G48" s="12">
        <v>242</v>
      </c>
      <c r="H48" s="13">
        <v>1</v>
      </c>
      <c r="I48" s="19">
        <f t="shared" si="4"/>
        <v>242</v>
      </c>
      <c r="J48" s="217" t="s">
        <v>598</v>
      </c>
      <c r="K48" s="13">
        <v>68456</v>
      </c>
    </row>
    <row r="49" spans="1:11" ht="13.5" customHeight="1" x14ac:dyDescent="0.2">
      <c r="A49" s="2" t="s">
        <v>25</v>
      </c>
      <c r="B49" s="76">
        <v>45574</v>
      </c>
      <c r="C49" s="219">
        <v>15950</v>
      </c>
      <c r="D49" s="20">
        <v>45658</v>
      </c>
      <c r="E49" s="20">
        <v>45687</v>
      </c>
      <c r="F49" s="11">
        <f t="shared" si="3"/>
        <v>30</v>
      </c>
      <c r="G49" s="12">
        <v>242</v>
      </c>
      <c r="H49" s="13">
        <v>1</v>
      </c>
      <c r="I49" s="19">
        <f t="shared" si="4"/>
        <v>242</v>
      </c>
      <c r="J49" s="217" t="s">
        <v>599</v>
      </c>
      <c r="K49" s="13">
        <v>68463</v>
      </c>
    </row>
    <row r="50" spans="1:11" ht="13.5" customHeight="1" x14ac:dyDescent="0.2">
      <c r="A50" s="2" t="s">
        <v>25</v>
      </c>
      <c r="B50" s="76">
        <v>45574</v>
      </c>
      <c r="C50" s="219">
        <v>15951</v>
      </c>
      <c r="D50" s="20">
        <v>45658</v>
      </c>
      <c r="E50" s="20">
        <v>45687</v>
      </c>
      <c r="F50" s="11">
        <f t="shared" si="3"/>
        <v>30</v>
      </c>
      <c r="G50" s="12">
        <v>242</v>
      </c>
      <c r="H50" s="13">
        <v>1</v>
      </c>
      <c r="I50" s="19">
        <f t="shared" si="4"/>
        <v>242</v>
      </c>
      <c r="J50" s="217" t="s">
        <v>599</v>
      </c>
      <c r="K50" s="13">
        <v>68463</v>
      </c>
    </row>
    <row r="51" spans="1:11" ht="13.5" customHeight="1" x14ac:dyDescent="0.2">
      <c r="A51" s="2" t="s">
        <v>25</v>
      </c>
      <c r="B51" s="76">
        <v>45574</v>
      </c>
      <c r="C51" s="219">
        <v>15952</v>
      </c>
      <c r="D51" s="20">
        <v>45658</v>
      </c>
      <c r="E51" s="20">
        <v>45687</v>
      </c>
      <c r="F51" s="11">
        <f t="shared" si="3"/>
        <v>30</v>
      </c>
      <c r="G51" s="12">
        <v>242</v>
      </c>
      <c r="H51" s="13">
        <v>1</v>
      </c>
      <c r="I51" s="19">
        <f t="shared" si="4"/>
        <v>242</v>
      </c>
      <c r="J51" s="217" t="s">
        <v>599</v>
      </c>
      <c r="K51" s="13">
        <v>68463</v>
      </c>
    </row>
    <row r="52" spans="1:11" ht="13.5" customHeight="1" x14ac:dyDescent="0.2">
      <c r="A52" s="2" t="s">
        <v>25</v>
      </c>
      <c r="B52" s="76">
        <v>45574</v>
      </c>
      <c r="C52" s="219">
        <v>16016</v>
      </c>
      <c r="D52" s="20">
        <v>45658</v>
      </c>
      <c r="E52" s="20">
        <v>45687</v>
      </c>
      <c r="F52" s="11">
        <f t="shared" si="3"/>
        <v>30</v>
      </c>
      <c r="G52" s="12">
        <v>242</v>
      </c>
      <c r="H52" s="13">
        <v>1</v>
      </c>
      <c r="I52" s="19">
        <f t="shared" si="4"/>
        <v>242</v>
      </c>
      <c r="J52" s="217" t="s">
        <v>600</v>
      </c>
      <c r="K52" s="13">
        <v>68463</v>
      </c>
    </row>
    <row r="53" spans="1:11" ht="13.5" customHeight="1" x14ac:dyDescent="0.2">
      <c r="A53" s="2" t="s">
        <v>25</v>
      </c>
      <c r="B53" s="76">
        <v>45574</v>
      </c>
      <c r="C53" s="219">
        <v>16017</v>
      </c>
      <c r="D53" s="20">
        <v>45658</v>
      </c>
      <c r="E53" s="20">
        <v>45687</v>
      </c>
      <c r="F53" s="11">
        <f t="shared" si="3"/>
        <v>30</v>
      </c>
      <c r="G53" s="12">
        <v>242</v>
      </c>
      <c r="H53" s="13">
        <v>1</v>
      </c>
      <c r="I53" s="19">
        <f t="shared" si="4"/>
        <v>242</v>
      </c>
      <c r="J53" s="217" t="s">
        <v>601</v>
      </c>
      <c r="K53" s="13">
        <v>68463</v>
      </c>
    </row>
    <row r="54" spans="1:11" ht="13.5" customHeight="1" x14ac:dyDescent="0.2">
      <c r="A54" s="2" t="s">
        <v>25</v>
      </c>
      <c r="B54" s="76">
        <v>45574</v>
      </c>
      <c r="C54" s="219">
        <v>16018</v>
      </c>
      <c r="D54" s="20">
        <v>45658</v>
      </c>
      <c r="E54" s="20">
        <v>45687</v>
      </c>
      <c r="F54" s="11">
        <f t="shared" si="3"/>
        <v>30</v>
      </c>
      <c r="G54" s="12">
        <v>242</v>
      </c>
      <c r="H54" s="13">
        <v>1</v>
      </c>
      <c r="I54" s="19">
        <f t="shared" si="4"/>
        <v>242</v>
      </c>
      <c r="J54" s="217" t="s">
        <v>602</v>
      </c>
      <c r="K54" s="13">
        <v>68463</v>
      </c>
    </row>
    <row r="55" spans="1:11" ht="13.5" customHeight="1" x14ac:dyDescent="0.2">
      <c r="A55" s="2" t="s">
        <v>25</v>
      </c>
      <c r="B55" s="76">
        <v>45574</v>
      </c>
      <c r="C55" s="219">
        <v>16019</v>
      </c>
      <c r="D55" s="20">
        <v>45658</v>
      </c>
      <c r="E55" s="20">
        <v>45687</v>
      </c>
      <c r="F55" s="11">
        <f t="shared" si="3"/>
        <v>30</v>
      </c>
      <c r="G55" s="12">
        <v>242</v>
      </c>
      <c r="H55" s="13">
        <v>1</v>
      </c>
      <c r="I55" s="19">
        <f t="shared" si="4"/>
        <v>242</v>
      </c>
      <c r="J55" s="217" t="s">
        <v>603</v>
      </c>
      <c r="K55" s="13">
        <v>68469</v>
      </c>
    </row>
    <row r="56" spans="1:11" ht="13.5" customHeight="1" x14ac:dyDescent="0.2">
      <c r="A56" s="2" t="s">
        <v>25</v>
      </c>
      <c r="B56" s="76">
        <v>45574</v>
      </c>
      <c r="C56" s="219">
        <v>16020</v>
      </c>
      <c r="D56" s="20">
        <v>45658</v>
      </c>
      <c r="E56" s="20">
        <v>45687</v>
      </c>
      <c r="F56" s="11">
        <f t="shared" si="3"/>
        <v>30</v>
      </c>
      <c r="G56" s="12">
        <v>242</v>
      </c>
      <c r="H56" s="13">
        <v>1</v>
      </c>
      <c r="I56" s="19">
        <f t="shared" si="4"/>
        <v>242</v>
      </c>
      <c r="J56" s="217" t="s">
        <v>603</v>
      </c>
      <c r="K56" s="13">
        <v>68469</v>
      </c>
    </row>
    <row r="57" spans="1:11" ht="13.5" customHeight="1" x14ac:dyDescent="0.2">
      <c r="A57" s="2" t="s">
        <v>25</v>
      </c>
      <c r="B57" s="76">
        <v>45574</v>
      </c>
      <c r="C57" s="219">
        <v>16013</v>
      </c>
      <c r="D57" s="20">
        <v>45658</v>
      </c>
      <c r="E57" s="20">
        <v>45687</v>
      </c>
      <c r="F57" s="11">
        <f t="shared" si="3"/>
        <v>30</v>
      </c>
      <c r="G57" s="12">
        <v>242</v>
      </c>
      <c r="H57" s="13">
        <v>1</v>
      </c>
      <c r="I57" s="19">
        <f t="shared" si="4"/>
        <v>242</v>
      </c>
      <c r="J57" s="217" t="s">
        <v>604</v>
      </c>
      <c r="K57" s="13">
        <v>68453</v>
      </c>
    </row>
    <row r="58" spans="1:11" ht="13.5" customHeight="1" x14ac:dyDescent="0.2">
      <c r="A58" s="2" t="s">
        <v>25</v>
      </c>
      <c r="B58" s="76">
        <v>45574</v>
      </c>
      <c r="C58" s="219">
        <v>16014</v>
      </c>
      <c r="D58" s="20">
        <v>45658</v>
      </c>
      <c r="E58" s="20">
        <v>45687</v>
      </c>
      <c r="F58" s="11">
        <f t="shared" si="3"/>
        <v>30</v>
      </c>
      <c r="G58" s="12">
        <v>242</v>
      </c>
      <c r="H58" s="13">
        <v>1</v>
      </c>
      <c r="I58" s="19">
        <f t="shared" si="4"/>
        <v>242</v>
      </c>
      <c r="J58" s="217" t="s">
        <v>605</v>
      </c>
      <c r="K58" s="13">
        <v>68453</v>
      </c>
    </row>
    <row r="59" spans="1:11" ht="13.5" customHeight="1" x14ac:dyDescent="0.2">
      <c r="A59" s="2" t="s">
        <v>25</v>
      </c>
      <c r="B59" s="76">
        <v>45574</v>
      </c>
      <c r="C59" s="219">
        <v>16015</v>
      </c>
      <c r="D59" s="20">
        <v>45658</v>
      </c>
      <c r="E59" s="20">
        <v>45687</v>
      </c>
      <c r="F59" s="11">
        <f t="shared" si="3"/>
        <v>30</v>
      </c>
      <c r="G59" s="12">
        <v>242</v>
      </c>
      <c r="H59" s="13">
        <v>1</v>
      </c>
      <c r="I59" s="19">
        <f t="shared" si="4"/>
        <v>242</v>
      </c>
      <c r="J59" s="217" t="s">
        <v>606</v>
      </c>
      <c r="K59" s="13">
        <v>68453</v>
      </c>
    </row>
    <row r="60" spans="1:11" ht="13.5" customHeight="1" x14ac:dyDescent="0.2">
      <c r="A60" s="2" t="s">
        <v>27</v>
      </c>
      <c r="B60" s="76">
        <v>45575</v>
      </c>
      <c r="C60" s="219">
        <v>215981</v>
      </c>
      <c r="D60" s="20">
        <v>45658</v>
      </c>
      <c r="E60" s="20">
        <v>45687</v>
      </c>
      <c r="F60" s="11">
        <f t="shared" si="3"/>
        <v>30</v>
      </c>
      <c r="G60" s="12">
        <v>347</v>
      </c>
      <c r="H60" s="13">
        <v>1</v>
      </c>
      <c r="I60" s="19">
        <f t="shared" si="4"/>
        <v>347</v>
      </c>
      <c r="J60" s="32" t="s">
        <v>306</v>
      </c>
      <c r="K60" s="13">
        <v>68472</v>
      </c>
    </row>
    <row r="61" spans="1:11" ht="13.5" customHeight="1" x14ac:dyDescent="0.2">
      <c r="A61" s="2" t="s">
        <v>27</v>
      </c>
      <c r="B61" s="76">
        <v>45575</v>
      </c>
      <c r="C61" s="219">
        <v>215982</v>
      </c>
      <c r="D61" s="20">
        <v>45658</v>
      </c>
      <c r="E61" s="20">
        <v>45687</v>
      </c>
      <c r="F61" s="11">
        <f t="shared" si="3"/>
        <v>30</v>
      </c>
      <c r="G61" s="12">
        <v>347</v>
      </c>
      <c r="H61" s="13">
        <v>1</v>
      </c>
      <c r="I61" s="19">
        <f t="shared" si="4"/>
        <v>347</v>
      </c>
      <c r="J61" s="32" t="s">
        <v>307</v>
      </c>
      <c r="K61" s="13">
        <v>68472</v>
      </c>
    </row>
    <row r="62" spans="1:11" ht="13.5" customHeight="1" x14ac:dyDescent="0.2">
      <c r="A62" s="2" t="s">
        <v>27</v>
      </c>
      <c r="B62" s="76">
        <v>45575</v>
      </c>
      <c r="C62" s="219">
        <v>215983</v>
      </c>
      <c r="D62" s="20">
        <v>45658</v>
      </c>
      <c r="E62" s="20">
        <v>45687</v>
      </c>
      <c r="F62" s="11">
        <f t="shared" si="3"/>
        <v>30</v>
      </c>
      <c r="G62" s="12">
        <v>347</v>
      </c>
      <c r="H62" s="13">
        <v>1</v>
      </c>
      <c r="I62" s="19">
        <f t="shared" si="4"/>
        <v>347</v>
      </c>
      <c r="J62" s="32" t="s">
        <v>308</v>
      </c>
      <c r="K62" s="13">
        <v>68472</v>
      </c>
    </row>
    <row r="63" spans="1:11" ht="13.5" customHeight="1" x14ac:dyDescent="0.2">
      <c r="A63" s="2" t="s">
        <v>27</v>
      </c>
      <c r="B63" s="76">
        <v>45575</v>
      </c>
      <c r="C63" s="219">
        <v>215980</v>
      </c>
      <c r="D63" s="20">
        <v>45658</v>
      </c>
      <c r="E63" s="20">
        <v>45687</v>
      </c>
      <c r="F63" s="11">
        <f t="shared" si="3"/>
        <v>30</v>
      </c>
      <c r="G63" s="12">
        <v>347</v>
      </c>
      <c r="H63" s="13">
        <v>1</v>
      </c>
      <c r="I63" s="19">
        <f t="shared" si="4"/>
        <v>347</v>
      </c>
      <c r="J63" s="32" t="s">
        <v>309</v>
      </c>
      <c r="K63" s="13">
        <v>68475</v>
      </c>
    </row>
    <row r="64" spans="1:11" ht="13.5" customHeight="1" x14ac:dyDescent="0.2">
      <c r="A64" s="2" t="s">
        <v>27</v>
      </c>
      <c r="B64" s="76">
        <v>45575</v>
      </c>
      <c r="C64" s="219">
        <v>215977</v>
      </c>
      <c r="D64" s="20">
        <v>45658</v>
      </c>
      <c r="E64" s="20">
        <v>45687</v>
      </c>
      <c r="F64" s="11">
        <f t="shared" si="3"/>
        <v>30</v>
      </c>
      <c r="G64" s="12">
        <v>347</v>
      </c>
      <c r="H64" s="13">
        <v>1</v>
      </c>
      <c r="I64" s="19">
        <f t="shared" si="4"/>
        <v>347</v>
      </c>
      <c r="J64" s="217" t="s">
        <v>310</v>
      </c>
      <c r="K64" s="13">
        <v>68475</v>
      </c>
    </row>
    <row r="65" spans="1:11" ht="13.5" customHeight="1" x14ac:dyDescent="0.2">
      <c r="A65" s="2" t="s">
        <v>27</v>
      </c>
      <c r="B65" s="76">
        <v>45575</v>
      </c>
      <c r="C65" s="219">
        <v>215976</v>
      </c>
      <c r="D65" s="20">
        <v>45658</v>
      </c>
      <c r="E65" s="20">
        <v>45687</v>
      </c>
      <c r="F65" s="11">
        <f t="shared" si="3"/>
        <v>30</v>
      </c>
      <c r="G65" s="12">
        <v>347</v>
      </c>
      <c r="H65" s="13">
        <v>1</v>
      </c>
      <c r="I65" s="19">
        <f t="shared" si="4"/>
        <v>347</v>
      </c>
      <c r="J65" s="217" t="s">
        <v>311</v>
      </c>
      <c r="K65" s="13">
        <v>68475</v>
      </c>
    </row>
    <row r="66" spans="1:11" ht="13.5" customHeight="1" x14ac:dyDescent="0.2">
      <c r="A66" s="2" t="s">
        <v>27</v>
      </c>
      <c r="B66" s="76">
        <v>45575</v>
      </c>
      <c r="C66" s="219">
        <v>215978</v>
      </c>
      <c r="D66" s="20">
        <v>45658</v>
      </c>
      <c r="E66" s="20">
        <v>45687</v>
      </c>
      <c r="F66" s="11">
        <f t="shared" si="3"/>
        <v>30</v>
      </c>
      <c r="G66" s="12">
        <v>347</v>
      </c>
      <c r="H66" s="13">
        <v>1</v>
      </c>
      <c r="I66" s="19">
        <f t="shared" si="4"/>
        <v>347</v>
      </c>
      <c r="J66" s="217" t="s">
        <v>312</v>
      </c>
      <c r="K66" s="13">
        <v>68475</v>
      </c>
    </row>
    <row r="67" spans="1:11" ht="13.5" customHeight="1" x14ac:dyDescent="0.2">
      <c r="A67" s="2" t="s">
        <v>34</v>
      </c>
      <c r="B67" s="76">
        <v>45574</v>
      </c>
      <c r="C67" s="219">
        <v>16000</v>
      </c>
      <c r="D67" s="20">
        <v>45658</v>
      </c>
      <c r="E67" s="20">
        <v>45687</v>
      </c>
      <c r="F67" s="11">
        <f t="shared" si="3"/>
        <v>30</v>
      </c>
      <c r="G67" s="12">
        <v>597</v>
      </c>
      <c r="H67" s="13">
        <v>1</v>
      </c>
      <c r="I67" s="19">
        <f t="shared" si="4"/>
        <v>597</v>
      </c>
      <c r="J67" s="217" t="s">
        <v>313</v>
      </c>
      <c r="K67" s="13">
        <v>68515</v>
      </c>
    </row>
    <row r="68" spans="1:11" ht="13.5" customHeight="1" x14ac:dyDescent="0.2">
      <c r="A68" s="2" t="s">
        <v>34</v>
      </c>
      <c r="B68" s="76">
        <v>45574</v>
      </c>
      <c r="C68" s="219">
        <v>15995</v>
      </c>
      <c r="D68" s="20">
        <v>45658</v>
      </c>
      <c r="E68" s="20">
        <v>45687</v>
      </c>
      <c r="F68" s="11">
        <f t="shared" si="3"/>
        <v>30</v>
      </c>
      <c r="G68" s="12">
        <v>597</v>
      </c>
      <c r="H68" s="13">
        <v>1</v>
      </c>
      <c r="I68" s="19">
        <f t="shared" si="4"/>
        <v>597</v>
      </c>
      <c r="J68" s="217" t="s">
        <v>607</v>
      </c>
      <c r="K68" s="13">
        <v>68515</v>
      </c>
    </row>
    <row r="69" spans="1:11" ht="13.5" customHeight="1" x14ac:dyDescent="0.2">
      <c r="A69" s="2" t="s">
        <v>34</v>
      </c>
      <c r="B69" s="76">
        <v>45574</v>
      </c>
      <c r="C69" s="219">
        <v>15994</v>
      </c>
      <c r="D69" s="20">
        <v>45658</v>
      </c>
      <c r="E69" s="20">
        <v>45687</v>
      </c>
      <c r="F69" s="11">
        <f t="shared" si="3"/>
        <v>30</v>
      </c>
      <c r="G69" s="12">
        <v>597</v>
      </c>
      <c r="H69" s="13">
        <v>1</v>
      </c>
      <c r="I69" s="19">
        <f t="shared" si="4"/>
        <v>597</v>
      </c>
      <c r="J69" s="217" t="s">
        <v>608</v>
      </c>
      <c r="K69" s="13">
        <v>68515</v>
      </c>
    </row>
    <row r="70" spans="1:11" ht="13.5" customHeight="1" x14ac:dyDescent="0.2">
      <c r="A70" s="2" t="s">
        <v>34</v>
      </c>
      <c r="B70" s="76">
        <v>45574</v>
      </c>
      <c r="C70" s="219">
        <v>15997</v>
      </c>
      <c r="D70" s="20">
        <v>45658</v>
      </c>
      <c r="E70" s="20">
        <v>45687</v>
      </c>
      <c r="F70" s="11">
        <f t="shared" si="3"/>
        <v>30</v>
      </c>
      <c r="G70" s="12">
        <v>597</v>
      </c>
      <c r="H70" s="13">
        <v>1</v>
      </c>
      <c r="I70" s="19">
        <f t="shared" si="4"/>
        <v>597</v>
      </c>
      <c r="J70" s="217" t="s">
        <v>609</v>
      </c>
      <c r="K70" s="13">
        <v>68517</v>
      </c>
    </row>
    <row r="71" spans="1:11" ht="13.5" customHeight="1" x14ac:dyDescent="0.2">
      <c r="A71" s="2" t="s">
        <v>34</v>
      </c>
      <c r="B71" s="76">
        <v>45574</v>
      </c>
      <c r="C71" s="219">
        <v>15998</v>
      </c>
      <c r="D71" s="20">
        <v>45658</v>
      </c>
      <c r="E71" s="20">
        <v>45687</v>
      </c>
      <c r="F71" s="11">
        <f t="shared" si="3"/>
        <v>30</v>
      </c>
      <c r="G71" s="12">
        <v>597</v>
      </c>
      <c r="H71" s="13">
        <v>1</v>
      </c>
      <c r="I71" s="19">
        <f t="shared" si="4"/>
        <v>597</v>
      </c>
      <c r="J71" s="217" t="s">
        <v>610</v>
      </c>
      <c r="K71" s="13">
        <v>68517</v>
      </c>
    </row>
    <row r="72" spans="1:11" ht="13.5" customHeight="1" x14ac:dyDescent="0.2">
      <c r="A72" s="2" t="s">
        <v>34</v>
      </c>
      <c r="B72" s="76">
        <v>45574</v>
      </c>
      <c r="C72" s="219">
        <v>15996</v>
      </c>
      <c r="D72" s="20">
        <v>45658</v>
      </c>
      <c r="E72" s="20">
        <v>45687</v>
      </c>
      <c r="F72" s="11">
        <f t="shared" si="3"/>
        <v>30</v>
      </c>
      <c r="G72" s="12">
        <v>597</v>
      </c>
      <c r="H72" s="13">
        <v>1</v>
      </c>
      <c r="I72" s="19">
        <f t="shared" si="4"/>
        <v>597</v>
      </c>
      <c r="J72" s="217" t="s">
        <v>611</v>
      </c>
      <c r="K72" s="13">
        <v>68517</v>
      </c>
    </row>
    <row r="73" spans="1:11" ht="13.5" customHeight="1" x14ac:dyDescent="0.2">
      <c r="A73" s="2"/>
      <c r="B73" s="76"/>
      <c r="C73" s="55"/>
      <c r="D73" s="20"/>
      <c r="E73" s="20"/>
      <c r="F73" s="11"/>
      <c r="G73" s="12"/>
      <c r="H73" s="13"/>
      <c r="I73" s="19">
        <f t="shared" si="4"/>
        <v>0</v>
      </c>
      <c r="J73" s="32"/>
      <c r="K73" s="13"/>
    </row>
    <row r="74" spans="1:11" ht="13.5" customHeight="1" x14ac:dyDescent="0.25">
      <c r="A74" s="21" t="s">
        <v>190</v>
      </c>
      <c r="B74" s="26"/>
      <c r="C74" s="137"/>
      <c r="D74" s="23"/>
      <c r="E74" s="23"/>
      <c r="F74" s="24"/>
      <c r="G74" s="23"/>
      <c r="H74" s="22">
        <f>SUM(H15:H73)</f>
        <v>58</v>
      </c>
      <c r="I74" s="112">
        <f>SUM(I15:I73)</f>
        <v>17681</v>
      </c>
      <c r="J74" s="33"/>
      <c r="K74" s="116"/>
    </row>
    <row r="75" spans="1:11" ht="13.5" customHeight="1" x14ac:dyDescent="0.25">
      <c r="D75" s="8"/>
      <c r="E75" s="8"/>
      <c r="F75" s="9"/>
      <c r="G75" s="10"/>
      <c r="I75" s="10"/>
      <c r="J75" s="4"/>
    </row>
    <row r="76" spans="1:11" ht="13.5" customHeight="1" x14ac:dyDescent="0.25">
      <c r="D76" s="8"/>
      <c r="E76" s="8"/>
      <c r="F76" s="9"/>
      <c r="G76" s="10"/>
      <c r="H76" s="50">
        <f>H74</f>
        <v>58</v>
      </c>
      <c r="I76" s="25">
        <f>I74</f>
        <v>17681</v>
      </c>
      <c r="J76" s="16"/>
    </row>
    <row r="77" spans="1:11" ht="13.5" customHeight="1" x14ac:dyDescent="0.25">
      <c r="D77" s="8"/>
      <c r="E77" s="8"/>
      <c r="F77" s="9"/>
      <c r="G77" s="10"/>
      <c r="I77" s="10"/>
      <c r="J77" s="16"/>
    </row>
    <row r="78" spans="1:11" ht="13.5" customHeight="1" x14ac:dyDescent="0.25">
      <c r="D78" s="8"/>
      <c r="E78" s="8"/>
      <c r="F78" s="9"/>
      <c r="G78" s="10"/>
      <c r="I78" s="10"/>
      <c r="J78" s="17"/>
    </row>
    <row r="79" spans="1:11" ht="13.5" customHeight="1" x14ac:dyDescent="0.25">
      <c r="A79" s="289" t="s">
        <v>124</v>
      </c>
      <c r="B79" s="289"/>
      <c r="C79" s="289"/>
      <c r="D79" s="289"/>
      <c r="E79" s="289"/>
      <c r="F79" s="289"/>
      <c r="G79" s="289"/>
      <c r="H79" s="289"/>
      <c r="I79" s="289"/>
      <c r="J79" s="7"/>
    </row>
    <row r="80" spans="1:11" ht="13.5" customHeight="1" x14ac:dyDescent="0.25">
      <c r="J80" s="7"/>
    </row>
    <row r="81" spans="1:10" ht="13.5" customHeight="1" x14ac:dyDescent="0.2">
      <c r="A81" s="27" t="s">
        <v>125</v>
      </c>
      <c r="B81" s="7"/>
      <c r="F81" s="71"/>
      <c r="G81" s="10"/>
      <c r="I81" s="72"/>
      <c r="J81" s="7"/>
    </row>
    <row r="82" spans="1:10" ht="60" customHeight="1" x14ac:dyDescent="0.25">
      <c r="A82" s="291"/>
      <c r="B82" s="275"/>
      <c r="C82" s="292"/>
      <c r="D82" s="290"/>
      <c r="E82" s="290"/>
      <c r="F82" s="290"/>
      <c r="G82" s="290"/>
      <c r="H82" s="290"/>
      <c r="I82" s="290"/>
      <c r="J82" s="7"/>
    </row>
    <row r="83" spans="1:10" ht="13.5" customHeight="1" x14ac:dyDescent="0.25">
      <c r="A83" s="274" t="s">
        <v>126</v>
      </c>
      <c r="B83" s="274"/>
      <c r="C83" s="274"/>
      <c r="D83" s="274" t="s">
        <v>127</v>
      </c>
      <c r="E83" s="274"/>
      <c r="F83" s="274"/>
      <c r="G83" s="274"/>
      <c r="H83" s="274"/>
      <c r="I83" s="274"/>
      <c r="J83" s="7"/>
    </row>
    <row r="84" spans="1:10" ht="13.5" customHeight="1" x14ac:dyDescent="0.25">
      <c r="D84" s="8"/>
      <c r="E84" s="8"/>
      <c r="F84" s="9"/>
      <c r="G84" s="10"/>
      <c r="I84" s="10"/>
      <c r="J84" s="7"/>
    </row>
    <row r="85" spans="1:10" ht="13.5" customHeight="1" x14ac:dyDescent="0.25">
      <c r="D85" s="8"/>
      <c r="E85" s="8"/>
      <c r="F85" s="9"/>
      <c r="G85" s="10"/>
      <c r="I85" s="10"/>
      <c r="J85" s="7"/>
    </row>
    <row r="86" spans="1:10" ht="13.5" customHeight="1" x14ac:dyDescent="0.25">
      <c r="D86" s="8"/>
      <c r="E86" s="8"/>
      <c r="F86" s="9"/>
      <c r="G86" s="10"/>
      <c r="I86" s="10"/>
      <c r="J86" s="7"/>
    </row>
    <row r="87" spans="1:10" ht="13.5" customHeight="1" x14ac:dyDescent="0.2">
      <c r="A87" s="266" t="s">
        <v>29</v>
      </c>
      <c r="B87" s="266"/>
      <c r="C87" s="266"/>
      <c r="D87" s="266"/>
      <c r="E87" s="266"/>
      <c r="F87" s="266"/>
      <c r="G87" s="51"/>
      <c r="I87" s="10"/>
      <c r="J87" s="16"/>
    </row>
    <row r="88" spans="1:10" ht="13.5" customHeight="1" x14ac:dyDescent="0.2">
      <c r="A88" s="267" t="s">
        <v>45</v>
      </c>
      <c r="B88" s="267"/>
      <c r="C88" s="267"/>
      <c r="D88" s="267"/>
      <c r="E88" s="283" t="s">
        <v>5</v>
      </c>
      <c r="F88" s="282" t="s">
        <v>6</v>
      </c>
      <c r="G88" s="52"/>
      <c r="I88" s="10"/>
      <c r="J88" s="16"/>
    </row>
    <row r="89" spans="1:10" ht="13.5" customHeight="1" x14ac:dyDescent="0.2">
      <c r="A89" s="34" t="s">
        <v>0</v>
      </c>
      <c r="B89" s="34" t="s">
        <v>3</v>
      </c>
      <c r="C89" s="34" t="s">
        <v>2</v>
      </c>
      <c r="D89" s="34" t="s">
        <v>4</v>
      </c>
      <c r="E89" s="284"/>
      <c r="F89" s="282"/>
      <c r="G89" s="53"/>
    </row>
    <row r="90" spans="1:10" ht="13.5" customHeight="1" x14ac:dyDescent="0.2">
      <c r="A90" s="2" t="s">
        <v>18</v>
      </c>
      <c r="B90" s="39"/>
      <c r="C90" s="35">
        <v>37</v>
      </c>
      <c r="D90" s="35">
        <v>0</v>
      </c>
      <c r="E90" s="13">
        <f>COUNTIFS($A$12:$A$78,"Cond Ar Janela 7.500 BTU/h")</f>
        <v>0</v>
      </c>
      <c r="F90" s="40">
        <f>B90-E90</f>
        <v>0</v>
      </c>
      <c r="G90" s="1"/>
    </row>
    <row r="91" spans="1:10" ht="13.5" customHeight="1" x14ac:dyDescent="0.2">
      <c r="A91" s="2" t="s">
        <v>19</v>
      </c>
      <c r="B91" s="39"/>
      <c r="C91" s="3">
        <v>210</v>
      </c>
      <c r="D91" s="3">
        <f t="shared" ref="D91:D100" si="5">B91*C91</f>
        <v>0</v>
      </c>
      <c r="E91" s="13">
        <f>COUNTIFS($A$12:$A$78,"Cond Ar Janela 10.000 BTU/h")</f>
        <v>0</v>
      </c>
      <c r="F91" s="40">
        <f t="shared" ref="F91:F112" si="6">B91-E91</f>
        <v>0</v>
      </c>
      <c r="G91" s="1"/>
    </row>
    <row r="92" spans="1:10" ht="13.5" customHeight="1" x14ac:dyDescent="0.2">
      <c r="A92" s="2" t="s">
        <v>20</v>
      </c>
      <c r="B92" s="39"/>
      <c r="C92" s="3">
        <v>208</v>
      </c>
      <c r="D92" s="3">
        <f t="shared" si="5"/>
        <v>0</v>
      </c>
      <c r="E92" s="13">
        <f>COUNTIFS($A$12:$A$78,"Cond Ar Janela 18.000 BTU/h")</f>
        <v>0</v>
      </c>
      <c r="F92" s="40">
        <f t="shared" si="6"/>
        <v>0</v>
      </c>
      <c r="G92" s="1"/>
    </row>
    <row r="93" spans="1:10" ht="13.5" customHeight="1" x14ac:dyDescent="0.2">
      <c r="A93" s="2" t="s">
        <v>21</v>
      </c>
      <c r="B93" s="39"/>
      <c r="C93" s="3">
        <v>57</v>
      </c>
      <c r="D93" s="3">
        <f t="shared" si="5"/>
        <v>0</v>
      </c>
      <c r="E93" s="13">
        <f>COUNTIFS($A$12:$A$78,"Cond Ar Janela 21.000 BTU/h")</f>
        <v>0</v>
      </c>
      <c r="F93" s="40">
        <f t="shared" si="6"/>
        <v>0</v>
      </c>
      <c r="G93" s="1"/>
    </row>
    <row r="94" spans="1:10" ht="13.5" customHeight="1" x14ac:dyDescent="0.2">
      <c r="A94" s="2" t="s">
        <v>22</v>
      </c>
      <c r="B94" s="183">
        <v>2</v>
      </c>
      <c r="C94" s="3">
        <v>147</v>
      </c>
      <c r="D94" s="3">
        <f t="shared" si="5"/>
        <v>294</v>
      </c>
      <c r="E94" s="13">
        <f>COUNTIFS($A$12:$A$78,"Cond Ar Split 9.000 BTU/h Hi Wall")</f>
        <v>2</v>
      </c>
      <c r="F94" s="40">
        <f t="shared" si="6"/>
        <v>0</v>
      </c>
      <c r="G94" s="1"/>
    </row>
    <row r="95" spans="1:10" ht="13.5" customHeight="1" x14ac:dyDescent="0.2">
      <c r="A95" s="2" t="s">
        <v>23</v>
      </c>
      <c r="B95" s="183">
        <f>4+5</f>
        <v>9</v>
      </c>
      <c r="C95" s="3">
        <v>235</v>
      </c>
      <c r="D95" s="3">
        <f t="shared" si="5"/>
        <v>2115</v>
      </c>
      <c r="E95" s="13">
        <f>COUNTIFS($A$12:$A$78,"Cond Ar Split 12.000 BTU/h Hi Wall")</f>
        <v>9</v>
      </c>
      <c r="F95" s="40">
        <f t="shared" si="6"/>
        <v>0</v>
      </c>
      <c r="G95" s="1"/>
    </row>
    <row r="96" spans="1:10" ht="13.5" customHeight="1" x14ac:dyDescent="0.2">
      <c r="A96" s="2" t="s">
        <v>24</v>
      </c>
      <c r="B96" s="206">
        <f>17-9</f>
        <v>8</v>
      </c>
      <c r="C96" s="3">
        <v>238</v>
      </c>
      <c r="D96" s="3">
        <f t="shared" si="5"/>
        <v>1904</v>
      </c>
      <c r="E96" s="13">
        <f>COUNTIFS($A$12:$A$78,"Cond Ar Split 18.000 BTU/h Hi Wall")</f>
        <v>8</v>
      </c>
      <c r="F96" s="40">
        <f t="shared" si="6"/>
        <v>0</v>
      </c>
      <c r="G96" s="1"/>
    </row>
    <row r="97" spans="1:9" ht="13.5" customHeight="1" x14ac:dyDescent="0.2">
      <c r="A97" s="2" t="s">
        <v>25</v>
      </c>
      <c r="B97" s="183">
        <v>23</v>
      </c>
      <c r="C97" s="3">
        <v>242</v>
      </c>
      <c r="D97" s="3">
        <f t="shared" si="5"/>
        <v>5566</v>
      </c>
      <c r="E97" s="13">
        <f>COUNTIFS($A$12:$A$78,"Cond Ar Split 22.000 BTU/h Hi Wall")</f>
        <v>23</v>
      </c>
      <c r="F97" s="40">
        <f t="shared" si="6"/>
        <v>0</v>
      </c>
      <c r="G97" s="1"/>
    </row>
    <row r="98" spans="1:9" ht="13.5" customHeight="1" x14ac:dyDescent="0.2">
      <c r="A98" s="2" t="s">
        <v>26</v>
      </c>
      <c r="B98" s="39"/>
      <c r="C98" s="3">
        <v>260</v>
      </c>
      <c r="D98" s="3">
        <f t="shared" si="5"/>
        <v>0</v>
      </c>
      <c r="E98" s="13">
        <f>COUNTIFS($A$12:$A$78,"Cond Ar Split 24.000 BTU/h Hi Wall")</f>
        <v>0</v>
      </c>
      <c r="F98" s="40">
        <f t="shared" si="6"/>
        <v>0</v>
      </c>
      <c r="G98" s="1"/>
    </row>
    <row r="99" spans="1:9" ht="13.5" customHeight="1" x14ac:dyDescent="0.2">
      <c r="A99" s="2" t="s">
        <v>27</v>
      </c>
      <c r="B99" s="183">
        <v>7</v>
      </c>
      <c r="C99" s="3">
        <v>347</v>
      </c>
      <c r="D99" s="3">
        <f t="shared" si="5"/>
        <v>2429</v>
      </c>
      <c r="E99" s="13">
        <f>COUNTIFS($A$12:$A$78,"Cond Ar Split 30.000 BTU/h Hi Wall")</f>
        <v>7</v>
      </c>
      <c r="F99" s="40">
        <f t="shared" si="6"/>
        <v>0</v>
      </c>
      <c r="G99" s="1"/>
    </row>
    <row r="100" spans="1:9" ht="13.5" customHeight="1" x14ac:dyDescent="0.2">
      <c r="A100" s="2" t="s">
        <v>30</v>
      </c>
      <c r="B100" s="206">
        <v>1</v>
      </c>
      <c r="C100" s="3">
        <v>367</v>
      </c>
      <c r="D100" s="3">
        <f t="shared" si="5"/>
        <v>367</v>
      </c>
      <c r="E100" s="13">
        <f>COUNTIFS($A$12:$A$78,"Cond Ar Split 24.000 BTU/h Piso/Teto")</f>
        <v>0</v>
      </c>
      <c r="F100" s="40">
        <f t="shared" si="6"/>
        <v>1</v>
      </c>
      <c r="G100" s="1"/>
    </row>
    <row r="101" spans="1:9" ht="13.5" customHeight="1" x14ac:dyDescent="0.2">
      <c r="A101" s="2" t="s">
        <v>31</v>
      </c>
      <c r="B101" s="206">
        <v>1</v>
      </c>
      <c r="C101" s="3">
        <v>367</v>
      </c>
      <c r="D101" s="3">
        <f>B101*C101</f>
        <v>367</v>
      </c>
      <c r="E101" s="13">
        <f>COUNTIFS($A$12:$A$78,"Cond Ar Split 30.000 BTU/h Piso/Teto")</f>
        <v>0</v>
      </c>
      <c r="F101" s="40">
        <f t="shared" si="6"/>
        <v>1</v>
      </c>
      <c r="G101" s="1"/>
    </row>
    <row r="102" spans="1:9" ht="13.5" customHeight="1" x14ac:dyDescent="0.2">
      <c r="A102" s="2" t="s">
        <v>32</v>
      </c>
      <c r="B102" s="39">
        <v>3</v>
      </c>
      <c r="C102" s="3">
        <v>447</v>
      </c>
      <c r="D102" s="3">
        <f>B102*C102</f>
        <v>1341</v>
      </c>
      <c r="E102" s="13">
        <f>COUNTIFS($A$12:$A$78,"Cond Ar Split 36.000 BTU/h Piso/Teto")</f>
        <v>0</v>
      </c>
      <c r="F102" s="40">
        <f t="shared" si="6"/>
        <v>3</v>
      </c>
      <c r="G102" s="1"/>
    </row>
    <row r="103" spans="1:9" ht="13.5" customHeight="1" x14ac:dyDescent="0.2">
      <c r="A103" s="2" t="s">
        <v>33</v>
      </c>
      <c r="B103" s="206">
        <v>2</v>
      </c>
      <c r="C103" s="3">
        <v>497</v>
      </c>
      <c r="D103" s="3">
        <f>B103*C103</f>
        <v>994</v>
      </c>
      <c r="E103" s="13">
        <f>COUNTIFS($A$12:$A$78,"Cond Ar Split 48.000 BTU/h Piso/Teto")</f>
        <v>0</v>
      </c>
      <c r="F103" s="40">
        <f t="shared" si="6"/>
        <v>2</v>
      </c>
      <c r="G103" s="1"/>
    </row>
    <row r="104" spans="1:9" ht="13.5" customHeight="1" x14ac:dyDescent="0.2">
      <c r="A104" s="2" t="s">
        <v>34</v>
      </c>
      <c r="B104" s="183">
        <f>3+6</f>
        <v>9</v>
      </c>
      <c r="C104" s="3">
        <v>597</v>
      </c>
      <c r="D104" s="3">
        <f t="shared" ref="D104:D112" si="7">B104*C104</f>
        <v>5373</v>
      </c>
      <c r="E104" s="13">
        <f>COUNTIFS($A$12:$A$78,"Cond Ar Split 60.000 BTU/h Piso/Teto")</f>
        <v>9</v>
      </c>
      <c r="F104" s="40">
        <f t="shared" si="6"/>
        <v>0</v>
      </c>
      <c r="G104" s="1"/>
    </row>
    <row r="105" spans="1:9" s="15" customFormat="1" ht="13.5" customHeight="1" x14ac:dyDescent="0.2">
      <c r="A105" s="2" t="s">
        <v>35</v>
      </c>
      <c r="B105" s="39"/>
      <c r="C105" s="3">
        <v>395</v>
      </c>
      <c r="D105" s="3">
        <f t="shared" si="7"/>
        <v>0</v>
      </c>
      <c r="E105" s="13">
        <f>COUNTIFS($A$12:$A$78,"Cond Ar Split 18.000 BTU/h Cassete")</f>
        <v>0</v>
      </c>
      <c r="F105" s="40">
        <f t="shared" si="6"/>
        <v>0</v>
      </c>
      <c r="G105" s="1"/>
      <c r="H105" s="7"/>
      <c r="I105" s="7"/>
    </row>
    <row r="106" spans="1:9" s="15" customFormat="1" ht="13.5" customHeight="1" x14ac:dyDescent="0.2">
      <c r="A106" s="2" t="s">
        <v>36</v>
      </c>
      <c r="B106" s="39"/>
      <c r="C106" s="3">
        <v>442.75</v>
      </c>
      <c r="D106" s="3">
        <f t="shared" si="7"/>
        <v>0</v>
      </c>
      <c r="E106" s="13">
        <f>COUNTIFS($A$12:$A$78,"Cond Ar Split 24.000 BTU/h Cassete")</f>
        <v>0</v>
      </c>
      <c r="F106" s="40">
        <f t="shared" si="6"/>
        <v>0</v>
      </c>
      <c r="G106" s="1"/>
      <c r="H106" s="7"/>
      <c r="I106" s="7"/>
    </row>
    <row r="107" spans="1:9" s="15" customFormat="1" ht="13.5" customHeight="1" x14ac:dyDescent="0.2">
      <c r="A107" s="2" t="s">
        <v>37</v>
      </c>
      <c r="B107" s="39"/>
      <c r="C107" s="3">
        <v>430</v>
      </c>
      <c r="D107" s="3">
        <f t="shared" si="7"/>
        <v>0</v>
      </c>
      <c r="E107" s="13">
        <f>COUNTIFS($A$12:$A$78,"Cond Ar Split 30.000 BTU/h Cassete")</f>
        <v>0</v>
      </c>
      <c r="F107" s="40">
        <f t="shared" si="6"/>
        <v>0</v>
      </c>
      <c r="G107" s="1"/>
      <c r="H107" s="7"/>
      <c r="I107" s="7"/>
    </row>
    <row r="108" spans="1:9" s="15" customFormat="1" ht="13.5" customHeight="1" x14ac:dyDescent="0.2">
      <c r="A108" s="2" t="s">
        <v>38</v>
      </c>
      <c r="B108" s="39"/>
      <c r="C108" s="3">
        <v>478</v>
      </c>
      <c r="D108" s="3">
        <f t="shared" si="7"/>
        <v>0</v>
      </c>
      <c r="E108" s="13">
        <f>COUNTIFS($A$12:$A$78,"Cond Ar Split 36.000 BTU/h Cassete")</f>
        <v>0</v>
      </c>
      <c r="F108" s="40">
        <f t="shared" si="6"/>
        <v>0</v>
      </c>
      <c r="G108" s="1"/>
      <c r="H108" s="7"/>
      <c r="I108" s="7"/>
    </row>
    <row r="109" spans="1:9" s="15" customFormat="1" ht="13.5" customHeight="1" x14ac:dyDescent="0.2">
      <c r="A109" s="2" t="s">
        <v>39</v>
      </c>
      <c r="B109" s="39"/>
      <c r="C109" s="3">
        <v>577</v>
      </c>
      <c r="D109" s="3">
        <f t="shared" si="7"/>
        <v>0</v>
      </c>
      <c r="E109" s="13">
        <f>COUNTIFS($A$12:$A$78,"Cond Ar Split 48.000 BTU/h Cassete")</f>
        <v>0</v>
      </c>
      <c r="F109" s="40">
        <f t="shared" si="6"/>
        <v>0</v>
      </c>
      <c r="G109" s="1"/>
      <c r="H109" s="7"/>
      <c r="I109" s="7"/>
    </row>
    <row r="110" spans="1:9" s="15" customFormat="1" ht="13.5" customHeight="1" x14ac:dyDescent="0.2">
      <c r="A110" s="2" t="s">
        <v>40</v>
      </c>
      <c r="B110" s="39"/>
      <c r="C110" s="3">
        <v>645</v>
      </c>
      <c r="D110" s="3">
        <f t="shared" si="7"/>
        <v>0</v>
      </c>
      <c r="E110" s="13">
        <f>COUNTIFS($A$12:$A$78,"Cond Ar Split 60.000 BTU/h Cassete")</f>
        <v>0</v>
      </c>
      <c r="F110" s="40">
        <f t="shared" si="6"/>
        <v>0</v>
      </c>
      <c r="G110" s="1"/>
      <c r="H110" s="7"/>
      <c r="I110" s="7"/>
    </row>
    <row r="111" spans="1:9" s="15" customFormat="1" ht="13.5" customHeight="1" x14ac:dyDescent="0.2">
      <c r="A111" s="2" t="s">
        <v>41</v>
      </c>
      <c r="B111" s="39"/>
      <c r="C111" s="3">
        <v>147</v>
      </c>
      <c r="D111" s="3">
        <f t="shared" si="7"/>
        <v>0</v>
      </c>
      <c r="E111" s="13">
        <f>COUNTIFS($A$12:$A$78,"Cond Ar Tri Split 36.000 BTU/h (3x12.000)")</f>
        <v>0</v>
      </c>
      <c r="F111" s="40">
        <f t="shared" si="6"/>
        <v>0</v>
      </c>
      <c r="G111" s="1"/>
      <c r="H111" s="7"/>
      <c r="I111" s="7"/>
    </row>
    <row r="112" spans="1:9" s="15" customFormat="1" ht="13.5" customHeight="1" x14ac:dyDescent="0.2">
      <c r="A112" s="2" t="s">
        <v>42</v>
      </c>
      <c r="B112" s="39"/>
      <c r="C112" s="3">
        <v>100</v>
      </c>
      <c r="D112" s="3">
        <f t="shared" si="7"/>
        <v>0</v>
      </c>
      <c r="E112" s="13">
        <f>COUNTIFS($A$12:$A$78,"Cond Ar Portátil 12.000 BTU/h")</f>
        <v>0</v>
      </c>
      <c r="F112" s="40">
        <f t="shared" si="6"/>
        <v>0</v>
      </c>
      <c r="G112" s="1"/>
      <c r="H112" s="7"/>
      <c r="I112" s="7"/>
    </row>
    <row r="113" spans="1:10" s="15" customFormat="1" ht="13.5" customHeight="1" x14ac:dyDescent="0.2">
      <c r="A113" s="36" t="s">
        <v>7</v>
      </c>
      <c r="B113" s="22">
        <f>SUM(B90:B112)</f>
        <v>65</v>
      </c>
      <c r="C113" s="38"/>
      <c r="D113" s="37">
        <f>SUM(D90:D112)</f>
        <v>20750</v>
      </c>
      <c r="E113" s="22">
        <f>SUM(E90:E112)</f>
        <v>58</v>
      </c>
      <c r="F113" s="41">
        <f>SUM(F90:F112)</f>
        <v>7</v>
      </c>
      <c r="G113" s="54"/>
      <c r="H113" s="7"/>
      <c r="I113" s="7"/>
    </row>
    <row r="117" spans="1:10" s="15" customFormat="1" ht="13.5" customHeight="1" x14ac:dyDescent="0.25">
      <c r="A117" s="7"/>
      <c r="B117" s="208"/>
      <c r="C117" s="7" t="s">
        <v>762</v>
      </c>
      <c r="D117" s="7"/>
      <c r="E117" s="7"/>
      <c r="F117" s="17"/>
      <c r="G117" s="7"/>
      <c r="H117" s="7"/>
      <c r="I117" s="7"/>
      <c r="J117" s="16"/>
    </row>
    <row r="118" spans="1:10" ht="13.5" customHeight="1" x14ac:dyDescent="0.25">
      <c r="B118" s="209"/>
      <c r="C118" s="7" t="s">
        <v>763</v>
      </c>
    </row>
  </sheetData>
  <mergeCells count="27">
    <mergeCell ref="A5:C5"/>
    <mergeCell ref="D5:F5"/>
    <mergeCell ref="G5:I5"/>
    <mergeCell ref="A1:I1"/>
    <mergeCell ref="A3:I3"/>
    <mergeCell ref="A4:C4"/>
    <mergeCell ref="D4:F4"/>
    <mergeCell ref="G4:I4"/>
    <mergeCell ref="A82:C82"/>
    <mergeCell ref="D82:I82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79:I79"/>
    <mergeCell ref="A83:C83"/>
    <mergeCell ref="D83:I83"/>
    <mergeCell ref="A87:F87"/>
    <mergeCell ref="A88:D88"/>
    <mergeCell ref="E88:E89"/>
    <mergeCell ref="F88:F89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65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40"/>
  <dimension ref="A1:L176"/>
  <sheetViews>
    <sheetView showGridLines="0" workbookViewId="0">
      <pane ySplit="13" topLeftCell="A135" activePane="bottomLeft" state="frozen"/>
      <selection activeCell="A138" sqref="A138"/>
      <selection pane="bottomLeft" activeCell="E138" sqref="E138"/>
    </sheetView>
  </sheetViews>
  <sheetFormatPr defaultRowHeight="13.5" customHeight="1" x14ac:dyDescent="0.25"/>
  <cols>
    <col min="1" max="1" width="38.5703125" style="7" customWidth="1"/>
    <col min="2" max="2" width="12.28515625" style="15" bestFit="1" customWidth="1"/>
    <col min="3" max="3" width="11" style="7" bestFit="1" customWidth="1"/>
    <col min="4" max="4" width="12" style="7" bestFit="1" customWidth="1"/>
    <col min="5" max="5" width="12.5703125" style="7" bestFit="1" customWidth="1"/>
    <col min="6" max="6" width="10" style="7" bestFit="1" customWidth="1"/>
    <col min="7" max="7" width="11" style="7" bestFit="1" customWidth="1"/>
    <col min="8" max="8" width="11.7109375" style="7" bestFit="1" customWidth="1"/>
    <col min="9" max="9" width="17.7109375" style="7" bestFit="1" customWidth="1"/>
    <col min="10" max="10" width="38" style="15" customWidth="1"/>
    <col min="11" max="11" width="10.285156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788</v>
      </c>
      <c r="B8" s="269"/>
      <c r="C8" s="269"/>
      <c r="D8" s="269"/>
      <c r="E8" s="269"/>
      <c r="F8" s="269"/>
      <c r="G8" s="269"/>
      <c r="H8" s="269"/>
      <c r="I8" s="269"/>
      <c r="J8" s="29"/>
      <c r="K8" s="115"/>
    </row>
    <row r="9" spans="1:11" s="18" customFormat="1" ht="13.5" customHeight="1" x14ac:dyDescent="0.25">
      <c r="A9" s="270" t="s">
        <v>785</v>
      </c>
      <c r="B9" s="270"/>
      <c r="C9" s="271" t="s">
        <v>786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23</v>
      </c>
      <c r="B15" s="76">
        <v>45575</v>
      </c>
      <c r="C15" s="177">
        <v>29450</v>
      </c>
      <c r="D15" s="20">
        <v>45658</v>
      </c>
      <c r="E15" s="20">
        <v>45687</v>
      </c>
      <c r="F15" s="11">
        <f t="shared" ref="F15:F35" si="0">(E15-D15)+1</f>
        <v>30</v>
      </c>
      <c r="G15" s="12">
        <v>235</v>
      </c>
      <c r="H15" s="13">
        <v>1</v>
      </c>
      <c r="I15" s="19">
        <f t="shared" ref="I15:I36" si="1">G15/30*H15*F15</f>
        <v>235</v>
      </c>
      <c r="J15" s="213" t="s">
        <v>790</v>
      </c>
      <c r="K15" s="13"/>
    </row>
    <row r="16" spans="1:11" ht="13.5" customHeight="1" x14ac:dyDescent="0.2">
      <c r="A16" s="2" t="s">
        <v>23</v>
      </c>
      <c r="B16" s="76">
        <v>45575</v>
      </c>
      <c r="C16" s="177">
        <v>211933</v>
      </c>
      <c r="D16" s="20">
        <v>45658</v>
      </c>
      <c r="E16" s="20">
        <v>45687</v>
      </c>
      <c r="F16" s="11">
        <f t="shared" ref="F16" si="2">(E16-D16)+1</f>
        <v>30</v>
      </c>
      <c r="G16" s="12">
        <v>235</v>
      </c>
      <c r="H16" s="13">
        <v>1</v>
      </c>
      <c r="I16" s="19">
        <f t="shared" ref="I16" si="3">G16/30*H16*F16</f>
        <v>235</v>
      </c>
      <c r="J16" s="213" t="s">
        <v>770</v>
      </c>
      <c r="K16" s="13"/>
    </row>
    <row r="17" spans="1:11" ht="13.5" customHeight="1" x14ac:dyDescent="0.25">
      <c r="A17" s="2" t="s">
        <v>23</v>
      </c>
      <c r="B17" s="76">
        <v>45575</v>
      </c>
      <c r="C17" s="177">
        <v>212028</v>
      </c>
      <c r="D17" s="20">
        <v>45658</v>
      </c>
      <c r="E17" s="20">
        <v>45687</v>
      </c>
      <c r="F17" s="11">
        <f t="shared" si="0"/>
        <v>30</v>
      </c>
      <c r="G17" s="12">
        <v>235</v>
      </c>
      <c r="H17" s="13">
        <v>1</v>
      </c>
      <c r="I17" s="19">
        <f t="shared" si="1"/>
        <v>235</v>
      </c>
      <c r="J17" s="215" t="s">
        <v>766</v>
      </c>
      <c r="K17" s="13"/>
    </row>
    <row r="18" spans="1:11" ht="13.5" customHeight="1" x14ac:dyDescent="0.25">
      <c r="A18" s="2" t="s">
        <v>23</v>
      </c>
      <c r="B18" s="76">
        <v>45575</v>
      </c>
      <c r="C18" s="177">
        <v>20257</v>
      </c>
      <c r="D18" s="20">
        <v>45658</v>
      </c>
      <c r="E18" s="20">
        <v>45687</v>
      </c>
      <c r="F18" s="11">
        <f t="shared" si="0"/>
        <v>30</v>
      </c>
      <c r="G18" s="12">
        <v>235</v>
      </c>
      <c r="H18" s="13">
        <v>1</v>
      </c>
      <c r="I18" s="19">
        <f t="shared" si="1"/>
        <v>235</v>
      </c>
      <c r="J18" s="214" t="s">
        <v>768</v>
      </c>
      <c r="K18" s="13"/>
    </row>
    <row r="19" spans="1:11" ht="13.5" customHeight="1" x14ac:dyDescent="0.25">
      <c r="A19" s="2" t="s">
        <v>23</v>
      </c>
      <c r="B19" s="76">
        <v>45575</v>
      </c>
      <c r="C19" s="177">
        <v>20173</v>
      </c>
      <c r="D19" s="20">
        <v>45658</v>
      </c>
      <c r="E19" s="20">
        <v>45687</v>
      </c>
      <c r="F19" s="11">
        <f t="shared" si="0"/>
        <v>30</v>
      </c>
      <c r="G19" s="12">
        <v>235</v>
      </c>
      <c r="H19" s="13">
        <v>1</v>
      </c>
      <c r="I19" s="19">
        <f t="shared" si="1"/>
        <v>235</v>
      </c>
      <c r="J19" s="214" t="s">
        <v>767</v>
      </c>
      <c r="K19" s="13"/>
    </row>
    <row r="20" spans="1:11" ht="13.5" customHeight="1" x14ac:dyDescent="0.25">
      <c r="A20" s="2" t="s">
        <v>23</v>
      </c>
      <c r="B20" s="76">
        <v>45575</v>
      </c>
      <c r="C20" s="177">
        <v>529</v>
      </c>
      <c r="D20" s="20">
        <v>45658</v>
      </c>
      <c r="E20" s="20">
        <v>45687</v>
      </c>
      <c r="F20" s="11">
        <f t="shared" si="0"/>
        <v>30</v>
      </c>
      <c r="G20" s="12">
        <v>235</v>
      </c>
      <c r="H20" s="13">
        <v>1</v>
      </c>
      <c r="I20" s="19">
        <f t="shared" si="1"/>
        <v>235</v>
      </c>
      <c r="J20" s="214" t="s">
        <v>377</v>
      </c>
      <c r="K20" s="13"/>
    </row>
    <row r="21" spans="1:11" ht="13.5" customHeight="1" x14ac:dyDescent="0.25">
      <c r="A21" s="2" t="s">
        <v>23</v>
      </c>
      <c r="B21" s="76">
        <v>45575</v>
      </c>
      <c r="C21" s="177">
        <v>530</v>
      </c>
      <c r="D21" s="20">
        <v>45658</v>
      </c>
      <c r="E21" s="20">
        <v>45687</v>
      </c>
      <c r="F21" s="11">
        <f t="shared" si="0"/>
        <v>30</v>
      </c>
      <c r="G21" s="12">
        <v>235</v>
      </c>
      <c r="H21" s="13">
        <v>1</v>
      </c>
      <c r="I21" s="19">
        <f t="shared" si="1"/>
        <v>235</v>
      </c>
      <c r="J21" s="214" t="s">
        <v>377</v>
      </c>
      <c r="K21" s="13"/>
    </row>
    <row r="22" spans="1:11" ht="13.5" customHeight="1" x14ac:dyDescent="0.25">
      <c r="A22" s="2" t="s">
        <v>23</v>
      </c>
      <c r="B22" s="76">
        <v>45575</v>
      </c>
      <c r="C22" s="177">
        <v>531</v>
      </c>
      <c r="D22" s="20">
        <v>45658</v>
      </c>
      <c r="E22" s="20">
        <v>45687</v>
      </c>
      <c r="F22" s="11">
        <f t="shared" si="0"/>
        <v>30</v>
      </c>
      <c r="G22" s="12">
        <v>235</v>
      </c>
      <c r="H22" s="13">
        <v>1</v>
      </c>
      <c r="I22" s="19">
        <f t="shared" si="1"/>
        <v>235</v>
      </c>
      <c r="J22" s="214" t="s">
        <v>377</v>
      </c>
      <c r="K22" s="13"/>
    </row>
    <row r="23" spans="1:11" ht="13.5" customHeight="1" x14ac:dyDescent="0.25">
      <c r="A23" s="2" t="s">
        <v>23</v>
      </c>
      <c r="B23" s="76">
        <v>45575</v>
      </c>
      <c r="C23" s="177">
        <v>600</v>
      </c>
      <c r="D23" s="20">
        <v>45658</v>
      </c>
      <c r="E23" s="20">
        <v>45687</v>
      </c>
      <c r="F23" s="11">
        <f t="shared" si="0"/>
        <v>30</v>
      </c>
      <c r="G23" s="12">
        <v>235</v>
      </c>
      <c r="H23" s="13">
        <v>1</v>
      </c>
      <c r="I23" s="19">
        <f t="shared" si="1"/>
        <v>235</v>
      </c>
      <c r="J23" s="214" t="s">
        <v>377</v>
      </c>
      <c r="K23" s="13"/>
    </row>
    <row r="24" spans="1:11" ht="13.5" customHeight="1" x14ac:dyDescent="0.25">
      <c r="A24" s="2" t="s">
        <v>23</v>
      </c>
      <c r="B24" s="76">
        <v>45575</v>
      </c>
      <c r="C24" s="177">
        <v>29449</v>
      </c>
      <c r="D24" s="20">
        <v>45658</v>
      </c>
      <c r="E24" s="20">
        <v>45687</v>
      </c>
      <c r="F24" s="11">
        <f t="shared" si="0"/>
        <v>30</v>
      </c>
      <c r="G24" s="12">
        <v>235</v>
      </c>
      <c r="H24" s="13">
        <v>1</v>
      </c>
      <c r="I24" s="19">
        <f t="shared" si="1"/>
        <v>235</v>
      </c>
      <c r="J24" s="214" t="s">
        <v>769</v>
      </c>
      <c r="K24" s="13"/>
    </row>
    <row r="25" spans="1:11" ht="13.5" customHeight="1" x14ac:dyDescent="0.25">
      <c r="A25" s="2" t="s">
        <v>23</v>
      </c>
      <c r="B25" s="76">
        <v>45575</v>
      </c>
      <c r="C25" s="177">
        <v>290</v>
      </c>
      <c r="D25" s="20">
        <v>45658</v>
      </c>
      <c r="E25" s="20">
        <v>45687</v>
      </c>
      <c r="F25" s="11">
        <f t="shared" si="0"/>
        <v>30</v>
      </c>
      <c r="G25" s="12">
        <v>235</v>
      </c>
      <c r="H25" s="13">
        <v>1</v>
      </c>
      <c r="I25" s="19">
        <f t="shared" si="1"/>
        <v>235</v>
      </c>
      <c r="J25" s="214" t="s">
        <v>772</v>
      </c>
      <c r="K25" s="13"/>
    </row>
    <row r="26" spans="1:11" ht="13.5" customHeight="1" x14ac:dyDescent="0.25">
      <c r="A26" s="2" t="s">
        <v>23</v>
      </c>
      <c r="B26" s="76">
        <v>45575</v>
      </c>
      <c r="C26" s="177">
        <v>843</v>
      </c>
      <c r="D26" s="20">
        <v>45658</v>
      </c>
      <c r="E26" s="20">
        <v>45687</v>
      </c>
      <c r="F26" s="11">
        <f t="shared" si="0"/>
        <v>30</v>
      </c>
      <c r="G26" s="12">
        <v>235</v>
      </c>
      <c r="H26" s="13">
        <v>1</v>
      </c>
      <c r="I26" s="19">
        <f t="shared" si="1"/>
        <v>235</v>
      </c>
      <c r="J26" s="214" t="s">
        <v>771</v>
      </c>
      <c r="K26" s="13"/>
    </row>
    <row r="27" spans="1:11" ht="13.5" customHeight="1" x14ac:dyDescent="0.25">
      <c r="A27" s="2" t="s">
        <v>23</v>
      </c>
      <c r="B27" s="76">
        <v>45575</v>
      </c>
      <c r="C27" s="177">
        <v>2873</v>
      </c>
      <c r="D27" s="20">
        <v>45658</v>
      </c>
      <c r="E27" s="20">
        <v>45687</v>
      </c>
      <c r="F27" s="11">
        <f t="shared" si="0"/>
        <v>30</v>
      </c>
      <c r="G27" s="12">
        <v>235</v>
      </c>
      <c r="H27" s="13">
        <v>1</v>
      </c>
      <c r="I27" s="19">
        <f t="shared" si="1"/>
        <v>235</v>
      </c>
      <c r="J27" s="214" t="s">
        <v>339</v>
      </c>
      <c r="K27" s="13"/>
    </row>
    <row r="28" spans="1:11" ht="13.5" customHeight="1" x14ac:dyDescent="0.25">
      <c r="A28" s="2" t="s">
        <v>23</v>
      </c>
      <c r="B28" s="76">
        <v>45575</v>
      </c>
      <c r="C28" s="177">
        <v>15383</v>
      </c>
      <c r="D28" s="20">
        <v>45658</v>
      </c>
      <c r="E28" s="20">
        <v>45687</v>
      </c>
      <c r="F28" s="11">
        <f t="shared" si="0"/>
        <v>30</v>
      </c>
      <c r="G28" s="12">
        <v>235</v>
      </c>
      <c r="H28" s="13">
        <v>1</v>
      </c>
      <c r="I28" s="19">
        <f t="shared" si="1"/>
        <v>235</v>
      </c>
      <c r="J28" s="214" t="s">
        <v>773</v>
      </c>
      <c r="K28" s="13"/>
    </row>
    <row r="29" spans="1:11" ht="13.5" customHeight="1" x14ac:dyDescent="0.25">
      <c r="A29" s="2" t="s">
        <v>23</v>
      </c>
      <c r="B29" s="76">
        <v>45575</v>
      </c>
      <c r="C29" s="177">
        <v>15282</v>
      </c>
      <c r="D29" s="20">
        <v>45658</v>
      </c>
      <c r="E29" s="20">
        <v>45687</v>
      </c>
      <c r="F29" s="11">
        <f t="shared" si="0"/>
        <v>30</v>
      </c>
      <c r="G29" s="12">
        <v>235</v>
      </c>
      <c r="H29" s="13">
        <v>1</v>
      </c>
      <c r="I29" s="19">
        <f t="shared" si="1"/>
        <v>235</v>
      </c>
      <c r="J29" s="214" t="s">
        <v>774</v>
      </c>
      <c r="K29" s="13">
        <v>70284</v>
      </c>
    </row>
    <row r="30" spans="1:11" ht="13.5" customHeight="1" x14ac:dyDescent="0.25">
      <c r="A30" s="2" t="s">
        <v>23</v>
      </c>
      <c r="B30" s="76">
        <v>45575</v>
      </c>
      <c r="C30" s="177">
        <v>313</v>
      </c>
      <c r="D30" s="20">
        <v>45658</v>
      </c>
      <c r="E30" s="20">
        <v>45687</v>
      </c>
      <c r="F30" s="11">
        <f t="shared" si="0"/>
        <v>30</v>
      </c>
      <c r="G30" s="12">
        <v>235</v>
      </c>
      <c r="H30" s="13">
        <v>1</v>
      </c>
      <c r="I30" s="19">
        <f t="shared" si="1"/>
        <v>235</v>
      </c>
      <c r="J30" s="214" t="s">
        <v>775</v>
      </c>
      <c r="K30" s="13"/>
    </row>
    <row r="31" spans="1:11" ht="13.5" customHeight="1" x14ac:dyDescent="0.25">
      <c r="A31" s="2" t="s">
        <v>23</v>
      </c>
      <c r="B31" s="76">
        <v>45575</v>
      </c>
      <c r="C31" s="177">
        <v>327</v>
      </c>
      <c r="D31" s="20">
        <v>45658</v>
      </c>
      <c r="E31" s="20">
        <v>45687</v>
      </c>
      <c r="F31" s="11">
        <f t="shared" si="0"/>
        <v>30</v>
      </c>
      <c r="G31" s="12">
        <v>235</v>
      </c>
      <c r="H31" s="13">
        <v>1</v>
      </c>
      <c r="I31" s="19">
        <f t="shared" si="1"/>
        <v>235</v>
      </c>
      <c r="J31" s="214" t="s">
        <v>776</v>
      </c>
      <c r="K31" s="13"/>
    </row>
    <row r="32" spans="1:11" ht="13.5" customHeight="1" x14ac:dyDescent="0.25">
      <c r="A32" s="2" t="s">
        <v>23</v>
      </c>
      <c r="B32" s="76">
        <v>45575</v>
      </c>
      <c r="C32" s="177">
        <v>175</v>
      </c>
      <c r="D32" s="20">
        <v>45658</v>
      </c>
      <c r="E32" s="20">
        <v>45687</v>
      </c>
      <c r="F32" s="11">
        <f t="shared" si="0"/>
        <v>30</v>
      </c>
      <c r="G32" s="12">
        <v>235</v>
      </c>
      <c r="H32" s="13">
        <v>1</v>
      </c>
      <c r="I32" s="19">
        <f t="shared" si="1"/>
        <v>235</v>
      </c>
      <c r="J32" s="214" t="s">
        <v>776</v>
      </c>
      <c r="K32" s="13"/>
    </row>
    <row r="33" spans="1:12" ht="13.5" customHeight="1" x14ac:dyDescent="0.25">
      <c r="A33" s="2" t="s">
        <v>24</v>
      </c>
      <c r="B33" s="76">
        <v>45575</v>
      </c>
      <c r="C33" s="177">
        <v>312</v>
      </c>
      <c r="D33" s="20">
        <v>45658</v>
      </c>
      <c r="E33" s="20">
        <v>45687</v>
      </c>
      <c r="F33" s="11">
        <f t="shared" si="0"/>
        <v>30</v>
      </c>
      <c r="G33" s="12">
        <v>238</v>
      </c>
      <c r="H33" s="13">
        <v>1</v>
      </c>
      <c r="I33" s="19">
        <f t="shared" ref="I33:I35" si="4">G33/30*H33*F33</f>
        <v>238</v>
      </c>
      <c r="J33" s="214" t="s">
        <v>340</v>
      </c>
      <c r="K33" s="13"/>
    </row>
    <row r="34" spans="1:12" ht="13.5" customHeight="1" x14ac:dyDescent="0.25">
      <c r="A34" s="2" t="s">
        <v>24</v>
      </c>
      <c r="B34" s="76">
        <v>45575</v>
      </c>
      <c r="C34" s="177">
        <v>364</v>
      </c>
      <c r="D34" s="20">
        <v>45658</v>
      </c>
      <c r="E34" s="20">
        <v>45687</v>
      </c>
      <c r="F34" s="11">
        <f t="shared" si="0"/>
        <v>30</v>
      </c>
      <c r="G34" s="12">
        <v>238</v>
      </c>
      <c r="H34" s="13">
        <v>1</v>
      </c>
      <c r="I34" s="19">
        <f t="shared" si="4"/>
        <v>238</v>
      </c>
      <c r="J34" s="214" t="s">
        <v>776</v>
      </c>
      <c r="K34" s="13"/>
    </row>
    <row r="35" spans="1:12" ht="13.5" customHeight="1" x14ac:dyDescent="0.25">
      <c r="A35" s="2" t="s">
        <v>26</v>
      </c>
      <c r="B35" s="76">
        <v>45575</v>
      </c>
      <c r="C35" s="177">
        <v>2600</v>
      </c>
      <c r="D35" s="20">
        <v>45658</v>
      </c>
      <c r="E35" s="20">
        <v>45687</v>
      </c>
      <c r="F35" s="11">
        <f t="shared" si="0"/>
        <v>30</v>
      </c>
      <c r="G35" s="12">
        <v>260</v>
      </c>
      <c r="H35" s="13">
        <v>1</v>
      </c>
      <c r="I35" s="19">
        <f t="shared" si="4"/>
        <v>260</v>
      </c>
      <c r="J35" s="214" t="s">
        <v>782</v>
      </c>
      <c r="K35" s="13"/>
    </row>
    <row r="36" spans="1:12" ht="13.5" customHeight="1" x14ac:dyDescent="0.2">
      <c r="A36" s="2"/>
      <c r="B36" s="13"/>
      <c r="C36" s="13"/>
      <c r="D36" s="20"/>
      <c r="E36" s="20"/>
      <c r="F36" s="11"/>
      <c r="G36" s="12"/>
      <c r="H36" s="13"/>
      <c r="I36" s="19">
        <f t="shared" si="1"/>
        <v>0</v>
      </c>
      <c r="J36" s="32"/>
      <c r="K36" s="13"/>
    </row>
    <row r="37" spans="1:12" ht="13.5" customHeight="1" x14ac:dyDescent="0.25">
      <c r="A37" s="21" t="s">
        <v>181</v>
      </c>
      <c r="B37" s="26"/>
      <c r="C37" s="116"/>
      <c r="D37" s="23"/>
      <c r="E37" s="23"/>
      <c r="F37" s="24"/>
      <c r="G37" s="23"/>
      <c r="H37" s="22">
        <f>SUM(H15:H36)</f>
        <v>21</v>
      </c>
      <c r="I37" s="112">
        <f>SUM(I15:I36)</f>
        <v>4966</v>
      </c>
      <c r="J37" s="116"/>
      <c r="K37" s="116"/>
    </row>
    <row r="38" spans="1:12" ht="13.5" customHeight="1" x14ac:dyDescent="0.25">
      <c r="D38" s="8"/>
      <c r="E38" s="8"/>
      <c r="F38" s="9"/>
      <c r="G38" s="10"/>
      <c r="I38" s="10"/>
      <c r="J38" s="4"/>
    </row>
    <row r="39" spans="1:12" ht="13.5" customHeight="1" x14ac:dyDescent="0.25">
      <c r="A39" s="2" t="s">
        <v>23</v>
      </c>
      <c r="B39" s="76">
        <v>45575</v>
      </c>
      <c r="C39" s="177" t="s">
        <v>777</v>
      </c>
      <c r="D39" s="20">
        <v>45658</v>
      </c>
      <c r="E39" s="20">
        <v>45687</v>
      </c>
      <c r="F39" s="11">
        <f t="shared" ref="F39:F44" si="5">(E39-D39)+1</f>
        <v>30</v>
      </c>
      <c r="G39" s="12">
        <v>235</v>
      </c>
      <c r="H39" s="13">
        <v>1</v>
      </c>
      <c r="I39" s="19">
        <f t="shared" ref="I39:I44" si="6">G39/30*H39*F39</f>
        <v>235</v>
      </c>
      <c r="J39" s="214" t="s">
        <v>378</v>
      </c>
      <c r="K39" s="13"/>
    </row>
    <row r="40" spans="1:12" ht="13.5" customHeight="1" x14ac:dyDescent="0.25">
      <c r="A40" s="2" t="s">
        <v>23</v>
      </c>
      <c r="B40" s="76">
        <v>45575</v>
      </c>
      <c r="C40" s="177">
        <v>211909</v>
      </c>
      <c r="D40" s="20">
        <v>45658</v>
      </c>
      <c r="E40" s="20">
        <v>45687</v>
      </c>
      <c r="F40" s="11">
        <f t="shared" si="5"/>
        <v>30</v>
      </c>
      <c r="G40" s="12">
        <v>235</v>
      </c>
      <c r="H40" s="13">
        <v>1</v>
      </c>
      <c r="I40" s="19">
        <f t="shared" si="6"/>
        <v>235</v>
      </c>
      <c r="J40" s="214" t="s">
        <v>379</v>
      </c>
      <c r="K40" s="13"/>
    </row>
    <row r="41" spans="1:12" ht="13.5" customHeight="1" x14ac:dyDescent="0.25">
      <c r="A41" s="2" t="s">
        <v>23</v>
      </c>
      <c r="B41" s="76">
        <v>45575</v>
      </c>
      <c r="C41" s="177">
        <v>211912</v>
      </c>
      <c r="D41" s="20">
        <v>45658</v>
      </c>
      <c r="E41" s="20">
        <v>45687</v>
      </c>
      <c r="F41" s="11">
        <f t="shared" ref="F41" si="7">(E41-D41)+1</f>
        <v>30</v>
      </c>
      <c r="G41" s="12">
        <v>235</v>
      </c>
      <c r="H41" s="13">
        <v>1</v>
      </c>
      <c r="I41" s="19">
        <f t="shared" ref="I41" si="8">G41/30*H41*F41</f>
        <v>235</v>
      </c>
      <c r="J41" s="214" t="s">
        <v>380</v>
      </c>
      <c r="K41" s="13"/>
    </row>
    <row r="42" spans="1:12" ht="13.5" customHeight="1" x14ac:dyDescent="0.25">
      <c r="A42" s="2" t="s">
        <v>23</v>
      </c>
      <c r="B42" s="76">
        <v>45575</v>
      </c>
      <c r="C42" s="177">
        <v>211934</v>
      </c>
      <c r="D42" s="20">
        <v>45658</v>
      </c>
      <c r="E42" s="20">
        <v>45687</v>
      </c>
      <c r="F42" s="11">
        <f t="shared" si="5"/>
        <v>30</v>
      </c>
      <c r="G42" s="12">
        <v>235</v>
      </c>
      <c r="H42" s="13">
        <v>1</v>
      </c>
      <c r="I42" s="19">
        <f t="shared" si="6"/>
        <v>235</v>
      </c>
      <c r="J42" s="214" t="s">
        <v>381</v>
      </c>
      <c r="K42" s="13"/>
    </row>
    <row r="43" spans="1:12" ht="13.5" customHeight="1" x14ac:dyDescent="0.25">
      <c r="A43" s="2" t="s">
        <v>23</v>
      </c>
      <c r="B43" s="76">
        <v>45575</v>
      </c>
      <c r="C43" s="177">
        <v>211921</v>
      </c>
      <c r="D43" s="20">
        <v>45658</v>
      </c>
      <c r="E43" s="20">
        <v>45687</v>
      </c>
      <c r="F43" s="11">
        <f t="shared" si="5"/>
        <v>30</v>
      </c>
      <c r="G43" s="12">
        <v>235</v>
      </c>
      <c r="H43" s="13">
        <v>1</v>
      </c>
      <c r="I43" s="19">
        <f t="shared" si="6"/>
        <v>235</v>
      </c>
      <c r="J43" s="214" t="s">
        <v>382</v>
      </c>
      <c r="K43" s="13"/>
    </row>
    <row r="44" spans="1:12" ht="13.5" customHeight="1" x14ac:dyDescent="0.25">
      <c r="A44" s="2" t="s">
        <v>24</v>
      </c>
      <c r="B44" s="76">
        <v>45575</v>
      </c>
      <c r="C44" s="177">
        <v>210143</v>
      </c>
      <c r="D44" s="20">
        <v>45658</v>
      </c>
      <c r="E44" s="20">
        <v>45687</v>
      </c>
      <c r="F44" s="11">
        <f t="shared" si="5"/>
        <v>30</v>
      </c>
      <c r="G44" s="12">
        <v>238</v>
      </c>
      <c r="H44" s="13">
        <v>1</v>
      </c>
      <c r="I44" s="19">
        <f t="shared" si="6"/>
        <v>238</v>
      </c>
      <c r="J44" s="214" t="s">
        <v>383</v>
      </c>
      <c r="K44" s="13"/>
    </row>
    <row r="45" spans="1:12" ht="13.5" customHeight="1" x14ac:dyDescent="0.25">
      <c r="A45" s="2"/>
      <c r="B45" s="76"/>
      <c r="C45" s="135"/>
      <c r="D45" s="20"/>
      <c r="E45" s="20"/>
      <c r="F45" s="11"/>
      <c r="G45" s="12"/>
      <c r="H45" s="13"/>
      <c r="I45" s="19"/>
      <c r="J45" s="214"/>
      <c r="K45" s="13"/>
    </row>
    <row r="46" spans="1:12" ht="13.5" customHeight="1" x14ac:dyDescent="0.25">
      <c r="A46" s="21" t="s">
        <v>369</v>
      </c>
      <c r="B46" s="26"/>
      <c r="C46" s="116"/>
      <c r="D46" s="23"/>
      <c r="E46" s="23"/>
      <c r="F46" s="24"/>
      <c r="G46" s="23"/>
      <c r="H46" s="180">
        <f>SUM(H39:H44)</f>
        <v>6</v>
      </c>
      <c r="I46" s="179">
        <f>SUM(I39:I44)</f>
        <v>1413</v>
      </c>
      <c r="J46" s="116"/>
      <c r="K46" s="116"/>
    </row>
    <row r="47" spans="1:12" s="15" customFormat="1" ht="13.5" customHeight="1" x14ac:dyDescent="0.25">
      <c r="A47" s="7"/>
      <c r="C47" s="7"/>
      <c r="D47" s="8"/>
      <c r="E47" s="8"/>
      <c r="F47" s="9"/>
      <c r="G47" s="10"/>
      <c r="H47" s="7"/>
      <c r="I47" s="10"/>
      <c r="J47" s="4"/>
      <c r="L47" s="7"/>
    </row>
    <row r="48" spans="1:12" s="15" customFormat="1" ht="13.5" customHeight="1" x14ac:dyDescent="0.25">
      <c r="A48" s="2" t="s">
        <v>23</v>
      </c>
      <c r="B48" s="76">
        <v>45575</v>
      </c>
      <c r="C48" s="177" t="s">
        <v>778</v>
      </c>
      <c r="D48" s="20">
        <v>45658</v>
      </c>
      <c r="E48" s="20">
        <v>45687</v>
      </c>
      <c r="F48" s="11">
        <f t="shared" ref="F48:F54" si="9">(E48-D48)+1</f>
        <v>30</v>
      </c>
      <c r="G48" s="12">
        <v>235</v>
      </c>
      <c r="H48" s="13">
        <v>1</v>
      </c>
      <c r="I48" s="19">
        <f t="shared" ref="I48:I54" si="10">G48/30*H48*F48</f>
        <v>235</v>
      </c>
      <c r="J48" s="214" t="s">
        <v>378</v>
      </c>
      <c r="K48" s="13"/>
      <c r="L48" s="7"/>
    </row>
    <row r="49" spans="1:12" s="15" customFormat="1" ht="13.5" customHeight="1" x14ac:dyDescent="0.25">
      <c r="A49" s="2" t="s">
        <v>23</v>
      </c>
      <c r="B49" s="76">
        <v>45575</v>
      </c>
      <c r="C49" s="177">
        <v>25793</v>
      </c>
      <c r="D49" s="20">
        <v>45658</v>
      </c>
      <c r="E49" s="20">
        <v>45687</v>
      </c>
      <c r="F49" s="11">
        <f t="shared" si="9"/>
        <v>30</v>
      </c>
      <c r="G49" s="12">
        <v>235</v>
      </c>
      <c r="H49" s="13">
        <v>1</v>
      </c>
      <c r="I49" s="19">
        <f t="shared" si="10"/>
        <v>235</v>
      </c>
      <c r="J49" s="214" t="s">
        <v>379</v>
      </c>
      <c r="K49" s="13"/>
      <c r="L49" s="7"/>
    </row>
    <row r="50" spans="1:12" s="15" customFormat="1" ht="13.5" customHeight="1" x14ac:dyDescent="0.25">
      <c r="A50" s="2" t="s">
        <v>23</v>
      </c>
      <c r="B50" s="76">
        <v>45575</v>
      </c>
      <c r="C50" s="177">
        <v>29742</v>
      </c>
      <c r="D50" s="20">
        <v>45658</v>
      </c>
      <c r="E50" s="20">
        <v>45687</v>
      </c>
      <c r="F50" s="11">
        <f t="shared" si="9"/>
        <v>30</v>
      </c>
      <c r="G50" s="12">
        <v>235</v>
      </c>
      <c r="H50" s="13">
        <v>1</v>
      </c>
      <c r="I50" s="19">
        <f t="shared" si="10"/>
        <v>235</v>
      </c>
      <c r="J50" s="214" t="s">
        <v>380</v>
      </c>
      <c r="K50" s="13"/>
      <c r="L50" s="7"/>
    </row>
    <row r="51" spans="1:12" s="15" customFormat="1" ht="13.5" customHeight="1" x14ac:dyDescent="0.25">
      <c r="A51" s="2" t="s">
        <v>23</v>
      </c>
      <c r="B51" s="76">
        <v>45575</v>
      </c>
      <c r="C51" s="177">
        <v>885</v>
      </c>
      <c r="D51" s="20">
        <v>45658</v>
      </c>
      <c r="E51" s="20">
        <v>45687</v>
      </c>
      <c r="F51" s="11">
        <f t="shared" si="9"/>
        <v>30</v>
      </c>
      <c r="G51" s="12">
        <v>235</v>
      </c>
      <c r="H51" s="13">
        <v>1</v>
      </c>
      <c r="I51" s="19">
        <f t="shared" si="10"/>
        <v>235</v>
      </c>
      <c r="J51" s="214" t="s">
        <v>381</v>
      </c>
      <c r="K51" s="13"/>
      <c r="L51" s="7"/>
    </row>
    <row r="52" spans="1:12" s="15" customFormat="1" ht="13.5" customHeight="1" x14ac:dyDescent="0.25">
      <c r="A52" s="2" t="s">
        <v>24</v>
      </c>
      <c r="B52" s="76">
        <v>45575</v>
      </c>
      <c r="C52" s="177">
        <v>2290</v>
      </c>
      <c r="D52" s="20">
        <v>45658</v>
      </c>
      <c r="E52" s="20">
        <v>45687</v>
      </c>
      <c r="F52" s="11">
        <f t="shared" ref="F52" si="11">(E52-D52)+1</f>
        <v>30</v>
      </c>
      <c r="G52" s="12">
        <v>238</v>
      </c>
      <c r="H52" s="13">
        <v>1</v>
      </c>
      <c r="I52" s="19">
        <f t="shared" ref="I52" si="12">G52/30*H52*F52</f>
        <v>238</v>
      </c>
      <c r="J52" s="214" t="s">
        <v>103</v>
      </c>
      <c r="K52" s="13"/>
      <c r="L52" s="7"/>
    </row>
    <row r="53" spans="1:12" s="15" customFormat="1" ht="13.5" customHeight="1" x14ac:dyDescent="0.25">
      <c r="A53" s="2" t="s">
        <v>24</v>
      </c>
      <c r="B53" s="76">
        <v>45575</v>
      </c>
      <c r="C53" s="177">
        <v>698</v>
      </c>
      <c r="D53" s="20">
        <v>45658</v>
      </c>
      <c r="E53" s="20">
        <v>45687</v>
      </c>
      <c r="F53" s="11">
        <f t="shared" si="9"/>
        <v>30</v>
      </c>
      <c r="G53" s="12">
        <v>238</v>
      </c>
      <c r="H53" s="13">
        <v>1</v>
      </c>
      <c r="I53" s="19">
        <f t="shared" si="10"/>
        <v>238</v>
      </c>
      <c r="J53" s="214" t="s">
        <v>780</v>
      </c>
      <c r="K53" s="13"/>
      <c r="L53" s="7"/>
    </row>
    <row r="54" spans="1:12" s="15" customFormat="1" ht="13.5" customHeight="1" x14ac:dyDescent="0.25">
      <c r="A54" s="2" t="s">
        <v>24</v>
      </c>
      <c r="B54" s="76">
        <v>45575</v>
      </c>
      <c r="C54" s="177">
        <v>702</v>
      </c>
      <c r="D54" s="20">
        <v>45658</v>
      </c>
      <c r="E54" s="20">
        <v>45687</v>
      </c>
      <c r="F54" s="11">
        <f t="shared" si="9"/>
        <v>30</v>
      </c>
      <c r="G54" s="12">
        <v>238</v>
      </c>
      <c r="H54" s="13">
        <v>1</v>
      </c>
      <c r="I54" s="19">
        <f t="shared" si="10"/>
        <v>238</v>
      </c>
      <c r="J54" s="214" t="s">
        <v>781</v>
      </c>
      <c r="K54" s="13"/>
      <c r="L54" s="7"/>
    </row>
    <row r="55" spans="1:12" s="15" customFormat="1" ht="13.5" customHeight="1" x14ac:dyDescent="0.25">
      <c r="A55" s="2"/>
      <c r="B55" s="76"/>
      <c r="C55" s="101"/>
      <c r="D55" s="20"/>
      <c r="E55" s="20"/>
      <c r="F55" s="11"/>
      <c r="G55" s="12"/>
      <c r="H55" s="13"/>
      <c r="I55" s="19"/>
      <c r="J55" s="214"/>
      <c r="K55" s="13"/>
      <c r="L55" s="7"/>
    </row>
    <row r="56" spans="1:12" s="15" customFormat="1" ht="13.5" customHeight="1" x14ac:dyDescent="0.25">
      <c r="A56" s="21" t="s">
        <v>370</v>
      </c>
      <c r="B56" s="26"/>
      <c r="C56" s="116"/>
      <c r="D56" s="23"/>
      <c r="E56" s="23"/>
      <c r="F56" s="24"/>
      <c r="G56" s="23"/>
      <c r="H56" s="180">
        <f>SUM(H48:H54)</f>
        <v>7</v>
      </c>
      <c r="I56" s="179">
        <f>SUM(I48:I54)</f>
        <v>1654</v>
      </c>
      <c r="J56" s="116"/>
      <c r="K56" s="116"/>
      <c r="L56" s="7"/>
    </row>
    <row r="57" spans="1:12" s="15" customFormat="1" ht="13.5" customHeight="1" x14ac:dyDescent="0.25">
      <c r="A57" s="7"/>
      <c r="C57" s="7"/>
      <c r="D57" s="8"/>
      <c r="E57" s="8"/>
      <c r="F57" s="9"/>
      <c r="G57" s="10"/>
      <c r="H57" s="7"/>
      <c r="I57" s="10"/>
      <c r="J57" s="4"/>
      <c r="L57" s="7"/>
    </row>
    <row r="58" spans="1:12" ht="13.5" customHeight="1" x14ac:dyDescent="0.25">
      <c r="A58" s="2" t="s">
        <v>23</v>
      </c>
      <c r="B58" s="76">
        <v>45575</v>
      </c>
      <c r="C58" s="177">
        <v>210708</v>
      </c>
      <c r="D58" s="20">
        <v>45658</v>
      </c>
      <c r="E58" s="20">
        <v>45687</v>
      </c>
      <c r="F58" s="11">
        <f t="shared" ref="F58:F63" si="13">(E58-D58)+1</f>
        <v>30</v>
      </c>
      <c r="G58" s="12">
        <v>235</v>
      </c>
      <c r="H58" s="13">
        <v>1</v>
      </c>
      <c r="I58" s="19">
        <f t="shared" ref="I58:I63" si="14">G58/30*H58*F58</f>
        <v>235</v>
      </c>
      <c r="J58" s="214" t="s">
        <v>378</v>
      </c>
      <c r="K58" s="13"/>
    </row>
    <row r="59" spans="1:12" ht="13.5" customHeight="1" x14ac:dyDescent="0.25">
      <c r="A59" s="2" t="s">
        <v>23</v>
      </c>
      <c r="B59" s="76">
        <v>45575</v>
      </c>
      <c r="C59" s="177">
        <v>10705</v>
      </c>
      <c r="D59" s="20">
        <v>45658</v>
      </c>
      <c r="E59" s="20">
        <v>45687</v>
      </c>
      <c r="F59" s="11">
        <f t="shared" si="13"/>
        <v>30</v>
      </c>
      <c r="G59" s="12">
        <v>235</v>
      </c>
      <c r="H59" s="13">
        <v>1</v>
      </c>
      <c r="I59" s="19">
        <f t="shared" si="14"/>
        <v>235</v>
      </c>
      <c r="J59" s="214" t="s">
        <v>379</v>
      </c>
      <c r="K59" s="13"/>
    </row>
    <row r="60" spans="1:12" ht="13.5" customHeight="1" x14ac:dyDescent="0.25">
      <c r="A60" s="2" t="s">
        <v>23</v>
      </c>
      <c r="B60" s="76">
        <v>45575</v>
      </c>
      <c r="C60" s="177">
        <v>10704</v>
      </c>
      <c r="D60" s="20">
        <v>45658</v>
      </c>
      <c r="E60" s="20">
        <v>45687</v>
      </c>
      <c r="F60" s="11">
        <f t="shared" si="13"/>
        <v>30</v>
      </c>
      <c r="G60" s="12">
        <v>235</v>
      </c>
      <c r="H60" s="13">
        <v>1</v>
      </c>
      <c r="I60" s="19">
        <f t="shared" si="14"/>
        <v>235</v>
      </c>
      <c r="J60" s="214" t="s">
        <v>380</v>
      </c>
      <c r="K60" s="13"/>
    </row>
    <row r="61" spans="1:12" ht="13.5" customHeight="1" x14ac:dyDescent="0.25">
      <c r="A61" s="2" t="s">
        <v>23</v>
      </c>
      <c r="B61" s="76">
        <v>45575</v>
      </c>
      <c r="C61" s="177">
        <v>10703</v>
      </c>
      <c r="D61" s="20">
        <v>45658</v>
      </c>
      <c r="E61" s="20">
        <v>45687</v>
      </c>
      <c r="F61" s="11">
        <f t="shared" si="13"/>
        <v>30</v>
      </c>
      <c r="G61" s="12">
        <v>235</v>
      </c>
      <c r="H61" s="13">
        <v>1</v>
      </c>
      <c r="I61" s="19">
        <f t="shared" si="14"/>
        <v>235</v>
      </c>
      <c r="J61" s="214" t="s">
        <v>381</v>
      </c>
      <c r="K61" s="13"/>
    </row>
    <row r="62" spans="1:12" ht="13.5" customHeight="1" x14ac:dyDescent="0.25">
      <c r="A62" s="2" t="s">
        <v>23</v>
      </c>
      <c r="B62" s="76">
        <v>45575</v>
      </c>
      <c r="C62" s="177">
        <v>210706</v>
      </c>
      <c r="D62" s="20">
        <v>45658</v>
      </c>
      <c r="E62" s="20">
        <v>45687</v>
      </c>
      <c r="F62" s="11">
        <f t="shared" si="13"/>
        <v>30</v>
      </c>
      <c r="G62" s="12">
        <v>235</v>
      </c>
      <c r="H62" s="13">
        <v>1</v>
      </c>
      <c r="I62" s="19">
        <f t="shared" si="14"/>
        <v>235</v>
      </c>
      <c r="J62" s="214" t="s">
        <v>382</v>
      </c>
      <c r="K62" s="13"/>
    </row>
    <row r="63" spans="1:12" ht="13.5" customHeight="1" x14ac:dyDescent="0.25">
      <c r="A63" s="2" t="s">
        <v>23</v>
      </c>
      <c r="B63" s="76">
        <v>45575</v>
      </c>
      <c r="C63" s="177">
        <v>8197</v>
      </c>
      <c r="D63" s="20">
        <v>45658</v>
      </c>
      <c r="E63" s="20">
        <v>45687</v>
      </c>
      <c r="F63" s="11">
        <f t="shared" si="13"/>
        <v>30</v>
      </c>
      <c r="G63" s="12">
        <v>235</v>
      </c>
      <c r="H63" s="13">
        <v>1</v>
      </c>
      <c r="I63" s="19">
        <f t="shared" si="14"/>
        <v>235</v>
      </c>
      <c r="J63" s="214" t="s">
        <v>779</v>
      </c>
      <c r="K63" s="13"/>
    </row>
    <row r="64" spans="1:12" ht="13.5" customHeight="1" x14ac:dyDescent="0.25">
      <c r="A64" s="2"/>
      <c r="B64" s="76"/>
      <c r="C64" s="135"/>
      <c r="D64" s="20"/>
      <c r="E64" s="20"/>
      <c r="F64" s="11"/>
      <c r="G64" s="12"/>
      <c r="H64" s="13"/>
      <c r="I64" s="19"/>
      <c r="J64" s="214"/>
      <c r="K64" s="13"/>
    </row>
    <row r="65" spans="1:11" ht="13.5" customHeight="1" x14ac:dyDescent="0.25">
      <c r="A65" s="21" t="s">
        <v>560</v>
      </c>
      <c r="B65" s="26"/>
      <c r="C65" s="116"/>
      <c r="D65" s="23"/>
      <c r="E65" s="23"/>
      <c r="F65" s="24"/>
      <c r="G65" s="23"/>
      <c r="H65" s="178">
        <f>SUM(H58:H63)</f>
        <v>6</v>
      </c>
      <c r="I65" s="179">
        <f>SUM(I58:I63)</f>
        <v>1410</v>
      </c>
      <c r="J65" s="116"/>
      <c r="K65" s="116"/>
    </row>
    <row r="66" spans="1:11" ht="13.5" customHeight="1" x14ac:dyDescent="0.25">
      <c r="D66" s="8"/>
      <c r="E66" s="8"/>
      <c r="F66" s="9"/>
      <c r="G66" s="10"/>
      <c r="I66" s="10"/>
      <c r="J66" s="4"/>
    </row>
    <row r="67" spans="1:11" ht="13.5" customHeight="1" x14ac:dyDescent="0.25">
      <c r="A67" s="2" t="s">
        <v>23</v>
      </c>
      <c r="B67" s="61">
        <v>45575</v>
      </c>
      <c r="C67" s="177">
        <v>211650</v>
      </c>
      <c r="D67" s="20">
        <v>45658</v>
      </c>
      <c r="E67" s="20">
        <v>45687</v>
      </c>
      <c r="F67" s="11">
        <f t="shared" ref="F67:F72" si="15">(E67-D67)+1</f>
        <v>30</v>
      </c>
      <c r="G67" s="12">
        <v>235</v>
      </c>
      <c r="H67" s="13">
        <v>1</v>
      </c>
      <c r="I67" s="19">
        <f t="shared" ref="I67:I72" si="16">G67/30*H67*F67</f>
        <v>235</v>
      </c>
      <c r="J67" s="214" t="s">
        <v>378</v>
      </c>
      <c r="K67" s="13"/>
    </row>
    <row r="68" spans="1:11" ht="13.5" customHeight="1" x14ac:dyDescent="0.25">
      <c r="A68" s="2" t="s">
        <v>23</v>
      </c>
      <c r="B68" s="61">
        <v>45575</v>
      </c>
      <c r="C68" s="177">
        <v>11900</v>
      </c>
      <c r="D68" s="20">
        <v>45658</v>
      </c>
      <c r="E68" s="20">
        <v>45687</v>
      </c>
      <c r="F68" s="11">
        <f t="shared" si="15"/>
        <v>30</v>
      </c>
      <c r="G68" s="12">
        <v>235</v>
      </c>
      <c r="H68" s="13">
        <v>1</v>
      </c>
      <c r="I68" s="19">
        <f t="shared" si="16"/>
        <v>235</v>
      </c>
      <c r="J68" s="214" t="s">
        <v>379</v>
      </c>
      <c r="K68" s="13"/>
    </row>
    <row r="69" spans="1:11" ht="13.5" customHeight="1" x14ac:dyDescent="0.25">
      <c r="A69" s="2" t="s">
        <v>23</v>
      </c>
      <c r="B69" s="61">
        <v>45575</v>
      </c>
      <c r="C69" s="177">
        <v>11640</v>
      </c>
      <c r="D69" s="20">
        <v>45658</v>
      </c>
      <c r="E69" s="20">
        <v>45687</v>
      </c>
      <c r="F69" s="11">
        <f t="shared" si="15"/>
        <v>30</v>
      </c>
      <c r="G69" s="12">
        <v>235</v>
      </c>
      <c r="H69" s="13">
        <v>1</v>
      </c>
      <c r="I69" s="19">
        <f t="shared" si="16"/>
        <v>235</v>
      </c>
      <c r="J69" s="214" t="s">
        <v>380</v>
      </c>
      <c r="K69" s="13"/>
    </row>
    <row r="70" spans="1:11" ht="13.5" customHeight="1" x14ac:dyDescent="0.25">
      <c r="A70" s="2" t="s">
        <v>23</v>
      </c>
      <c r="B70" s="61">
        <v>45575</v>
      </c>
      <c r="C70" s="177">
        <v>11631</v>
      </c>
      <c r="D70" s="20">
        <v>45658</v>
      </c>
      <c r="E70" s="20">
        <v>45687</v>
      </c>
      <c r="F70" s="11">
        <f t="shared" si="15"/>
        <v>30</v>
      </c>
      <c r="G70" s="12">
        <v>235</v>
      </c>
      <c r="H70" s="13">
        <v>1</v>
      </c>
      <c r="I70" s="19">
        <f t="shared" si="16"/>
        <v>235</v>
      </c>
      <c r="J70" s="214" t="s">
        <v>381</v>
      </c>
      <c r="K70" s="13"/>
    </row>
    <row r="71" spans="1:11" ht="13.5" customHeight="1" x14ac:dyDescent="0.25">
      <c r="A71" s="2" t="s">
        <v>23</v>
      </c>
      <c r="B71" s="61">
        <v>45575</v>
      </c>
      <c r="C71" s="177">
        <v>211654</v>
      </c>
      <c r="D71" s="20">
        <v>45658</v>
      </c>
      <c r="E71" s="20">
        <v>45687</v>
      </c>
      <c r="F71" s="11">
        <f t="shared" si="15"/>
        <v>30</v>
      </c>
      <c r="G71" s="12">
        <v>235</v>
      </c>
      <c r="H71" s="13">
        <v>1</v>
      </c>
      <c r="I71" s="19">
        <f t="shared" si="16"/>
        <v>235</v>
      </c>
      <c r="J71" s="214" t="s">
        <v>382</v>
      </c>
      <c r="K71" s="13"/>
    </row>
    <row r="72" spans="1:11" ht="13.5" customHeight="1" x14ac:dyDescent="0.25">
      <c r="A72" s="2" t="s">
        <v>23</v>
      </c>
      <c r="B72" s="61">
        <v>45575</v>
      </c>
      <c r="C72" s="177">
        <v>13414</v>
      </c>
      <c r="D72" s="20">
        <v>45658</v>
      </c>
      <c r="E72" s="20">
        <v>45687</v>
      </c>
      <c r="F72" s="11">
        <f t="shared" si="15"/>
        <v>30</v>
      </c>
      <c r="G72" s="12">
        <v>235</v>
      </c>
      <c r="H72" s="13">
        <v>1</v>
      </c>
      <c r="I72" s="19">
        <f t="shared" si="16"/>
        <v>235</v>
      </c>
      <c r="J72" s="214" t="s">
        <v>155</v>
      </c>
      <c r="K72" s="13"/>
    </row>
    <row r="73" spans="1:11" ht="13.5" customHeight="1" x14ac:dyDescent="0.25">
      <c r="A73" s="2"/>
      <c r="B73" s="61"/>
      <c r="C73" s="55"/>
      <c r="D73" s="20"/>
      <c r="E73" s="20"/>
      <c r="F73" s="11"/>
      <c r="G73" s="12"/>
      <c r="H73" s="13"/>
      <c r="I73" s="19"/>
      <c r="J73" s="214"/>
      <c r="K73" s="13"/>
    </row>
    <row r="74" spans="1:11" ht="13.5" customHeight="1" x14ac:dyDescent="0.25">
      <c r="A74" s="21" t="s">
        <v>371</v>
      </c>
      <c r="B74" s="26"/>
      <c r="C74" s="116"/>
      <c r="D74" s="23"/>
      <c r="E74" s="23"/>
      <c r="F74" s="24"/>
      <c r="G74" s="23"/>
      <c r="H74" s="178">
        <f>SUM(H67:H72)</f>
        <v>6</v>
      </c>
      <c r="I74" s="179">
        <f>SUM(I67:I72)</f>
        <v>1410</v>
      </c>
      <c r="J74" s="116"/>
      <c r="K74" s="116"/>
    </row>
    <row r="75" spans="1:11" ht="13.5" customHeight="1" x14ac:dyDescent="0.25">
      <c r="D75" s="8"/>
      <c r="E75" s="8"/>
      <c r="F75" s="9"/>
      <c r="G75" s="10"/>
      <c r="I75" s="10"/>
      <c r="J75" s="4"/>
    </row>
    <row r="76" spans="1:11" ht="13.5" customHeight="1" x14ac:dyDescent="0.25">
      <c r="A76" s="2" t="s">
        <v>23</v>
      </c>
      <c r="B76" s="76">
        <v>45575</v>
      </c>
      <c r="C76" s="177">
        <v>211125</v>
      </c>
      <c r="D76" s="20">
        <v>45658</v>
      </c>
      <c r="E76" s="20">
        <v>45687</v>
      </c>
      <c r="F76" s="11">
        <f t="shared" ref="F76:F78" si="17">(E76-D76)+1</f>
        <v>30</v>
      </c>
      <c r="G76" s="12">
        <v>235</v>
      </c>
      <c r="H76" s="13">
        <v>1</v>
      </c>
      <c r="I76" s="19">
        <f t="shared" ref="I76:I78" si="18">G76/30*H76*F76</f>
        <v>235</v>
      </c>
      <c r="J76" s="214" t="s">
        <v>378</v>
      </c>
      <c r="K76" s="13" t="s">
        <v>474</v>
      </c>
    </row>
    <row r="77" spans="1:11" ht="13.5" customHeight="1" x14ac:dyDescent="0.25">
      <c r="A77" s="2" t="s">
        <v>23</v>
      </c>
      <c r="B77" s="76">
        <v>45575</v>
      </c>
      <c r="C77" s="177">
        <v>211123</v>
      </c>
      <c r="D77" s="20">
        <v>45658</v>
      </c>
      <c r="E77" s="20">
        <v>45687</v>
      </c>
      <c r="F77" s="11">
        <f t="shared" si="17"/>
        <v>30</v>
      </c>
      <c r="G77" s="12">
        <v>235</v>
      </c>
      <c r="H77" s="13">
        <v>1</v>
      </c>
      <c r="I77" s="19">
        <f t="shared" si="18"/>
        <v>235</v>
      </c>
      <c r="J77" s="214" t="s">
        <v>379</v>
      </c>
      <c r="K77" s="13" t="s">
        <v>474</v>
      </c>
    </row>
    <row r="78" spans="1:11" ht="13.5" customHeight="1" x14ac:dyDescent="0.25">
      <c r="A78" s="2" t="s">
        <v>23</v>
      </c>
      <c r="B78" s="76">
        <v>45575</v>
      </c>
      <c r="C78" s="177">
        <v>11073</v>
      </c>
      <c r="D78" s="20">
        <v>45658</v>
      </c>
      <c r="E78" s="20">
        <v>45687</v>
      </c>
      <c r="F78" s="11">
        <f t="shared" si="17"/>
        <v>30</v>
      </c>
      <c r="G78" s="12">
        <v>235</v>
      </c>
      <c r="H78" s="13">
        <v>1</v>
      </c>
      <c r="I78" s="19">
        <f t="shared" si="18"/>
        <v>235</v>
      </c>
      <c r="J78" s="214" t="s">
        <v>380</v>
      </c>
      <c r="K78" s="13" t="s">
        <v>474</v>
      </c>
    </row>
    <row r="79" spans="1:11" ht="13.5" customHeight="1" x14ac:dyDescent="0.25">
      <c r="A79" s="2" t="s">
        <v>23</v>
      </c>
      <c r="B79" s="76">
        <v>45575</v>
      </c>
      <c r="C79" s="177">
        <v>11107</v>
      </c>
      <c r="D79" s="20">
        <v>45658</v>
      </c>
      <c r="E79" s="20">
        <v>45687</v>
      </c>
      <c r="F79" s="11">
        <f t="shared" ref="F79:F80" si="19">(E79-D79)+1</f>
        <v>30</v>
      </c>
      <c r="G79" s="12">
        <v>235</v>
      </c>
      <c r="H79" s="13">
        <v>1</v>
      </c>
      <c r="I79" s="19">
        <f t="shared" ref="I79:I80" si="20">G79/30*H79*F79</f>
        <v>235</v>
      </c>
      <c r="J79" s="214" t="s">
        <v>381</v>
      </c>
      <c r="K79" s="13" t="s">
        <v>474</v>
      </c>
    </row>
    <row r="80" spans="1:11" ht="13.5" customHeight="1" x14ac:dyDescent="0.25">
      <c r="A80" s="2" t="s">
        <v>23</v>
      </c>
      <c r="B80" s="76">
        <v>45575</v>
      </c>
      <c r="C80" s="177">
        <v>11119</v>
      </c>
      <c r="D80" s="20">
        <v>45658</v>
      </c>
      <c r="E80" s="20">
        <v>45687</v>
      </c>
      <c r="F80" s="11">
        <f t="shared" si="19"/>
        <v>30</v>
      </c>
      <c r="G80" s="12">
        <v>235</v>
      </c>
      <c r="H80" s="13">
        <v>1</v>
      </c>
      <c r="I80" s="19">
        <f t="shared" si="20"/>
        <v>235</v>
      </c>
      <c r="J80" s="214" t="s">
        <v>382</v>
      </c>
      <c r="K80" s="13" t="s">
        <v>474</v>
      </c>
    </row>
    <row r="81" spans="1:11" ht="13.5" customHeight="1" x14ac:dyDescent="0.25">
      <c r="A81" s="2"/>
      <c r="B81" s="76"/>
      <c r="C81" s="135"/>
      <c r="D81" s="20"/>
      <c r="E81" s="20"/>
      <c r="F81" s="11"/>
      <c r="G81" s="12"/>
      <c r="H81" s="13"/>
      <c r="I81" s="19"/>
      <c r="J81" s="214"/>
      <c r="K81" s="13"/>
    </row>
    <row r="82" spans="1:11" ht="13.5" customHeight="1" x14ac:dyDescent="0.25">
      <c r="A82" s="21" t="s">
        <v>372</v>
      </c>
      <c r="B82" s="26"/>
      <c r="C82" s="116"/>
      <c r="D82" s="23"/>
      <c r="E82" s="23"/>
      <c r="F82" s="24"/>
      <c r="G82" s="23"/>
      <c r="H82" s="178">
        <f>SUM(H76:H80)</f>
        <v>5</v>
      </c>
      <c r="I82" s="179">
        <f>SUM(I76:I80)</f>
        <v>1175</v>
      </c>
      <c r="J82" s="116"/>
      <c r="K82" s="116"/>
    </row>
    <row r="83" spans="1:11" ht="13.5" customHeight="1" x14ac:dyDescent="0.25">
      <c r="D83" s="8"/>
      <c r="E83" s="8"/>
      <c r="F83" s="9"/>
      <c r="G83" s="10"/>
      <c r="I83" s="10"/>
      <c r="J83" s="4"/>
    </row>
    <row r="84" spans="1:11" ht="13.5" customHeight="1" x14ac:dyDescent="0.25">
      <c r="A84" s="2" t="s">
        <v>23</v>
      </c>
      <c r="B84" s="76">
        <v>45575</v>
      </c>
      <c r="C84" s="177">
        <v>2364</v>
      </c>
      <c r="D84" s="20">
        <v>45658</v>
      </c>
      <c r="E84" s="20">
        <v>45687</v>
      </c>
      <c r="F84" s="11">
        <f t="shared" ref="F84:F87" si="21">(E84-D84)+1</f>
        <v>30</v>
      </c>
      <c r="G84" s="12">
        <v>235</v>
      </c>
      <c r="H84" s="13">
        <v>1</v>
      </c>
      <c r="I84" s="19">
        <f t="shared" ref="I84:I87" si="22">G84/30*H84*F84</f>
        <v>235</v>
      </c>
      <c r="J84" s="214" t="s">
        <v>379</v>
      </c>
      <c r="K84" s="13"/>
    </row>
    <row r="85" spans="1:11" ht="13.5" customHeight="1" x14ac:dyDescent="0.25">
      <c r="A85" s="2" t="s">
        <v>23</v>
      </c>
      <c r="B85" s="76">
        <v>45575</v>
      </c>
      <c r="C85" s="177">
        <v>365</v>
      </c>
      <c r="D85" s="20">
        <v>45658</v>
      </c>
      <c r="E85" s="20">
        <v>45687</v>
      </c>
      <c r="F85" s="11">
        <f t="shared" si="21"/>
        <v>30</v>
      </c>
      <c r="G85" s="12">
        <v>235</v>
      </c>
      <c r="H85" s="13">
        <v>1</v>
      </c>
      <c r="I85" s="19">
        <f t="shared" si="22"/>
        <v>235</v>
      </c>
      <c r="J85" s="214" t="s">
        <v>380</v>
      </c>
      <c r="K85" s="13"/>
    </row>
    <row r="86" spans="1:11" ht="13.5" customHeight="1" x14ac:dyDescent="0.25">
      <c r="A86" s="2" t="s">
        <v>23</v>
      </c>
      <c r="B86" s="76">
        <v>45575</v>
      </c>
      <c r="C86" s="177">
        <v>2366</v>
      </c>
      <c r="D86" s="20">
        <v>45658</v>
      </c>
      <c r="E86" s="20">
        <v>45687</v>
      </c>
      <c r="F86" s="11">
        <f t="shared" si="21"/>
        <v>30</v>
      </c>
      <c r="G86" s="12">
        <v>235</v>
      </c>
      <c r="H86" s="13">
        <v>1</v>
      </c>
      <c r="I86" s="19">
        <f t="shared" si="22"/>
        <v>235</v>
      </c>
      <c r="J86" s="214" t="s">
        <v>381</v>
      </c>
      <c r="K86" s="13"/>
    </row>
    <row r="87" spans="1:11" ht="13.5" customHeight="1" x14ac:dyDescent="0.25">
      <c r="A87" s="2" t="s">
        <v>23</v>
      </c>
      <c r="B87" s="76">
        <v>45575</v>
      </c>
      <c r="C87" s="177">
        <v>2367</v>
      </c>
      <c r="D87" s="20">
        <v>45658</v>
      </c>
      <c r="E87" s="20">
        <v>45687</v>
      </c>
      <c r="F87" s="11">
        <f t="shared" si="21"/>
        <v>30</v>
      </c>
      <c r="G87" s="12">
        <v>235</v>
      </c>
      <c r="H87" s="13">
        <v>1</v>
      </c>
      <c r="I87" s="19">
        <f t="shared" si="22"/>
        <v>235</v>
      </c>
      <c r="J87" s="214" t="s">
        <v>382</v>
      </c>
      <c r="K87" s="13"/>
    </row>
    <row r="88" spans="1:11" ht="13.5" customHeight="1" x14ac:dyDescent="0.25">
      <c r="A88" s="2"/>
      <c r="B88" s="76"/>
      <c r="C88" s="135"/>
      <c r="D88" s="20"/>
      <c r="E88" s="20"/>
      <c r="F88" s="11"/>
      <c r="G88" s="12"/>
      <c r="H88" s="13"/>
      <c r="I88" s="19"/>
      <c r="J88" s="214"/>
      <c r="K88" s="13"/>
    </row>
    <row r="89" spans="1:11" ht="13.5" customHeight="1" x14ac:dyDescent="0.25">
      <c r="A89" s="21" t="s">
        <v>373</v>
      </c>
      <c r="B89" s="26"/>
      <c r="C89" s="116"/>
      <c r="D89" s="23"/>
      <c r="E89" s="23"/>
      <c r="F89" s="24"/>
      <c r="G89" s="23"/>
      <c r="H89" s="178">
        <f>SUM(H84:H87)</f>
        <v>4</v>
      </c>
      <c r="I89" s="179">
        <f>SUM(I84:I87)</f>
        <v>940</v>
      </c>
      <c r="J89" s="116"/>
      <c r="K89" s="116"/>
    </row>
    <row r="90" spans="1:11" ht="13.5" customHeight="1" x14ac:dyDescent="0.25">
      <c r="D90" s="8"/>
      <c r="E90" s="8"/>
      <c r="F90" s="9"/>
      <c r="G90" s="10"/>
      <c r="I90" s="10"/>
      <c r="J90" s="4"/>
    </row>
    <row r="91" spans="1:11" ht="13.5" customHeight="1" x14ac:dyDescent="0.25">
      <c r="A91" s="2" t="s">
        <v>23</v>
      </c>
      <c r="B91" s="76">
        <v>45575</v>
      </c>
      <c r="C91" s="177">
        <v>211962</v>
      </c>
      <c r="D91" s="20">
        <v>45658</v>
      </c>
      <c r="E91" s="20">
        <v>45687</v>
      </c>
      <c r="F91" s="11">
        <f t="shared" ref="F91:F96" si="23">(E91-D91)+1</f>
        <v>30</v>
      </c>
      <c r="G91" s="12">
        <v>235</v>
      </c>
      <c r="H91" s="13">
        <v>1</v>
      </c>
      <c r="I91" s="19">
        <f t="shared" ref="I91:I96" si="24">G91/30*H91*F91</f>
        <v>235</v>
      </c>
      <c r="J91" s="214" t="s">
        <v>384</v>
      </c>
      <c r="K91" s="13"/>
    </row>
    <row r="92" spans="1:11" ht="13.5" customHeight="1" x14ac:dyDescent="0.25">
      <c r="A92" s="2" t="s">
        <v>24</v>
      </c>
      <c r="B92" s="76">
        <v>45575</v>
      </c>
      <c r="C92" s="177">
        <v>211518</v>
      </c>
      <c r="D92" s="20">
        <v>45658</v>
      </c>
      <c r="E92" s="20">
        <v>45687</v>
      </c>
      <c r="F92" s="11">
        <f t="shared" si="23"/>
        <v>30</v>
      </c>
      <c r="G92" s="12">
        <v>238</v>
      </c>
      <c r="H92" s="13">
        <v>1</v>
      </c>
      <c r="I92" s="19">
        <f t="shared" si="24"/>
        <v>238</v>
      </c>
      <c r="J92" s="214" t="s">
        <v>385</v>
      </c>
      <c r="K92" s="13"/>
    </row>
    <row r="93" spans="1:11" ht="13.5" customHeight="1" x14ac:dyDescent="0.25">
      <c r="A93" s="2" t="s">
        <v>24</v>
      </c>
      <c r="B93" s="76">
        <v>45575</v>
      </c>
      <c r="C93" s="177">
        <v>28494</v>
      </c>
      <c r="D93" s="20">
        <v>45658</v>
      </c>
      <c r="E93" s="20">
        <v>45687</v>
      </c>
      <c r="F93" s="11">
        <f t="shared" si="23"/>
        <v>30</v>
      </c>
      <c r="G93" s="12">
        <v>238</v>
      </c>
      <c r="H93" s="13">
        <v>1</v>
      </c>
      <c r="I93" s="19">
        <f t="shared" si="24"/>
        <v>238</v>
      </c>
      <c r="J93" s="214" t="s">
        <v>386</v>
      </c>
      <c r="K93" s="13"/>
    </row>
    <row r="94" spans="1:11" ht="13.5" customHeight="1" x14ac:dyDescent="0.25">
      <c r="A94" s="2" t="s">
        <v>26</v>
      </c>
      <c r="B94" s="76">
        <v>45575</v>
      </c>
      <c r="C94" s="177">
        <v>11178</v>
      </c>
      <c r="D94" s="20">
        <v>45658</v>
      </c>
      <c r="E94" s="20">
        <v>45687</v>
      </c>
      <c r="F94" s="11">
        <f t="shared" si="23"/>
        <v>30</v>
      </c>
      <c r="G94" s="12">
        <v>260</v>
      </c>
      <c r="H94" s="13">
        <v>1</v>
      </c>
      <c r="I94" s="19">
        <f t="shared" si="24"/>
        <v>260</v>
      </c>
      <c r="J94" s="214" t="s">
        <v>783</v>
      </c>
      <c r="K94" s="13"/>
    </row>
    <row r="95" spans="1:11" ht="13.5" customHeight="1" x14ac:dyDescent="0.25">
      <c r="A95" s="2" t="s">
        <v>26</v>
      </c>
      <c r="B95" s="76">
        <v>45575</v>
      </c>
      <c r="C95" s="177">
        <v>11179</v>
      </c>
      <c r="D95" s="20">
        <v>45658</v>
      </c>
      <c r="E95" s="20">
        <v>45687</v>
      </c>
      <c r="F95" s="11">
        <f t="shared" si="23"/>
        <v>30</v>
      </c>
      <c r="G95" s="12">
        <v>260</v>
      </c>
      <c r="H95" s="13">
        <v>1</v>
      </c>
      <c r="I95" s="19">
        <f t="shared" si="24"/>
        <v>260</v>
      </c>
      <c r="J95" s="214" t="s">
        <v>783</v>
      </c>
      <c r="K95" s="13"/>
    </row>
    <row r="96" spans="1:11" ht="13.5" customHeight="1" x14ac:dyDescent="0.25">
      <c r="A96" s="2" t="s">
        <v>26</v>
      </c>
      <c r="B96" s="76">
        <v>45575</v>
      </c>
      <c r="C96" s="177">
        <v>11180</v>
      </c>
      <c r="D96" s="20">
        <v>45658</v>
      </c>
      <c r="E96" s="20">
        <v>45687</v>
      </c>
      <c r="F96" s="11">
        <f t="shared" si="23"/>
        <v>30</v>
      </c>
      <c r="G96" s="12">
        <v>260</v>
      </c>
      <c r="H96" s="13">
        <v>1</v>
      </c>
      <c r="I96" s="19">
        <f t="shared" si="24"/>
        <v>260</v>
      </c>
      <c r="J96" s="214" t="s">
        <v>783</v>
      </c>
      <c r="K96" s="13"/>
    </row>
    <row r="97" spans="1:11" ht="13.5" customHeight="1" x14ac:dyDescent="0.25">
      <c r="A97" s="2"/>
      <c r="B97" s="76"/>
      <c r="C97" s="135"/>
      <c r="D97" s="20"/>
      <c r="E97" s="20"/>
      <c r="F97" s="11"/>
      <c r="G97" s="12"/>
      <c r="H97" s="13"/>
      <c r="I97" s="19"/>
      <c r="J97" s="214"/>
      <c r="K97" s="13"/>
    </row>
    <row r="98" spans="1:11" ht="13.5" customHeight="1" x14ac:dyDescent="0.25">
      <c r="A98" s="21" t="s">
        <v>374</v>
      </c>
      <c r="B98" s="26"/>
      <c r="C98" s="116"/>
      <c r="D98" s="23"/>
      <c r="E98" s="23"/>
      <c r="F98" s="24"/>
      <c r="G98" s="23"/>
      <c r="H98" s="178">
        <f>SUM(H91:H96)</f>
        <v>6</v>
      </c>
      <c r="I98" s="179">
        <f>SUM(I91:I96)</f>
        <v>1491</v>
      </c>
      <c r="J98" s="116"/>
      <c r="K98" s="116"/>
    </row>
    <row r="99" spans="1:11" ht="13.5" customHeight="1" x14ac:dyDescent="0.25">
      <c r="D99" s="8"/>
      <c r="E99" s="8"/>
      <c r="F99" s="9"/>
      <c r="G99" s="10"/>
      <c r="I99" s="10"/>
      <c r="J99" s="4"/>
    </row>
    <row r="100" spans="1:11" ht="13.5" customHeight="1" x14ac:dyDescent="0.25">
      <c r="A100" s="2" t="s">
        <v>23</v>
      </c>
      <c r="B100" s="76">
        <v>45575</v>
      </c>
      <c r="C100" s="177">
        <v>29834</v>
      </c>
      <c r="D100" s="20">
        <v>45658</v>
      </c>
      <c r="E100" s="20">
        <v>45687</v>
      </c>
      <c r="F100" s="11">
        <f t="shared" ref="F100:F105" si="25">(E100-D100)+1</f>
        <v>30</v>
      </c>
      <c r="G100" s="12">
        <v>235</v>
      </c>
      <c r="H100" s="13">
        <v>1</v>
      </c>
      <c r="I100" s="19">
        <f t="shared" ref="I100:I105" si="26">G100/30*H100*F100</f>
        <v>235</v>
      </c>
      <c r="J100" s="214" t="s">
        <v>387</v>
      </c>
      <c r="K100" s="13"/>
    </row>
    <row r="101" spans="1:11" ht="13.5" customHeight="1" x14ac:dyDescent="0.25">
      <c r="A101" s="2" t="s">
        <v>23</v>
      </c>
      <c r="B101" s="76">
        <v>45575</v>
      </c>
      <c r="C101" s="177">
        <v>210189</v>
      </c>
      <c r="D101" s="20">
        <v>45658</v>
      </c>
      <c r="E101" s="20">
        <v>45687</v>
      </c>
      <c r="F101" s="11">
        <f t="shared" si="25"/>
        <v>30</v>
      </c>
      <c r="G101" s="12">
        <v>235</v>
      </c>
      <c r="H101" s="13">
        <v>1</v>
      </c>
      <c r="I101" s="19">
        <f t="shared" si="26"/>
        <v>235</v>
      </c>
      <c r="J101" s="214" t="s">
        <v>379</v>
      </c>
      <c r="K101" s="13"/>
    </row>
    <row r="102" spans="1:11" ht="13.5" customHeight="1" x14ac:dyDescent="0.25">
      <c r="A102" s="2" t="s">
        <v>23</v>
      </c>
      <c r="B102" s="76">
        <v>45575</v>
      </c>
      <c r="C102" s="177">
        <v>10187</v>
      </c>
      <c r="D102" s="20">
        <v>45658</v>
      </c>
      <c r="E102" s="20">
        <v>45687</v>
      </c>
      <c r="F102" s="11">
        <f t="shared" si="25"/>
        <v>30</v>
      </c>
      <c r="G102" s="12">
        <v>235</v>
      </c>
      <c r="H102" s="13">
        <v>1</v>
      </c>
      <c r="I102" s="19">
        <f t="shared" si="26"/>
        <v>235</v>
      </c>
      <c r="J102" s="214" t="s">
        <v>378</v>
      </c>
      <c r="K102" s="13"/>
    </row>
    <row r="103" spans="1:11" ht="13.5" customHeight="1" x14ac:dyDescent="0.25">
      <c r="A103" s="2" t="s">
        <v>23</v>
      </c>
      <c r="B103" s="76">
        <v>45575</v>
      </c>
      <c r="C103" s="177">
        <v>9957</v>
      </c>
      <c r="D103" s="20">
        <v>45658</v>
      </c>
      <c r="E103" s="20">
        <v>45687</v>
      </c>
      <c r="F103" s="11">
        <f t="shared" si="25"/>
        <v>30</v>
      </c>
      <c r="G103" s="12">
        <v>235</v>
      </c>
      <c r="H103" s="13">
        <v>1</v>
      </c>
      <c r="I103" s="19">
        <f t="shared" si="26"/>
        <v>235</v>
      </c>
      <c r="J103" s="214" t="s">
        <v>380</v>
      </c>
      <c r="K103" s="13"/>
    </row>
    <row r="104" spans="1:11" ht="13.5" customHeight="1" x14ac:dyDescent="0.25">
      <c r="A104" s="2" t="s">
        <v>23</v>
      </c>
      <c r="B104" s="76">
        <v>45575</v>
      </c>
      <c r="C104" s="177">
        <v>10190</v>
      </c>
      <c r="D104" s="20">
        <v>45658</v>
      </c>
      <c r="E104" s="20">
        <v>45687</v>
      </c>
      <c r="F104" s="11">
        <f t="shared" si="25"/>
        <v>30</v>
      </c>
      <c r="G104" s="12">
        <v>235</v>
      </c>
      <c r="H104" s="13">
        <v>1</v>
      </c>
      <c r="I104" s="19">
        <f t="shared" si="26"/>
        <v>235</v>
      </c>
      <c r="J104" s="214" t="s">
        <v>381</v>
      </c>
      <c r="K104" s="13"/>
    </row>
    <row r="105" spans="1:11" ht="13.5" customHeight="1" x14ac:dyDescent="0.25">
      <c r="A105" s="2" t="s">
        <v>23</v>
      </c>
      <c r="B105" s="76">
        <v>45575</v>
      </c>
      <c r="C105" s="177">
        <v>820</v>
      </c>
      <c r="D105" s="20">
        <v>45658</v>
      </c>
      <c r="E105" s="20">
        <v>45687</v>
      </c>
      <c r="F105" s="11">
        <f t="shared" si="25"/>
        <v>30</v>
      </c>
      <c r="G105" s="12">
        <v>235</v>
      </c>
      <c r="H105" s="13">
        <v>1</v>
      </c>
      <c r="I105" s="19">
        <f t="shared" si="26"/>
        <v>235</v>
      </c>
      <c r="J105" s="214" t="s">
        <v>382</v>
      </c>
      <c r="K105" s="13"/>
    </row>
    <row r="106" spans="1:11" ht="13.5" customHeight="1" x14ac:dyDescent="0.25">
      <c r="A106" s="2"/>
      <c r="B106" s="76"/>
      <c r="C106" s="135"/>
      <c r="D106" s="20"/>
      <c r="E106" s="20"/>
      <c r="F106" s="11"/>
      <c r="G106" s="12"/>
      <c r="H106" s="170"/>
      <c r="I106" s="171"/>
      <c r="J106" s="214"/>
      <c r="K106" s="13"/>
    </row>
    <row r="107" spans="1:11" ht="13.5" customHeight="1" x14ac:dyDescent="0.25">
      <c r="A107" s="21" t="s">
        <v>375</v>
      </c>
      <c r="B107" s="26"/>
      <c r="C107" s="116"/>
      <c r="D107" s="23"/>
      <c r="E107" s="23"/>
      <c r="F107" s="24"/>
      <c r="G107" s="23"/>
      <c r="H107" s="178">
        <f>SUM(H100:H105)</f>
        <v>6</v>
      </c>
      <c r="I107" s="179">
        <f>SUM(I100:I105)</f>
        <v>1410</v>
      </c>
      <c r="J107" s="116"/>
      <c r="K107" s="116"/>
    </row>
    <row r="108" spans="1:11" ht="13.5" customHeight="1" x14ac:dyDescent="0.25">
      <c r="A108" s="210"/>
      <c r="B108" s="6"/>
      <c r="C108" s="216"/>
      <c r="F108" s="211"/>
      <c r="H108" s="6"/>
      <c r="I108" s="212"/>
      <c r="J108" s="4"/>
    </row>
    <row r="109" spans="1:11" ht="13.5" customHeight="1" x14ac:dyDescent="0.25">
      <c r="A109" s="2" t="s">
        <v>27</v>
      </c>
      <c r="B109" s="76">
        <v>45575</v>
      </c>
      <c r="C109" s="177">
        <v>20111</v>
      </c>
      <c r="D109" s="20">
        <v>45658</v>
      </c>
      <c r="E109" s="20">
        <v>45687</v>
      </c>
      <c r="F109" s="11">
        <f t="shared" ref="F109:F111" si="27">(E109-D109)+1</f>
        <v>30</v>
      </c>
      <c r="G109" s="12">
        <v>347</v>
      </c>
      <c r="H109" s="13">
        <v>1</v>
      </c>
      <c r="I109" s="19">
        <f t="shared" ref="I109:I111" si="28">G109/30*H109*F109</f>
        <v>347</v>
      </c>
      <c r="J109" s="214" t="s">
        <v>388</v>
      </c>
      <c r="K109" s="13"/>
    </row>
    <row r="110" spans="1:11" ht="13.5" customHeight="1" x14ac:dyDescent="0.25">
      <c r="A110" s="2" t="s">
        <v>27</v>
      </c>
      <c r="B110" s="76">
        <v>45575</v>
      </c>
      <c r="C110" s="177">
        <v>20110</v>
      </c>
      <c r="D110" s="20">
        <v>45658</v>
      </c>
      <c r="E110" s="20">
        <v>45687</v>
      </c>
      <c r="F110" s="11">
        <f t="shared" si="27"/>
        <v>30</v>
      </c>
      <c r="G110" s="12">
        <v>347</v>
      </c>
      <c r="H110" s="13">
        <v>1</v>
      </c>
      <c r="I110" s="19">
        <f t="shared" si="28"/>
        <v>347</v>
      </c>
      <c r="J110" s="214" t="s">
        <v>389</v>
      </c>
      <c r="K110" s="13"/>
    </row>
    <row r="111" spans="1:11" ht="13.5" customHeight="1" x14ac:dyDescent="0.25">
      <c r="A111" s="2" t="s">
        <v>27</v>
      </c>
      <c r="B111" s="76">
        <v>45575</v>
      </c>
      <c r="C111" s="177">
        <v>112</v>
      </c>
      <c r="D111" s="20">
        <v>45658</v>
      </c>
      <c r="E111" s="20">
        <v>45687</v>
      </c>
      <c r="F111" s="11">
        <f t="shared" si="27"/>
        <v>30</v>
      </c>
      <c r="G111" s="12">
        <v>347</v>
      </c>
      <c r="H111" s="13">
        <v>1</v>
      </c>
      <c r="I111" s="19">
        <f t="shared" si="28"/>
        <v>347</v>
      </c>
      <c r="J111" s="214"/>
      <c r="K111" s="13"/>
    </row>
    <row r="112" spans="1:11" ht="13.5" customHeight="1" x14ac:dyDescent="0.25">
      <c r="A112" s="2"/>
      <c r="B112" s="76"/>
      <c r="C112" s="135"/>
      <c r="D112" s="20"/>
      <c r="E112" s="20"/>
      <c r="F112" s="11"/>
      <c r="G112" s="12"/>
      <c r="H112" s="13"/>
      <c r="I112" s="19"/>
      <c r="J112" s="214"/>
      <c r="K112" s="13"/>
    </row>
    <row r="113" spans="1:11" ht="13.5" customHeight="1" x14ac:dyDescent="0.25">
      <c r="A113" s="21" t="s">
        <v>376</v>
      </c>
      <c r="B113" s="26"/>
      <c r="C113" s="116"/>
      <c r="D113" s="23"/>
      <c r="E113" s="23"/>
      <c r="F113" s="24"/>
      <c r="G113" s="23"/>
      <c r="H113" s="178">
        <f>SUM(H109:H111)</f>
        <v>3</v>
      </c>
      <c r="I113" s="179">
        <f>SUM(I109:I111)</f>
        <v>1041</v>
      </c>
      <c r="J113" s="116"/>
      <c r="K113" s="116"/>
    </row>
    <row r="114" spans="1:11" ht="13.5" customHeight="1" x14ac:dyDescent="0.25">
      <c r="D114" s="8"/>
      <c r="E114" s="8"/>
      <c r="F114" s="9"/>
      <c r="G114" s="10"/>
      <c r="I114" s="10"/>
      <c r="J114" s="4"/>
    </row>
    <row r="115" spans="1:11" ht="13.5" customHeight="1" x14ac:dyDescent="0.25">
      <c r="A115" s="2" t="s">
        <v>27</v>
      </c>
      <c r="B115" s="76">
        <v>45575</v>
      </c>
      <c r="C115" s="177">
        <v>216058</v>
      </c>
      <c r="D115" s="20">
        <v>45658</v>
      </c>
      <c r="E115" s="20">
        <v>45687</v>
      </c>
      <c r="F115" s="11">
        <f t="shared" ref="F115" si="29">(E115-D115)+1</f>
        <v>30</v>
      </c>
      <c r="G115" s="12">
        <v>347</v>
      </c>
      <c r="H115" s="13">
        <v>1</v>
      </c>
      <c r="I115" s="19">
        <f t="shared" ref="I115:I116" si="30">G115/30*H115*F115</f>
        <v>347</v>
      </c>
      <c r="J115" s="214" t="s">
        <v>562</v>
      </c>
      <c r="K115" s="13" t="s">
        <v>784</v>
      </c>
    </row>
    <row r="116" spans="1:11" ht="13.5" customHeight="1" x14ac:dyDescent="0.2">
      <c r="A116" s="2" t="s">
        <v>24</v>
      </c>
      <c r="B116" s="76">
        <v>45596</v>
      </c>
      <c r="C116" s="244">
        <v>16495</v>
      </c>
      <c r="D116" s="20">
        <v>45658</v>
      </c>
      <c r="E116" s="20">
        <v>45687</v>
      </c>
      <c r="F116" s="11">
        <v>30</v>
      </c>
      <c r="G116" s="12">
        <v>238</v>
      </c>
      <c r="H116" s="13">
        <v>1</v>
      </c>
      <c r="I116" s="19">
        <f t="shared" si="30"/>
        <v>238</v>
      </c>
      <c r="J116" s="110" t="s">
        <v>861</v>
      </c>
      <c r="K116" s="13">
        <v>70908</v>
      </c>
    </row>
    <row r="117" spans="1:11" ht="13.5" customHeight="1" x14ac:dyDescent="0.25">
      <c r="A117" s="2"/>
      <c r="B117" s="76"/>
      <c r="C117" s="55"/>
      <c r="D117" s="20"/>
      <c r="E117" s="20"/>
      <c r="F117" s="11"/>
      <c r="G117" s="12"/>
      <c r="H117" s="13"/>
      <c r="I117" s="19"/>
      <c r="J117" s="214"/>
      <c r="K117" s="13"/>
    </row>
    <row r="118" spans="1:11" ht="13.5" customHeight="1" x14ac:dyDescent="0.25">
      <c r="A118" s="21" t="s">
        <v>561</v>
      </c>
      <c r="B118" s="26"/>
      <c r="C118" s="196"/>
      <c r="D118" s="23"/>
      <c r="E118" s="23"/>
      <c r="F118" s="24"/>
      <c r="G118" s="23"/>
      <c r="H118" s="178">
        <f>SUM(H115:H117)</f>
        <v>2</v>
      </c>
      <c r="I118" s="179">
        <f>SUM(I115:I117)</f>
        <v>585</v>
      </c>
      <c r="J118" s="116"/>
      <c r="K118" s="116"/>
    </row>
    <row r="119" spans="1:11" ht="13.5" customHeight="1" x14ac:dyDescent="0.25">
      <c r="C119" s="195"/>
      <c r="D119" s="8"/>
      <c r="E119" s="8"/>
      <c r="F119" s="9"/>
      <c r="G119" s="10"/>
      <c r="I119" s="10"/>
      <c r="J119" s="4"/>
    </row>
    <row r="120" spans="1:11" ht="13.5" customHeight="1" x14ac:dyDescent="0.25">
      <c r="A120" s="2" t="s">
        <v>23</v>
      </c>
      <c r="B120" s="221">
        <v>45594</v>
      </c>
      <c r="C120" s="177">
        <v>16115</v>
      </c>
      <c r="D120" s="20">
        <v>45658</v>
      </c>
      <c r="E120" s="20">
        <v>45687</v>
      </c>
      <c r="F120" s="11">
        <f t="shared" ref="F120" si="31">(E120-D120)+1</f>
        <v>30</v>
      </c>
      <c r="G120" s="12">
        <v>235</v>
      </c>
      <c r="H120" s="13">
        <v>1</v>
      </c>
      <c r="I120" s="19">
        <f t="shared" ref="I120:I127" si="32">G120/30*H120*F120</f>
        <v>235</v>
      </c>
      <c r="J120" s="214" t="s">
        <v>831</v>
      </c>
      <c r="K120" s="13">
        <v>70655</v>
      </c>
    </row>
    <row r="121" spans="1:11" ht="13.5" customHeight="1" x14ac:dyDescent="0.25">
      <c r="A121" s="2" t="s">
        <v>23</v>
      </c>
      <c r="B121" s="221">
        <v>45594</v>
      </c>
      <c r="C121" s="177">
        <v>15330</v>
      </c>
      <c r="D121" s="20">
        <v>45658</v>
      </c>
      <c r="E121" s="20">
        <v>45687</v>
      </c>
      <c r="F121" s="11">
        <f t="shared" ref="F121:F127" si="33">(E121-D121)+1</f>
        <v>30</v>
      </c>
      <c r="G121" s="12">
        <v>235</v>
      </c>
      <c r="H121" s="13">
        <v>1</v>
      </c>
      <c r="I121" s="19">
        <f t="shared" si="32"/>
        <v>235</v>
      </c>
      <c r="J121" s="214" t="s">
        <v>834</v>
      </c>
      <c r="K121" s="13">
        <v>70655</v>
      </c>
    </row>
    <row r="122" spans="1:11" ht="13.5" customHeight="1" x14ac:dyDescent="0.25">
      <c r="A122" s="2" t="s">
        <v>23</v>
      </c>
      <c r="B122" s="221">
        <v>45594</v>
      </c>
      <c r="C122" s="177">
        <v>14600</v>
      </c>
      <c r="D122" s="20">
        <v>45658</v>
      </c>
      <c r="E122" s="20">
        <v>45687</v>
      </c>
      <c r="F122" s="11">
        <f t="shared" si="33"/>
        <v>30</v>
      </c>
      <c r="G122" s="12">
        <v>235</v>
      </c>
      <c r="H122" s="13">
        <v>1</v>
      </c>
      <c r="I122" s="19">
        <f t="shared" si="32"/>
        <v>235</v>
      </c>
      <c r="J122" s="214" t="s">
        <v>832</v>
      </c>
      <c r="K122" s="13">
        <v>70655</v>
      </c>
    </row>
    <row r="123" spans="1:11" ht="13.5" customHeight="1" x14ac:dyDescent="0.25">
      <c r="A123" s="2" t="s">
        <v>23</v>
      </c>
      <c r="B123" s="221">
        <v>45594</v>
      </c>
      <c r="C123" s="177">
        <v>15341</v>
      </c>
      <c r="D123" s="20">
        <v>45658</v>
      </c>
      <c r="E123" s="20">
        <v>45687</v>
      </c>
      <c r="F123" s="11">
        <f t="shared" si="33"/>
        <v>30</v>
      </c>
      <c r="G123" s="12">
        <v>235</v>
      </c>
      <c r="H123" s="13">
        <v>1</v>
      </c>
      <c r="I123" s="19">
        <f t="shared" si="32"/>
        <v>235</v>
      </c>
      <c r="J123" s="214" t="s">
        <v>833</v>
      </c>
      <c r="K123" s="13">
        <v>70655</v>
      </c>
    </row>
    <row r="124" spans="1:11" ht="13.5" customHeight="1" x14ac:dyDescent="0.25">
      <c r="A124" s="2" t="s">
        <v>23</v>
      </c>
      <c r="B124" s="221">
        <v>45594</v>
      </c>
      <c r="C124" s="177">
        <v>14638</v>
      </c>
      <c r="D124" s="20">
        <v>45658</v>
      </c>
      <c r="E124" s="20">
        <v>45687</v>
      </c>
      <c r="F124" s="11">
        <f t="shared" si="33"/>
        <v>30</v>
      </c>
      <c r="G124" s="12">
        <v>235</v>
      </c>
      <c r="H124" s="13">
        <v>1</v>
      </c>
      <c r="I124" s="19">
        <f t="shared" si="32"/>
        <v>235</v>
      </c>
      <c r="J124" s="214" t="s">
        <v>382</v>
      </c>
      <c r="K124" s="13">
        <v>70655</v>
      </c>
    </row>
    <row r="125" spans="1:11" ht="13.5" customHeight="1" x14ac:dyDescent="0.25">
      <c r="A125" s="2" t="s">
        <v>23</v>
      </c>
      <c r="B125" s="221">
        <v>45594</v>
      </c>
      <c r="C125" s="177">
        <v>16130</v>
      </c>
      <c r="D125" s="20">
        <v>45658</v>
      </c>
      <c r="E125" s="20">
        <v>45687</v>
      </c>
      <c r="F125" s="11">
        <f t="shared" si="33"/>
        <v>30</v>
      </c>
      <c r="G125" s="12">
        <v>235</v>
      </c>
      <c r="H125" s="13">
        <v>1</v>
      </c>
      <c r="I125" s="19">
        <f t="shared" si="32"/>
        <v>235</v>
      </c>
      <c r="J125" s="214" t="s">
        <v>859</v>
      </c>
      <c r="K125" s="13">
        <v>70655</v>
      </c>
    </row>
    <row r="126" spans="1:11" ht="13.5" customHeight="1" x14ac:dyDescent="0.25">
      <c r="A126" s="2" t="s">
        <v>23</v>
      </c>
      <c r="B126" s="221">
        <v>45594</v>
      </c>
      <c r="C126" s="177">
        <v>16135</v>
      </c>
      <c r="D126" s="20">
        <v>45658</v>
      </c>
      <c r="E126" s="20">
        <v>45687</v>
      </c>
      <c r="F126" s="11">
        <f t="shared" si="33"/>
        <v>30</v>
      </c>
      <c r="G126" s="12">
        <v>235</v>
      </c>
      <c r="H126" s="13">
        <v>1</v>
      </c>
      <c r="I126" s="19">
        <f t="shared" si="32"/>
        <v>235</v>
      </c>
      <c r="J126" s="214" t="s">
        <v>860</v>
      </c>
      <c r="K126" s="13">
        <v>70655</v>
      </c>
    </row>
    <row r="127" spans="1:11" ht="13.5" customHeight="1" x14ac:dyDescent="0.25">
      <c r="A127" s="2" t="s">
        <v>23</v>
      </c>
      <c r="B127" s="221">
        <v>45594</v>
      </c>
      <c r="C127" s="177">
        <v>16164</v>
      </c>
      <c r="D127" s="20">
        <v>45658</v>
      </c>
      <c r="E127" s="20">
        <v>45687</v>
      </c>
      <c r="F127" s="11">
        <f t="shared" si="33"/>
        <v>30</v>
      </c>
      <c r="G127" s="12">
        <v>235</v>
      </c>
      <c r="H127" s="13">
        <v>1</v>
      </c>
      <c r="I127" s="19">
        <f t="shared" si="32"/>
        <v>235</v>
      </c>
      <c r="J127" s="214" t="s">
        <v>383</v>
      </c>
      <c r="K127" s="13">
        <v>70655</v>
      </c>
    </row>
    <row r="128" spans="1:11" ht="13.5" customHeight="1" x14ac:dyDescent="0.25">
      <c r="A128" s="2"/>
      <c r="B128" s="76"/>
      <c r="C128" s="164"/>
      <c r="D128" s="20"/>
      <c r="E128" s="20"/>
      <c r="F128" s="11"/>
      <c r="G128" s="12"/>
      <c r="H128" s="13"/>
      <c r="I128" s="19"/>
      <c r="J128" s="214"/>
      <c r="K128" s="13"/>
    </row>
    <row r="129" spans="1:11" ht="13.5" customHeight="1" x14ac:dyDescent="0.25">
      <c r="A129" s="21" t="s">
        <v>858</v>
      </c>
      <c r="B129" s="26"/>
      <c r="C129" s="196"/>
      <c r="D129" s="23"/>
      <c r="E129" s="23"/>
      <c r="F129" s="24"/>
      <c r="G129" s="23"/>
      <c r="H129" s="178">
        <f>SUM(H120:H128)</f>
        <v>8</v>
      </c>
      <c r="I129" s="179">
        <f>SUM(I120:I128)</f>
        <v>1880</v>
      </c>
      <c r="J129" s="116"/>
      <c r="K129" s="116"/>
    </row>
    <row r="130" spans="1:11" ht="13.5" customHeight="1" x14ac:dyDescent="0.25">
      <c r="A130" s="156"/>
      <c r="B130" s="157"/>
      <c r="C130" s="245"/>
      <c r="D130" s="158"/>
      <c r="E130" s="158"/>
      <c r="F130" s="159"/>
      <c r="G130" s="158"/>
      <c r="H130" s="157"/>
      <c r="I130" s="160"/>
      <c r="J130" s="162"/>
      <c r="K130" s="162"/>
    </row>
    <row r="131" spans="1:11" ht="13.5" customHeight="1" x14ac:dyDescent="0.25">
      <c r="A131" s="2" t="s">
        <v>23</v>
      </c>
      <c r="B131" s="221">
        <v>45636</v>
      </c>
      <c r="C131" s="177">
        <v>16190</v>
      </c>
      <c r="D131" s="20">
        <v>45658</v>
      </c>
      <c r="E131" s="20">
        <v>45687</v>
      </c>
      <c r="F131" s="11">
        <f t="shared" ref="F131" si="34">(E131-D131)+1</f>
        <v>30</v>
      </c>
      <c r="G131" s="12">
        <v>235</v>
      </c>
      <c r="H131" s="13">
        <v>1</v>
      </c>
      <c r="I131" s="19">
        <f t="shared" ref="I131" si="35">G131/30*H131*F131</f>
        <v>235</v>
      </c>
      <c r="J131" s="214" t="s">
        <v>380</v>
      </c>
      <c r="K131" s="13">
        <v>72675</v>
      </c>
    </row>
    <row r="132" spans="1:11" ht="13.5" customHeight="1" x14ac:dyDescent="0.25">
      <c r="A132" s="2" t="s">
        <v>22</v>
      </c>
      <c r="B132" s="221">
        <v>45636</v>
      </c>
      <c r="C132" s="177">
        <v>16777</v>
      </c>
      <c r="D132" s="20">
        <v>45658</v>
      </c>
      <c r="E132" s="20">
        <v>45687</v>
      </c>
      <c r="F132" s="11">
        <f t="shared" ref="F132:F134" si="36">(E132-D132)+1</f>
        <v>30</v>
      </c>
      <c r="G132" s="12">
        <v>147</v>
      </c>
      <c r="H132" s="13">
        <v>1</v>
      </c>
      <c r="I132" s="19">
        <f t="shared" ref="I132:I134" si="37">G132/30*H132*F132</f>
        <v>147</v>
      </c>
      <c r="J132" s="214" t="s">
        <v>378</v>
      </c>
      <c r="K132" s="13">
        <v>72675</v>
      </c>
    </row>
    <row r="133" spans="1:11" ht="13.5" customHeight="1" x14ac:dyDescent="0.25">
      <c r="A133" s="2" t="s">
        <v>22</v>
      </c>
      <c r="B133" s="221">
        <v>45636</v>
      </c>
      <c r="C133" s="177">
        <v>16783</v>
      </c>
      <c r="D133" s="20">
        <v>45658</v>
      </c>
      <c r="E133" s="20">
        <v>45687</v>
      </c>
      <c r="F133" s="11">
        <f t="shared" si="36"/>
        <v>30</v>
      </c>
      <c r="G133" s="12">
        <v>147</v>
      </c>
      <c r="H133" s="13">
        <v>1</v>
      </c>
      <c r="I133" s="19">
        <f t="shared" si="37"/>
        <v>147</v>
      </c>
      <c r="J133" s="214" t="s">
        <v>379</v>
      </c>
      <c r="K133" s="13">
        <v>72675</v>
      </c>
    </row>
    <row r="134" spans="1:11" ht="13.5" customHeight="1" x14ac:dyDescent="0.25">
      <c r="A134" s="2" t="s">
        <v>22</v>
      </c>
      <c r="B134" s="221">
        <v>45636</v>
      </c>
      <c r="C134" s="177">
        <v>16774</v>
      </c>
      <c r="D134" s="20">
        <v>45658</v>
      </c>
      <c r="E134" s="20">
        <v>45687</v>
      </c>
      <c r="F134" s="11">
        <f t="shared" si="36"/>
        <v>30</v>
      </c>
      <c r="G134" s="12">
        <v>147</v>
      </c>
      <c r="H134" s="13">
        <v>1</v>
      </c>
      <c r="I134" s="19">
        <f t="shared" si="37"/>
        <v>147</v>
      </c>
      <c r="J134" s="214" t="s">
        <v>381</v>
      </c>
      <c r="K134" s="13">
        <v>72464</v>
      </c>
    </row>
    <row r="135" spans="1:11" ht="13.5" customHeight="1" x14ac:dyDescent="0.25">
      <c r="A135" s="2" t="s">
        <v>22</v>
      </c>
      <c r="B135" s="221">
        <v>45636</v>
      </c>
      <c r="C135" s="177">
        <v>16736</v>
      </c>
      <c r="D135" s="20">
        <v>45658</v>
      </c>
      <c r="E135" s="20">
        <v>45687</v>
      </c>
      <c r="F135" s="11">
        <f t="shared" ref="F135" si="38">(E135-D135)+1</f>
        <v>30</v>
      </c>
      <c r="G135" s="12">
        <v>147</v>
      </c>
      <c r="H135" s="13">
        <v>1</v>
      </c>
      <c r="I135" s="19">
        <f t="shared" ref="I135" si="39">G135/30*H135*F135</f>
        <v>147</v>
      </c>
      <c r="J135" s="214" t="s">
        <v>382</v>
      </c>
      <c r="K135" s="13">
        <v>72464</v>
      </c>
    </row>
    <row r="136" spans="1:11" ht="13.5" customHeight="1" x14ac:dyDescent="0.25">
      <c r="A136" s="2"/>
      <c r="B136" s="221"/>
      <c r="C136" s="101"/>
      <c r="D136" s="20"/>
      <c r="E136" s="20"/>
      <c r="F136" s="11"/>
      <c r="G136" s="12"/>
      <c r="H136" s="13"/>
      <c r="I136" s="19"/>
      <c r="J136" s="214"/>
      <c r="K136" s="13"/>
    </row>
    <row r="137" spans="1:11" ht="13.5" customHeight="1" x14ac:dyDescent="0.25">
      <c r="A137" s="21" t="s">
        <v>982</v>
      </c>
      <c r="B137" s="26"/>
      <c r="C137" s="196"/>
      <c r="D137" s="23"/>
      <c r="E137" s="23"/>
      <c r="F137" s="24"/>
      <c r="G137" s="23"/>
      <c r="H137" s="178">
        <f>SUM(H131:H136)</f>
        <v>5</v>
      </c>
      <c r="I137" s="179">
        <f>SUM(I131:I136)</f>
        <v>823</v>
      </c>
      <c r="J137" s="116"/>
      <c r="K137" s="116"/>
    </row>
    <row r="138" spans="1:11" ht="13.5" customHeight="1" x14ac:dyDescent="0.25">
      <c r="A138" s="156" t="s">
        <v>986</v>
      </c>
      <c r="B138" s="157"/>
      <c r="C138" s="245"/>
      <c r="D138" s="158"/>
      <c r="E138" s="158"/>
      <c r="F138" s="159"/>
      <c r="G138" s="158"/>
      <c r="H138" s="157"/>
      <c r="I138" s="160"/>
      <c r="J138" s="162"/>
      <c r="K138" s="162"/>
    </row>
    <row r="139" spans="1:11" ht="13.5" customHeight="1" x14ac:dyDescent="0.25">
      <c r="C139" s="195"/>
      <c r="D139" s="8"/>
      <c r="E139" s="8"/>
      <c r="F139" s="9"/>
      <c r="G139" s="10"/>
      <c r="H139" s="50">
        <f>H37+H46+H56+H65+H74+H82+H89+H98+H107+H113+H118+H129+H137</f>
        <v>85</v>
      </c>
      <c r="I139" s="25">
        <f>I37+I46+I56+I65+I74+I82+I89+I98+I107+I113+I118+I129+I137</f>
        <v>20198</v>
      </c>
      <c r="J139" s="16"/>
    </row>
    <row r="140" spans="1:11" ht="13.5" customHeight="1" x14ac:dyDescent="0.25">
      <c r="D140" s="8"/>
      <c r="E140" s="8"/>
      <c r="F140" s="9"/>
      <c r="G140" s="10"/>
      <c r="I140" s="10"/>
      <c r="J140" s="16"/>
    </row>
    <row r="141" spans="1:11" ht="13.5" customHeight="1" x14ac:dyDescent="0.25">
      <c r="D141" s="8"/>
      <c r="E141" s="8"/>
      <c r="F141" s="9"/>
      <c r="G141" s="10"/>
      <c r="I141" s="10"/>
      <c r="J141" s="7"/>
    </row>
    <row r="142" spans="1:11" ht="13.5" customHeight="1" x14ac:dyDescent="0.25">
      <c r="A142" s="289" t="s">
        <v>124</v>
      </c>
      <c r="B142" s="289"/>
      <c r="C142" s="289"/>
      <c r="D142" s="289"/>
      <c r="E142" s="289"/>
      <c r="F142" s="289"/>
      <c r="G142" s="289"/>
      <c r="H142" s="289"/>
      <c r="I142" s="289"/>
      <c r="J142" s="7"/>
    </row>
    <row r="143" spans="1:11" ht="13.5" customHeight="1" x14ac:dyDescent="0.25">
      <c r="J143" s="7"/>
    </row>
    <row r="144" spans="1:11" ht="13.5" customHeight="1" x14ac:dyDescent="0.2">
      <c r="A144" s="27" t="s">
        <v>125</v>
      </c>
      <c r="B144" s="7"/>
      <c r="F144" s="71"/>
      <c r="G144" s="10"/>
      <c r="I144" s="72"/>
      <c r="J144" s="7"/>
    </row>
    <row r="145" spans="1:10" ht="60" customHeight="1" x14ac:dyDescent="0.25">
      <c r="A145" s="291"/>
      <c r="B145" s="275"/>
      <c r="C145" s="292"/>
      <c r="D145" s="290"/>
      <c r="E145" s="290"/>
      <c r="F145" s="290"/>
      <c r="G145" s="290"/>
      <c r="H145" s="290"/>
      <c r="I145" s="290"/>
      <c r="J145" s="7"/>
    </row>
    <row r="146" spans="1:10" ht="13.5" customHeight="1" x14ac:dyDescent="0.25">
      <c r="A146" s="274" t="s">
        <v>126</v>
      </c>
      <c r="B146" s="274"/>
      <c r="C146" s="274"/>
      <c r="D146" s="274" t="s">
        <v>127</v>
      </c>
      <c r="E146" s="274"/>
      <c r="F146" s="274"/>
      <c r="G146" s="274"/>
      <c r="H146" s="274"/>
      <c r="I146" s="274"/>
      <c r="J146" s="7"/>
    </row>
    <row r="147" spans="1:10" ht="13.5" customHeight="1" x14ac:dyDescent="0.25">
      <c r="D147" s="8"/>
      <c r="E147" s="8"/>
      <c r="F147" s="9"/>
      <c r="G147" s="10"/>
      <c r="I147" s="10"/>
      <c r="J147" s="7"/>
    </row>
    <row r="148" spans="1:10" ht="13.5" customHeight="1" x14ac:dyDescent="0.25">
      <c r="D148" s="8"/>
      <c r="E148" s="8"/>
      <c r="F148" s="9"/>
      <c r="G148" s="10"/>
      <c r="I148" s="10"/>
      <c r="J148" s="7"/>
    </row>
    <row r="149" spans="1:10" ht="13.5" customHeight="1" x14ac:dyDescent="0.25">
      <c r="D149" s="8"/>
      <c r="E149" s="8"/>
      <c r="F149" s="9"/>
      <c r="G149" s="10"/>
      <c r="I149" s="10"/>
      <c r="J149" s="7"/>
    </row>
    <row r="150" spans="1:10" ht="13.5" customHeight="1" x14ac:dyDescent="0.2">
      <c r="A150" s="266" t="s">
        <v>29</v>
      </c>
      <c r="B150" s="266"/>
      <c r="C150" s="266"/>
      <c r="D150" s="266"/>
      <c r="E150" s="266"/>
      <c r="F150" s="266"/>
      <c r="G150" s="51"/>
      <c r="I150" s="10"/>
      <c r="J150" s="16"/>
    </row>
    <row r="151" spans="1:10" ht="13.5" customHeight="1" x14ac:dyDescent="0.2">
      <c r="A151" s="267" t="s">
        <v>45</v>
      </c>
      <c r="B151" s="267"/>
      <c r="C151" s="267"/>
      <c r="D151" s="267"/>
      <c r="E151" s="283" t="s">
        <v>5</v>
      </c>
      <c r="F151" s="282" t="s">
        <v>6</v>
      </c>
      <c r="G151" s="52"/>
      <c r="I151" s="10"/>
      <c r="J151" s="16"/>
    </row>
    <row r="152" spans="1:10" ht="13.5" customHeight="1" x14ac:dyDescent="0.2">
      <c r="A152" s="34" t="s">
        <v>0</v>
      </c>
      <c r="B152" s="34" t="s">
        <v>3</v>
      </c>
      <c r="C152" s="34" t="s">
        <v>2</v>
      </c>
      <c r="D152" s="34" t="s">
        <v>4</v>
      </c>
      <c r="E152" s="284"/>
      <c r="F152" s="282"/>
      <c r="G152" s="53"/>
    </row>
    <row r="153" spans="1:10" ht="13.5" customHeight="1" x14ac:dyDescent="0.2">
      <c r="A153" s="2" t="s">
        <v>18</v>
      </c>
      <c r="B153" s="39"/>
      <c r="C153" s="35">
        <v>37</v>
      </c>
      <c r="D153" s="35">
        <v>0</v>
      </c>
      <c r="E153" s="13">
        <f>COUNTIFS($A$12:$A$140,"Cond Ar Janela 7.500 BTU/h")</f>
        <v>0</v>
      </c>
      <c r="F153" s="40">
        <f>B153-E153</f>
        <v>0</v>
      </c>
      <c r="G153" s="1"/>
    </row>
    <row r="154" spans="1:10" ht="13.5" customHeight="1" x14ac:dyDescent="0.2">
      <c r="A154" s="2" t="s">
        <v>19</v>
      </c>
      <c r="B154" s="39">
        <v>6</v>
      </c>
      <c r="C154" s="3">
        <v>210</v>
      </c>
      <c r="D154" s="3">
        <f t="shared" ref="D154:D163" si="40">B154*C154</f>
        <v>1260</v>
      </c>
      <c r="E154" s="13">
        <f>COUNTIFS($A$12:$A$140,"Cond Ar Janela 10.000 BTU/h")</f>
        <v>0</v>
      </c>
      <c r="F154" s="40">
        <f t="shared" ref="F154:F175" si="41">B154-E154</f>
        <v>6</v>
      </c>
      <c r="G154" s="1"/>
    </row>
    <row r="155" spans="1:10" ht="13.5" customHeight="1" x14ac:dyDescent="0.2">
      <c r="A155" s="2" t="s">
        <v>20</v>
      </c>
      <c r="B155" s="39"/>
      <c r="C155" s="3">
        <v>208</v>
      </c>
      <c r="D155" s="3">
        <f t="shared" si="40"/>
        <v>0</v>
      </c>
      <c r="E155" s="13">
        <f>COUNTIFS($A$12:$A$140,"Cond Ar Janela 18.000 BTU/h")</f>
        <v>0</v>
      </c>
      <c r="F155" s="40">
        <f t="shared" si="41"/>
        <v>0</v>
      </c>
      <c r="G155" s="1"/>
    </row>
    <row r="156" spans="1:10" ht="13.5" customHeight="1" x14ac:dyDescent="0.2">
      <c r="A156" s="2" t="s">
        <v>21</v>
      </c>
      <c r="B156" s="39"/>
      <c r="C156" s="3">
        <v>57</v>
      </c>
      <c r="D156" s="3">
        <f t="shared" si="40"/>
        <v>0</v>
      </c>
      <c r="E156" s="13">
        <f>COUNTIFS($A$12:$A$140,"Cond Ar Janela 21.000 BTU/h")</f>
        <v>0</v>
      </c>
      <c r="F156" s="40">
        <f t="shared" si="41"/>
        <v>0</v>
      </c>
      <c r="G156" s="1"/>
    </row>
    <row r="157" spans="1:10" ht="13.5" customHeight="1" x14ac:dyDescent="0.2">
      <c r="A157" s="2" t="s">
        <v>22</v>
      </c>
      <c r="B157" s="206">
        <v>8</v>
      </c>
      <c r="C157" s="3">
        <v>147</v>
      </c>
      <c r="D157" s="3">
        <f t="shared" si="40"/>
        <v>1176</v>
      </c>
      <c r="E157" s="13">
        <f>COUNTIFS($A$12:$A$140,"Cond Ar Split 9.000 BTU/h Hi Wall")</f>
        <v>4</v>
      </c>
      <c r="F157" s="40">
        <f t="shared" si="41"/>
        <v>4</v>
      </c>
      <c r="G157" s="1"/>
    </row>
    <row r="158" spans="1:10" ht="13.5" customHeight="1" x14ac:dyDescent="0.2">
      <c r="A158" s="2" t="s">
        <v>23</v>
      </c>
      <c r="B158" s="206">
        <v>177</v>
      </c>
      <c r="C158" s="3">
        <v>235</v>
      </c>
      <c r="D158" s="3">
        <f t="shared" si="40"/>
        <v>41595</v>
      </c>
      <c r="E158" s="13">
        <f>COUNTIFS($A$12:$A$140,"Cond Ar Split 12.000 BTU/h Hi Wall")</f>
        <v>64</v>
      </c>
      <c r="F158" s="40">
        <f t="shared" si="41"/>
        <v>113</v>
      </c>
      <c r="G158" s="1"/>
    </row>
    <row r="159" spans="1:10" ht="13.5" customHeight="1" x14ac:dyDescent="0.2">
      <c r="A159" s="2" t="s">
        <v>24</v>
      </c>
      <c r="B159" s="206">
        <v>9</v>
      </c>
      <c r="C159" s="3">
        <v>238</v>
      </c>
      <c r="D159" s="3">
        <f t="shared" si="40"/>
        <v>2142</v>
      </c>
      <c r="E159" s="13">
        <f>COUNTIFS($A$12:$A$140,"Cond Ar Split 18.000 BTU/h Hi Wall")</f>
        <v>9</v>
      </c>
      <c r="F159" s="40">
        <f t="shared" si="41"/>
        <v>0</v>
      </c>
      <c r="G159" s="1"/>
    </row>
    <row r="160" spans="1:10" ht="13.5" customHeight="1" x14ac:dyDescent="0.2">
      <c r="A160" s="2" t="s">
        <v>25</v>
      </c>
      <c r="B160" s="39"/>
      <c r="C160" s="3">
        <v>242</v>
      </c>
      <c r="D160" s="3">
        <f t="shared" si="40"/>
        <v>0</v>
      </c>
      <c r="E160" s="13">
        <f>COUNTIFS($A$12:$A$140,"Cond Ar Split 22.000 BTU/h Hi Wall")</f>
        <v>0</v>
      </c>
      <c r="F160" s="40">
        <f t="shared" si="41"/>
        <v>0</v>
      </c>
      <c r="G160" s="1"/>
    </row>
    <row r="161" spans="1:7" ht="13.5" customHeight="1" x14ac:dyDescent="0.2">
      <c r="A161" s="2" t="s">
        <v>26</v>
      </c>
      <c r="B161" s="206">
        <v>4</v>
      </c>
      <c r="C161" s="3">
        <v>260</v>
      </c>
      <c r="D161" s="3">
        <f t="shared" si="40"/>
        <v>1040</v>
      </c>
      <c r="E161" s="13">
        <f>COUNTIFS($A$12:$A$140,"Cond Ar Split 24.000 BTU/h Hi Wall")</f>
        <v>4</v>
      </c>
      <c r="F161" s="40">
        <f t="shared" si="41"/>
        <v>0</v>
      </c>
      <c r="G161" s="1"/>
    </row>
    <row r="162" spans="1:7" ht="13.5" customHeight="1" x14ac:dyDescent="0.2">
      <c r="A162" s="2" t="s">
        <v>27</v>
      </c>
      <c r="B162" s="206">
        <v>7</v>
      </c>
      <c r="C162" s="3">
        <v>347</v>
      </c>
      <c r="D162" s="3">
        <f t="shared" si="40"/>
        <v>2429</v>
      </c>
      <c r="E162" s="13">
        <f>COUNTIFS($A$12:$A$140,"Cond Ar Split 30.000 BTU/h Hi Wall")</f>
        <v>4</v>
      </c>
      <c r="F162" s="40">
        <f t="shared" si="41"/>
        <v>3</v>
      </c>
      <c r="G162" s="1"/>
    </row>
    <row r="163" spans="1:7" ht="13.5" customHeight="1" x14ac:dyDescent="0.2">
      <c r="A163" s="2" t="s">
        <v>30</v>
      </c>
      <c r="B163" s="39"/>
      <c r="C163" s="3">
        <v>367</v>
      </c>
      <c r="D163" s="3">
        <f t="shared" si="40"/>
        <v>0</v>
      </c>
      <c r="E163" s="13">
        <f>COUNTIFS($A$12:$A$140,"Cond Ar Split 24.000 BTU/h Piso/Teto")</f>
        <v>0</v>
      </c>
      <c r="F163" s="40">
        <f t="shared" si="41"/>
        <v>0</v>
      </c>
      <c r="G163" s="1"/>
    </row>
    <row r="164" spans="1:7" ht="13.5" customHeight="1" x14ac:dyDescent="0.2">
      <c r="A164" s="2" t="s">
        <v>31</v>
      </c>
      <c r="B164" s="39"/>
      <c r="C164" s="3">
        <v>367</v>
      </c>
      <c r="D164" s="3">
        <f>B164*C164</f>
        <v>0</v>
      </c>
      <c r="E164" s="13">
        <f>COUNTIFS($A$12:$A$140,"Cond Ar Split 30.000 BTU/h Piso/Teto")</f>
        <v>0</v>
      </c>
      <c r="F164" s="40">
        <f t="shared" si="41"/>
        <v>0</v>
      </c>
      <c r="G164" s="1"/>
    </row>
    <row r="165" spans="1:7" ht="13.5" customHeight="1" x14ac:dyDescent="0.2">
      <c r="A165" s="2" t="s">
        <v>32</v>
      </c>
      <c r="B165" s="39"/>
      <c r="C165" s="3">
        <v>447</v>
      </c>
      <c r="D165" s="3">
        <f>B165*C165</f>
        <v>0</v>
      </c>
      <c r="E165" s="13">
        <f>COUNTIFS($A$12:$A$140,"Cond Ar Split 36.000 BTU/h Piso/Teto")</f>
        <v>0</v>
      </c>
      <c r="F165" s="40">
        <f t="shared" si="41"/>
        <v>0</v>
      </c>
      <c r="G165" s="1"/>
    </row>
    <row r="166" spans="1:7" ht="13.5" customHeight="1" x14ac:dyDescent="0.2">
      <c r="A166" s="2" t="s">
        <v>33</v>
      </c>
      <c r="B166" s="39"/>
      <c r="C166" s="3">
        <v>497</v>
      </c>
      <c r="D166" s="3">
        <f>B166*C166</f>
        <v>0</v>
      </c>
      <c r="E166" s="13">
        <f>COUNTIFS($A$12:$A$140,"Cond Ar Split 48.000 BTU/h Piso/Teto")</f>
        <v>0</v>
      </c>
      <c r="F166" s="40">
        <f t="shared" si="41"/>
        <v>0</v>
      </c>
      <c r="G166" s="1"/>
    </row>
    <row r="167" spans="1:7" ht="13.5" customHeight="1" x14ac:dyDescent="0.2">
      <c r="A167" s="2" t="s">
        <v>34</v>
      </c>
      <c r="B167" s="39">
        <v>3</v>
      </c>
      <c r="C167" s="3">
        <v>597</v>
      </c>
      <c r="D167" s="3">
        <f t="shared" ref="D167:D175" si="42">B167*C167</f>
        <v>1791</v>
      </c>
      <c r="E167" s="13">
        <f>COUNTIFS($A$12:$A$140,"Cond Ar Split 60.000 BTU/h Piso/Teto")</f>
        <v>0</v>
      </c>
      <c r="F167" s="40">
        <f t="shared" si="41"/>
        <v>3</v>
      </c>
      <c r="G167" s="1"/>
    </row>
    <row r="168" spans="1:7" ht="13.5" customHeight="1" x14ac:dyDescent="0.2">
      <c r="A168" s="2" t="s">
        <v>35</v>
      </c>
      <c r="B168" s="39"/>
      <c r="C168" s="3">
        <v>395</v>
      </c>
      <c r="D168" s="3">
        <f t="shared" si="42"/>
        <v>0</v>
      </c>
      <c r="E168" s="13">
        <f>COUNTIFS($A$12:$A$140,"Cond Ar Split 18.000 BTU/h Cassete")</f>
        <v>0</v>
      </c>
      <c r="F168" s="40">
        <f t="shared" si="41"/>
        <v>0</v>
      </c>
      <c r="G168" s="1"/>
    </row>
    <row r="169" spans="1:7" ht="13.5" customHeight="1" x14ac:dyDescent="0.2">
      <c r="A169" s="2" t="s">
        <v>36</v>
      </c>
      <c r="B169" s="39"/>
      <c r="C169" s="3">
        <v>442.75</v>
      </c>
      <c r="D169" s="3">
        <f t="shared" si="42"/>
        <v>0</v>
      </c>
      <c r="E169" s="13">
        <f>COUNTIFS($A$12:$A$140,"Cond Ar Split 24.000 BTU/h Cassete")</f>
        <v>0</v>
      </c>
      <c r="F169" s="40">
        <f t="shared" si="41"/>
        <v>0</v>
      </c>
      <c r="G169" s="1"/>
    </row>
    <row r="170" spans="1:7" ht="13.5" customHeight="1" x14ac:dyDescent="0.2">
      <c r="A170" s="2" t="s">
        <v>37</v>
      </c>
      <c r="B170" s="39">
        <v>1</v>
      </c>
      <c r="C170" s="3">
        <v>430</v>
      </c>
      <c r="D170" s="3">
        <f t="shared" si="42"/>
        <v>430</v>
      </c>
      <c r="E170" s="13">
        <f>COUNTIFS($A$12:$A$140,"Cond Ar Split 30.000 BTU/h Cassete")</f>
        <v>0</v>
      </c>
      <c r="F170" s="40">
        <f t="shared" si="41"/>
        <v>1</v>
      </c>
      <c r="G170" s="1"/>
    </row>
    <row r="171" spans="1:7" ht="13.5" customHeight="1" x14ac:dyDescent="0.2">
      <c r="A171" s="2" t="s">
        <v>38</v>
      </c>
      <c r="B171" s="39"/>
      <c r="C171" s="3">
        <v>478</v>
      </c>
      <c r="D171" s="3">
        <f t="shared" si="42"/>
        <v>0</v>
      </c>
      <c r="E171" s="13">
        <f>COUNTIFS($A$12:$A$140,"Cond Ar Split 36.000 BTU/h Cassete")</f>
        <v>0</v>
      </c>
      <c r="F171" s="40">
        <f t="shared" si="41"/>
        <v>0</v>
      </c>
      <c r="G171" s="1"/>
    </row>
    <row r="172" spans="1:7" ht="13.5" customHeight="1" x14ac:dyDescent="0.2">
      <c r="A172" s="2" t="s">
        <v>39</v>
      </c>
      <c r="B172" s="39">
        <v>18</v>
      </c>
      <c r="C172" s="3">
        <v>577</v>
      </c>
      <c r="D172" s="3">
        <f t="shared" si="42"/>
        <v>10386</v>
      </c>
      <c r="E172" s="13">
        <f>COUNTIFS($A$12:$A$140,"Cond Ar Split 48.000 BTU/h Cassete")</f>
        <v>0</v>
      </c>
      <c r="F172" s="40">
        <f t="shared" si="41"/>
        <v>18</v>
      </c>
      <c r="G172" s="1"/>
    </row>
    <row r="173" spans="1:7" ht="13.5" customHeight="1" x14ac:dyDescent="0.2">
      <c r="A173" s="2" t="s">
        <v>40</v>
      </c>
      <c r="B173" s="39">
        <v>19</v>
      </c>
      <c r="C173" s="3">
        <v>645</v>
      </c>
      <c r="D173" s="3">
        <f t="shared" si="42"/>
        <v>12255</v>
      </c>
      <c r="E173" s="13">
        <f>COUNTIFS($A$12:$A$140,"Cond Ar Split 60.000 BTU/h Cassete")</f>
        <v>0</v>
      </c>
      <c r="F173" s="40">
        <f t="shared" si="41"/>
        <v>19</v>
      </c>
      <c r="G173" s="1"/>
    </row>
    <row r="174" spans="1:7" ht="13.5" customHeight="1" x14ac:dyDescent="0.2">
      <c r="A174" s="2" t="s">
        <v>41</v>
      </c>
      <c r="B174" s="39"/>
      <c r="C174" s="3">
        <v>147</v>
      </c>
      <c r="D174" s="3">
        <f t="shared" si="42"/>
        <v>0</v>
      </c>
      <c r="E174" s="13">
        <f>COUNTIFS($A$12:$A$140,"Cond Ar Tri Split 36.000 BTU/h (3x12.000)")</f>
        <v>0</v>
      </c>
      <c r="F174" s="40">
        <f t="shared" si="41"/>
        <v>0</v>
      </c>
      <c r="G174" s="1"/>
    </row>
    <row r="175" spans="1:7" ht="13.5" customHeight="1" x14ac:dyDescent="0.2">
      <c r="A175" s="2" t="s">
        <v>42</v>
      </c>
      <c r="B175" s="39">
        <v>3</v>
      </c>
      <c r="C175" s="3">
        <v>100</v>
      </c>
      <c r="D175" s="3">
        <f t="shared" si="42"/>
        <v>300</v>
      </c>
      <c r="E175" s="13">
        <f>COUNTIFS($A$12:$A$140,"Cond Ar Portátil 12.000 BTU/h")</f>
        <v>0</v>
      </c>
      <c r="F175" s="40">
        <f t="shared" si="41"/>
        <v>3</v>
      </c>
      <c r="G175" s="1"/>
    </row>
    <row r="176" spans="1:7" ht="13.5" customHeight="1" x14ac:dyDescent="0.2">
      <c r="A176" s="36" t="s">
        <v>7</v>
      </c>
      <c r="B176" s="22">
        <f>SUM(B153:B175)</f>
        <v>255</v>
      </c>
      <c r="C176" s="38"/>
      <c r="D176" s="37">
        <f>SUM(D153:D175)</f>
        <v>74804</v>
      </c>
      <c r="E176" s="22">
        <f>SUM(E153:E175)</f>
        <v>85</v>
      </c>
      <c r="F176" s="41">
        <f>SUM(F153:F175)</f>
        <v>170</v>
      </c>
      <c r="G176" s="54"/>
    </row>
  </sheetData>
  <mergeCells count="27">
    <mergeCell ref="A150:F150"/>
    <mergeCell ref="A151:D151"/>
    <mergeCell ref="E151:E152"/>
    <mergeCell ref="F151:F152"/>
    <mergeCell ref="A142:I142"/>
    <mergeCell ref="A145:C145"/>
    <mergeCell ref="D145:I145"/>
    <mergeCell ref="A146:C146"/>
    <mergeCell ref="D146:I146"/>
    <mergeCell ref="A10:I10"/>
    <mergeCell ref="C11:E11"/>
    <mergeCell ref="G11:I11"/>
    <mergeCell ref="D13:E13"/>
    <mergeCell ref="A5:C5"/>
    <mergeCell ref="D5:F5"/>
    <mergeCell ref="G5:I5"/>
    <mergeCell ref="A6:I6"/>
    <mergeCell ref="A7:I7"/>
    <mergeCell ref="A8:I8"/>
    <mergeCell ref="A9:B9"/>
    <mergeCell ref="C9:F9"/>
    <mergeCell ref="G9:I9"/>
    <mergeCell ref="A1:I1"/>
    <mergeCell ref="A3:I3"/>
    <mergeCell ref="A4:C4"/>
    <mergeCell ref="D4:F4"/>
    <mergeCell ref="G4:I4"/>
  </mergeCells>
  <printOptions horizontalCentered="1"/>
  <pageMargins left="0.19685039370078741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41">
    <pageSetUpPr fitToPage="1"/>
  </sheetPr>
  <dimension ref="A1:I129"/>
  <sheetViews>
    <sheetView showGridLines="0" workbookViewId="0">
      <pane ySplit="11" topLeftCell="A12" activePane="bottomLeft" state="frozen"/>
      <selection activeCell="J140" sqref="J140"/>
      <selection pane="bottomLeft" activeCell="H10" sqref="H10"/>
    </sheetView>
  </sheetViews>
  <sheetFormatPr defaultRowHeight="13.5" customHeight="1" x14ac:dyDescent="0.25"/>
  <cols>
    <col min="1" max="1" width="38.5703125" style="7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4.28515625" style="7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241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788</v>
      </c>
      <c r="B8" s="297"/>
      <c r="C8" s="297"/>
      <c r="D8" s="297"/>
      <c r="E8" s="297"/>
      <c r="F8" s="298"/>
    </row>
    <row r="9" spans="1:6" ht="13.5" customHeight="1" x14ac:dyDescent="0.25">
      <c r="A9" s="60" t="s">
        <v>787</v>
      </c>
      <c r="B9" s="270" t="s">
        <v>786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55"/>
      <c r="D12" s="104"/>
      <c r="E12" s="82"/>
      <c r="F12" s="109"/>
    </row>
    <row r="13" spans="1:6" ht="13.5" customHeight="1" x14ac:dyDescent="0.2">
      <c r="A13" s="299"/>
      <c r="B13" s="300"/>
      <c r="C13" s="155"/>
      <c r="D13" s="104"/>
      <c r="E13" s="82"/>
      <c r="F13" s="109"/>
    </row>
    <row r="14" spans="1:6" ht="13.5" customHeight="1" x14ac:dyDescent="0.2">
      <c r="A14" s="299"/>
      <c r="B14" s="300"/>
      <c r="C14" s="174"/>
      <c r="D14" s="104"/>
      <c r="E14" s="82"/>
      <c r="F14" s="109"/>
    </row>
    <row r="15" spans="1:6" ht="13.5" customHeight="1" x14ac:dyDescent="0.25">
      <c r="A15" s="271" t="s">
        <v>210</v>
      </c>
      <c r="B15" s="273"/>
      <c r="C15" s="58">
        <f>SUM(C12:C14)</f>
        <v>0</v>
      </c>
      <c r="D15" s="57"/>
      <c r="E15" s="57"/>
      <c r="F15" s="73">
        <f>SUM(F12:F14)</f>
        <v>0</v>
      </c>
    </row>
    <row r="16" spans="1:6" ht="13.5" customHeight="1" x14ac:dyDescent="0.25">
      <c r="A16" s="105"/>
      <c r="B16" s="105"/>
      <c r="C16" s="105"/>
      <c r="D16" s="106"/>
      <c r="E16" s="107"/>
      <c r="F16" s="108"/>
    </row>
    <row r="17" spans="1:9" ht="13.5" customHeight="1" x14ac:dyDescent="0.25">
      <c r="G17" s="74"/>
      <c r="H17" s="74"/>
      <c r="I17" s="74"/>
    </row>
    <row r="18" spans="1:9" ht="13.5" customHeight="1" x14ac:dyDescent="0.25">
      <c r="A18" s="289" t="s">
        <v>124</v>
      </c>
      <c r="B18" s="289"/>
      <c r="C18" s="289"/>
      <c r="D18" s="289"/>
      <c r="E18" s="289"/>
      <c r="F18" s="289"/>
    </row>
    <row r="20" spans="1:9" ht="13.5" customHeight="1" x14ac:dyDescent="0.2">
      <c r="A20" s="27" t="s">
        <v>125</v>
      </c>
      <c r="B20" s="27"/>
      <c r="F20" s="110"/>
      <c r="G20" s="27"/>
      <c r="H20" s="27"/>
      <c r="I20" s="27"/>
    </row>
    <row r="21" spans="1:9" ht="60" customHeight="1" x14ac:dyDescent="0.25">
      <c r="A21" s="291"/>
      <c r="B21" s="275"/>
      <c r="C21" s="292"/>
      <c r="D21" s="290"/>
      <c r="E21" s="290"/>
      <c r="F21" s="290"/>
    </row>
    <row r="22" spans="1:9" ht="13.5" customHeight="1" x14ac:dyDescent="0.25">
      <c r="A22" s="274" t="s">
        <v>126</v>
      </c>
      <c r="B22" s="274"/>
      <c r="C22" s="274"/>
      <c r="D22" s="75"/>
      <c r="E22" s="75" t="s">
        <v>127</v>
      </c>
      <c r="F22" s="75"/>
    </row>
    <row r="129" spans="8:8" ht="13.5" customHeight="1" x14ac:dyDescent="0.25">
      <c r="H129" s="7">
        <f>SUM(H120:H128)</f>
        <v>0</v>
      </c>
    </row>
  </sheetData>
  <mergeCells count="19">
    <mergeCell ref="A1:F1"/>
    <mergeCell ref="A3:F3"/>
    <mergeCell ref="A4:C4"/>
    <mergeCell ref="D4:E4"/>
    <mergeCell ref="A5:C5"/>
    <mergeCell ref="D5:E5"/>
    <mergeCell ref="A21:C21"/>
    <mergeCell ref="D21:F21"/>
    <mergeCell ref="A22:C22"/>
    <mergeCell ref="A7:F7"/>
    <mergeCell ref="A8:F8"/>
    <mergeCell ref="B9:D9"/>
    <mergeCell ref="E9:F9"/>
    <mergeCell ref="A11:B11"/>
    <mergeCell ref="A15:B15"/>
    <mergeCell ref="A14:B14"/>
    <mergeCell ref="A18:F18"/>
    <mergeCell ref="A12:B12"/>
    <mergeCell ref="A13:B13"/>
  </mergeCells>
  <pageMargins left="0.27559055118110237" right="0.19685039370078741" top="0.27559055118110237" bottom="0.35433070866141736" header="0.23622047244094491" footer="0.15748031496062992"/>
  <pageSetup paperSize="9" scale="77" orientation="portrait" r:id="rId1"/>
  <headerFooter alignWithMargins="0">
    <oddFooter>&amp;L&amp;F/&amp;A&amp;C&amp;D&amp;R&amp;P/&amp;N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42"/>
  <dimension ref="A1:L112"/>
  <sheetViews>
    <sheetView showGridLines="0" workbookViewId="0">
      <pane ySplit="13" topLeftCell="A65" activePane="bottomLeft" state="frozen"/>
      <selection activeCell="B13" sqref="B13"/>
      <selection pane="bottomLeft" activeCell="E69" sqref="E69"/>
    </sheetView>
  </sheetViews>
  <sheetFormatPr defaultRowHeight="13.5" customHeight="1" x14ac:dyDescent="0.25"/>
  <cols>
    <col min="1" max="1" width="36.5703125" style="7" bestFit="1" customWidth="1"/>
    <col min="2" max="2" width="12.42578125" style="15" bestFit="1" customWidth="1"/>
    <col min="3" max="3" width="11.140625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5703125" style="7" bestFit="1" customWidth="1"/>
    <col min="9" max="9" width="17.7109375" style="7" bestFit="1" customWidth="1"/>
    <col min="10" max="10" width="34.85546875" style="15" bestFit="1" customWidth="1"/>
    <col min="11" max="11" width="10.28515625" style="7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4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4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7"/>
    </row>
    <row r="8" spans="1:11" s="18" customFormat="1" ht="13.5" customHeight="1" thickTop="1" x14ac:dyDescent="0.25">
      <c r="A8" s="269" t="s">
        <v>118</v>
      </c>
      <c r="B8" s="269"/>
      <c r="C8" s="269"/>
      <c r="D8" s="269"/>
      <c r="E8" s="269"/>
      <c r="F8" s="269"/>
      <c r="G8" s="269"/>
      <c r="H8" s="269"/>
      <c r="I8" s="269"/>
      <c r="J8" s="27"/>
    </row>
    <row r="9" spans="1:11" s="18" customFormat="1" ht="13.5" customHeight="1" x14ac:dyDescent="0.25">
      <c r="A9" s="270" t="s">
        <v>115</v>
      </c>
      <c r="B9" s="270"/>
      <c r="C9" s="271" t="s">
        <v>119</v>
      </c>
      <c r="D9" s="272"/>
      <c r="E9" s="272"/>
      <c r="F9" s="273"/>
      <c r="G9" s="271" t="s">
        <v>989</v>
      </c>
      <c r="H9" s="272"/>
      <c r="I9" s="273"/>
      <c r="J9" s="27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A14" s="275"/>
      <c r="B14" s="275"/>
      <c r="C14" s="275"/>
      <c r="D14" s="275"/>
      <c r="E14" s="275"/>
      <c r="F14" s="275"/>
      <c r="G14" s="275"/>
      <c r="H14" s="275"/>
      <c r="I14" s="275"/>
      <c r="J14" s="275"/>
      <c r="K14" s="275"/>
    </row>
    <row r="15" spans="1:11" ht="13.5" customHeight="1" x14ac:dyDescent="0.2">
      <c r="A15" s="2" t="s">
        <v>22</v>
      </c>
      <c r="B15" s="76">
        <v>45512</v>
      </c>
      <c r="C15" s="177">
        <v>181</v>
      </c>
      <c r="D15" s="20">
        <v>45658</v>
      </c>
      <c r="E15" s="20">
        <v>45687</v>
      </c>
      <c r="F15" s="11">
        <f>(E15-D15)+1</f>
        <v>30</v>
      </c>
      <c r="G15" s="12">
        <v>147</v>
      </c>
      <c r="H15" s="13">
        <v>1</v>
      </c>
      <c r="I15" s="19">
        <f>G15/30*H15*F15</f>
        <v>147</v>
      </c>
      <c r="J15" s="77" t="s">
        <v>71</v>
      </c>
      <c r="K15" s="13">
        <v>30493</v>
      </c>
    </row>
    <row r="16" spans="1:11" ht="13.5" customHeight="1" x14ac:dyDescent="0.2">
      <c r="A16" s="2" t="s">
        <v>22</v>
      </c>
      <c r="B16" s="76">
        <v>45512</v>
      </c>
      <c r="C16" s="177">
        <v>14984</v>
      </c>
      <c r="D16" s="20">
        <v>45658</v>
      </c>
      <c r="E16" s="20">
        <v>45687</v>
      </c>
      <c r="F16" s="11">
        <f t="shared" ref="F16:F35" si="0">(E16-D16)+1</f>
        <v>30</v>
      </c>
      <c r="G16" s="12">
        <v>147</v>
      </c>
      <c r="H16" s="13">
        <v>1</v>
      </c>
      <c r="I16" s="19">
        <f t="shared" ref="I16:I39" si="1">G16/30*H16*F16</f>
        <v>147</v>
      </c>
      <c r="J16" s="77" t="s">
        <v>72</v>
      </c>
      <c r="K16" s="13">
        <v>30493</v>
      </c>
    </row>
    <row r="17" spans="1:11" ht="13.5" customHeight="1" x14ac:dyDescent="0.2">
      <c r="A17" s="2" t="s">
        <v>22</v>
      </c>
      <c r="B17" s="76">
        <v>45512</v>
      </c>
      <c r="C17" s="177">
        <v>178</v>
      </c>
      <c r="D17" s="20">
        <v>45658</v>
      </c>
      <c r="E17" s="20">
        <v>45687</v>
      </c>
      <c r="F17" s="11">
        <f t="shared" si="0"/>
        <v>30</v>
      </c>
      <c r="G17" s="12">
        <v>147</v>
      </c>
      <c r="H17" s="13">
        <v>1</v>
      </c>
      <c r="I17" s="19">
        <f t="shared" si="1"/>
        <v>147</v>
      </c>
      <c r="J17" s="77" t="s">
        <v>73</v>
      </c>
      <c r="K17" s="13">
        <v>30493</v>
      </c>
    </row>
    <row r="18" spans="1:11" ht="13.5" customHeight="1" x14ac:dyDescent="0.2">
      <c r="A18" s="2" t="s">
        <v>22</v>
      </c>
      <c r="B18" s="76">
        <v>45512</v>
      </c>
      <c r="C18" s="177">
        <v>183</v>
      </c>
      <c r="D18" s="20">
        <v>45658</v>
      </c>
      <c r="E18" s="20">
        <v>45687</v>
      </c>
      <c r="F18" s="11">
        <f t="shared" si="0"/>
        <v>30</v>
      </c>
      <c r="G18" s="12">
        <v>147</v>
      </c>
      <c r="H18" s="13">
        <v>1</v>
      </c>
      <c r="I18" s="19">
        <f t="shared" si="1"/>
        <v>147</v>
      </c>
      <c r="J18" s="77" t="s">
        <v>74</v>
      </c>
      <c r="K18" s="13">
        <v>30493</v>
      </c>
    </row>
    <row r="19" spans="1:11" ht="13.5" customHeight="1" x14ac:dyDescent="0.2">
      <c r="A19" s="2" t="s">
        <v>22</v>
      </c>
      <c r="B19" s="76">
        <v>45512</v>
      </c>
      <c r="C19" s="177">
        <v>15443</v>
      </c>
      <c r="D19" s="20">
        <v>45658</v>
      </c>
      <c r="E19" s="20">
        <v>45687</v>
      </c>
      <c r="F19" s="11">
        <f t="shared" si="0"/>
        <v>30</v>
      </c>
      <c r="G19" s="12">
        <v>147</v>
      </c>
      <c r="H19" s="13">
        <v>1</v>
      </c>
      <c r="I19" s="19">
        <f t="shared" si="1"/>
        <v>147</v>
      </c>
      <c r="J19" s="77" t="s">
        <v>75</v>
      </c>
      <c r="K19" s="13">
        <v>30493</v>
      </c>
    </row>
    <row r="20" spans="1:11" ht="13.5" customHeight="1" x14ac:dyDescent="0.2">
      <c r="A20" s="2" t="s">
        <v>22</v>
      </c>
      <c r="B20" s="76">
        <v>45512</v>
      </c>
      <c r="C20" s="177">
        <v>193</v>
      </c>
      <c r="D20" s="20">
        <v>45658</v>
      </c>
      <c r="E20" s="20">
        <v>45687</v>
      </c>
      <c r="F20" s="11">
        <f t="shared" si="0"/>
        <v>30</v>
      </c>
      <c r="G20" s="12">
        <v>147</v>
      </c>
      <c r="H20" s="13">
        <v>1</v>
      </c>
      <c r="I20" s="19">
        <f t="shared" si="1"/>
        <v>147</v>
      </c>
      <c r="J20" s="77" t="s">
        <v>76</v>
      </c>
      <c r="K20" s="13">
        <v>30493</v>
      </c>
    </row>
    <row r="21" spans="1:11" ht="13.5" customHeight="1" x14ac:dyDescent="0.2">
      <c r="A21" s="2" t="s">
        <v>22</v>
      </c>
      <c r="B21" s="76">
        <v>45512</v>
      </c>
      <c r="C21" s="177">
        <v>186</v>
      </c>
      <c r="D21" s="20">
        <v>45658</v>
      </c>
      <c r="E21" s="20">
        <v>45687</v>
      </c>
      <c r="F21" s="11">
        <f t="shared" si="0"/>
        <v>30</v>
      </c>
      <c r="G21" s="12">
        <v>147</v>
      </c>
      <c r="H21" s="13">
        <v>1</v>
      </c>
      <c r="I21" s="19">
        <f t="shared" si="1"/>
        <v>147</v>
      </c>
      <c r="J21" s="77" t="s">
        <v>77</v>
      </c>
      <c r="K21" s="13">
        <v>30493</v>
      </c>
    </row>
    <row r="22" spans="1:11" ht="13.5" customHeight="1" x14ac:dyDescent="0.2">
      <c r="A22" s="2" t="s">
        <v>22</v>
      </c>
      <c r="B22" s="76">
        <v>45512</v>
      </c>
      <c r="C22" s="177">
        <v>187</v>
      </c>
      <c r="D22" s="20">
        <v>45658</v>
      </c>
      <c r="E22" s="20">
        <v>45687</v>
      </c>
      <c r="F22" s="11">
        <f t="shared" si="0"/>
        <v>30</v>
      </c>
      <c r="G22" s="12">
        <v>147</v>
      </c>
      <c r="H22" s="13">
        <v>1</v>
      </c>
      <c r="I22" s="19">
        <f t="shared" si="1"/>
        <v>147</v>
      </c>
      <c r="J22" s="77" t="s">
        <v>78</v>
      </c>
      <c r="K22" s="13">
        <v>30493</v>
      </c>
    </row>
    <row r="23" spans="1:11" ht="13.5" customHeight="1" x14ac:dyDescent="0.2">
      <c r="A23" s="2" t="s">
        <v>22</v>
      </c>
      <c r="B23" s="76">
        <v>45512</v>
      </c>
      <c r="C23" s="177">
        <v>189</v>
      </c>
      <c r="D23" s="20">
        <v>45658</v>
      </c>
      <c r="E23" s="20">
        <v>45687</v>
      </c>
      <c r="F23" s="11">
        <f t="shared" si="0"/>
        <v>30</v>
      </c>
      <c r="G23" s="12">
        <v>147</v>
      </c>
      <c r="H23" s="13">
        <v>1</v>
      </c>
      <c r="I23" s="19">
        <f t="shared" si="1"/>
        <v>147</v>
      </c>
      <c r="J23" s="77" t="s">
        <v>79</v>
      </c>
      <c r="K23" s="13">
        <v>30493</v>
      </c>
    </row>
    <row r="24" spans="1:11" ht="13.5" customHeight="1" x14ac:dyDescent="0.2">
      <c r="A24" s="2" t="s">
        <v>22</v>
      </c>
      <c r="B24" s="76">
        <v>45512</v>
      </c>
      <c r="C24" s="177">
        <v>191</v>
      </c>
      <c r="D24" s="20">
        <v>45658</v>
      </c>
      <c r="E24" s="20">
        <v>45687</v>
      </c>
      <c r="F24" s="11">
        <f t="shared" si="0"/>
        <v>30</v>
      </c>
      <c r="G24" s="12">
        <v>147</v>
      </c>
      <c r="H24" s="13">
        <v>1</v>
      </c>
      <c r="I24" s="19">
        <f t="shared" si="1"/>
        <v>147</v>
      </c>
      <c r="J24" s="77" t="s">
        <v>80</v>
      </c>
      <c r="K24" s="13">
        <v>30493</v>
      </c>
    </row>
    <row r="25" spans="1:11" ht="13.5" customHeight="1" x14ac:dyDescent="0.2">
      <c r="A25" s="2" t="s">
        <v>22</v>
      </c>
      <c r="B25" s="61">
        <v>45512</v>
      </c>
      <c r="C25" s="177">
        <v>14983</v>
      </c>
      <c r="D25" s="20">
        <v>45658</v>
      </c>
      <c r="E25" s="20">
        <v>45687</v>
      </c>
      <c r="F25" s="62">
        <f t="shared" ref="F25" si="2">(E25-D25)+1</f>
        <v>30</v>
      </c>
      <c r="G25" s="63">
        <v>147</v>
      </c>
      <c r="H25" s="55">
        <v>1</v>
      </c>
      <c r="I25" s="19">
        <f>G25/30*H25*F25</f>
        <v>147</v>
      </c>
      <c r="J25" s="77" t="s">
        <v>89</v>
      </c>
      <c r="K25" s="13">
        <v>30493</v>
      </c>
    </row>
    <row r="26" spans="1:11" ht="13.5" customHeight="1" x14ac:dyDescent="0.2">
      <c r="A26" s="2" t="s">
        <v>22</v>
      </c>
      <c r="B26" s="76">
        <v>45512</v>
      </c>
      <c r="C26" s="177">
        <v>180</v>
      </c>
      <c r="D26" s="20">
        <v>45658</v>
      </c>
      <c r="E26" s="20">
        <v>45687</v>
      </c>
      <c r="F26" s="11">
        <f>(E26-D26)+1</f>
        <v>30</v>
      </c>
      <c r="G26" s="12">
        <v>147</v>
      </c>
      <c r="H26" s="13">
        <v>1</v>
      </c>
      <c r="I26" s="19">
        <f>G26/30*H26*F26</f>
        <v>147</v>
      </c>
      <c r="J26" s="77" t="s">
        <v>90</v>
      </c>
      <c r="K26" s="13">
        <v>30493</v>
      </c>
    </row>
    <row r="27" spans="1:11" ht="13.5" customHeight="1" x14ac:dyDescent="0.2">
      <c r="A27" s="2" t="s">
        <v>22</v>
      </c>
      <c r="B27" s="76">
        <v>45512</v>
      </c>
      <c r="C27" s="177">
        <v>179</v>
      </c>
      <c r="D27" s="20">
        <v>45658</v>
      </c>
      <c r="E27" s="20">
        <v>45687</v>
      </c>
      <c r="F27" s="11">
        <f>(E27-D27)+1</f>
        <v>30</v>
      </c>
      <c r="G27" s="12">
        <v>147</v>
      </c>
      <c r="H27" s="13">
        <v>1</v>
      </c>
      <c r="I27" s="19">
        <f>G27/30*H27*F27</f>
        <v>147</v>
      </c>
      <c r="J27" s="77" t="s">
        <v>91</v>
      </c>
      <c r="K27" s="13">
        <v>30493</v>
      </c>
    </row>
    <row r="28" spans="1:11" ht="13.5" customHeight="1" x14ac:dyDescent="0.2">
      <c r="A28" s="2" t="s">
        <v>22</v>
      </c>
      <c r="B28" s="76">
        <v>45512</v>
      </c>
      <c r="C28" s="177">
        <v>188</v>
      </c>
      <c r="D28" s="20">
        <v>45658</v>
      </c>
      <c r="E28" s="20">
        <v>45687</v>
      </c>
      <c r="F28" s="11">
        <f>(E28-D28)+1</f>
        <v>30</v>
      </c>
      <c r="G28" s="12">
        <v>147</v>
      </c>
      <c r="H28" s="13">
        <v>1</v>
      </c>
      <c r="I28" s="19">
        <f>G28/30*H28*F28</f>
        <v>147</v>
      </c>
      <c r="J28" s="77" t="s">
        <v>92</v>
      </c>
      <c r="K28" s="13">
        <v>30493</v>
      </c>
    </row>
    <row r="29" spans="1:11" ht="13.5" customHeight="1" x14ac:dyDescent="0.2">
      <c r="A29" s="2" t="s">
        <v>23</v>
      </c>
      <c r="B29" s="76">
        <v>45512</v>
      </c>
      <c r="C29" s="177">
        <v>182</v>
      </c>
      <c r="D29" s="20">
        <v>45658</v>
      </c>
      <c r="E29" s="20">
        <v>45687</v>
      </c>
      <c r="F29" s="11">
        <f t="shared" si="0"/>
        <v>30</v>
      </c>
      <c r="G29" s="12">
        <v>235</v>
      </c>
      <c r="H29" s="13">
        <v>1</v>
      </c>
      <c r="I29" s="19">
        <f t="shared" si="1"/>
        <v>235</v>
      </c>
      <c r="J29" s="78" t="s">
        <v>81</v>
      </c>
      <c r="K29" s="13">
        <v>30493</v>
      </c>
    </row>
    <row r="30" spans="1:11" ht="13.5" customHeight="1" x14ac:dyDescent="0.2">
      <c r="A30" s="2" t="s">
        <v>23</v>
      </c>
      <c r="B30" s="76">
        <v>45512</v>
      </c>
      <c r="C30" s="177">
        <v>176</v>
      </c>
      <c r="D30" s="20">
        <v>45658</v>
      </c>
      <c r="E30" s="20">
        <v>45687</v>
      </c>
      <c r="F30" s="11">
        <f t="shared" si="0"/>
        <v>30</v>
      </c>
      <c r="G30" s="12">
        <v>235</v>
      </c>
      <c r="H30" s="13">
        <v>1</v>
      </c>
      <c r="I30" s="19">
        <f t="shared" si="1"/>
        <v>235</v>
      </c>
      <c r="J30" s="77" t="s">
        <v>82</v>
      </c>
      <c r="K30" s="13">
        <v>30493</v>
      </c>
    </row>
    <row r="31" spans="1:11" ht="13.5" customHeight="1" x14ac:dyDescent="0.2">
      <c r="A31" s="2" t="s">
        <v>23</v>
      </c>
      <c r="B31" s="76">
        <v>45512</v>
      </c>
      <c r="C31" s="177">
        <v>177</v>
      </c>
      <c r="D31" s="20">
        <v>45658</v>
      </c>
      <c r="E31" s="20">
        <v>45687</v>
      </c>
      <c r="F31" s="11">
        <f t="shared" si="0"/>
        <v>30</v>
      </c>
      <c r="G31" s="12">
        <v>235</v>
      </c>
      <c r="H31" s="13">
        <v>1</v>
      </c>
      <c r="I31" s="19">
        <f t="shared" si="1"/>
        <v>235</v>
      </c>
      <c r="J31" s="77" t="s">
        <v>83</v>
      </c>
      <c r="K31" s="13">
        <v>30493</v>
      </c>
    </row>
    <row r="32" spans="1:11" ht="13.5" customHeight="1" x14ac:dyDescent="0.2">
      <c r="A32" s="2" t="s">
        <v>23</v>
      </c>
      <c r="B32" s="76">
        <v>45512</v>
      </c>
      <c r="C32" s="177">
        <v>184</v>
      </c>
      <c r="D32" s="20">
        <v>45658</v>
      </c>
      <c r="E32" s="20">
        <v>45687</v>
      </c>
      <c r="F32" s="11">
        <f t="shared" si="0"/>
        <v>30</v>
      </c>
      <c r="G32" s="12">
        <v>235</v>
      </c>
      <c r="H32" s="13">
        <v>1</v>
      </c>
      <c r="I32" s="19">
        <f t="shared" si="1"/>
        <v>235</v>
      </c>
      <c r="J32" s="77" t="s">
        <v>84</v>
      </c>
      <c r="K32" s="13">
        <v>30493</v>
      </c>
    </row>
    <row r="33" spans="1:12" ht="13.5" customHeight="1" x14ac:dyDescent="0.2">
      <c r="A33" s="2" t="s">
        <v>23</v>
      </c>
      <c r="B33" s="76">
        <v>45512</v>
      </c>
      <c r="C33" s="177">
        <v>194</v>
      </c>
      <c r="D33" s="20">
        <v>45658</v>
      </c>
      <c r="E33" s="20">
        <v>45687</v>
      </c>
      <c r="F33" s="11">
        <f t="shared" si="0"/>
        <v>30</v>
      </c>
      <c r="G33" s="12">
        <v>235</v>
      </c>
      <c r="H33" s="13">
        <v>1</v>
      </c>
      <c r="I33" s="19">
        <f t="shared" si="1"/>
        <v>235</v>
      </c>
      <c r="J33" s="77" t="s">
        <v>85</v>
      </c>
      <c r="K33" s="13">
        <v>30493</v>
      </c>
    </row>
    <row r="34" spans="1:12" ht="13.5" customHeight="1" x14ac:dyDescent="0.2">
      <c r="A34" s="2" t="s">
        <v>23</v>
      </c>
      <c r="B34" s="76">
        <v>45512</v>
      </c>
      <c r="C34" s="177">
        <v>190</v>
      </c>
      <c r="D34" s="20">
        <v>45658</v>
      </c>
      <c r="E34" s="20">
        <v>45687</v>
      </c>
      <c r="F34" s="11">
        <f t="shared" si="0"/>
        <v>30</v>
      </c>
      <c r="G34" s="12">
        <v>235</v>
      </c>
      <c r="H34" s="13">
        <v>1</v>
      </c>
      <c r="I34" s="19">
        <f t="shared" si="1"/>
        <v>235</v>
      </c>
      <c r="J34" s="77" t="s">
        <v>86</v>
      </c>
      <c r="K34" s="13">
        <v>30493</v>
      </c>
    </row>
    <row r="35" spans="1:12" ht="13.5" customHeight="1" x14ac:dyDescent="0.2">
      <c r="A35" s="2" t="s">
        <v>23</v>
      </c>
      <c r="B35" s="76">
        <v>45512</v>
      </c>
      <c r="C35" s="177">
        <v>192</v>
      </c>
      <c r="D35" s="20">
        <v>45658</v>
      </c>
      <c r="E35" s="20">
        <v>45687</v>
      </c>
      <c r="F35" s="11">
        <f t="shared" si="0"/>
        <v>30</v>
      </c>
      <c r="G35" s="12">
        <v>235</v>
      </c>
      <c r="H35" s="13">
        <v>1</v>
      </c>
      <c r="I35" s="19">
        <f t="shared" si="1"/>
        <v>235</v>
      </c>
      <c r="J35" s="77" t="s">
        <v>87</v>
      </c>
      <c r="K35" s="13">
        <v>30493</v>
      </c>
    </row>
    <row r="36" spans="1:12" ht="13.5" customHeight="1" x14ac:dyDescent="0.2">
      <c r="A36" s="2" t="s">
        <v>23</v>
      </c>
      <c r="B36" s="76">
        <v>45512</v>
      </c>
      <c r="C36" s="177">
        <v>185</v>
      </c>
      <c r="D36" s="20">
        <v>45658</v>
      </c>
      <c r="E36" s="20">
        <v>45687</v>
      </c>
      <c r="F36" s="11">
        <f>(E36-D36)+1</f>
        <v>30</v>
      </c>
      <c r="G36" s="12">
        <v>235</v>
      </c>
      <c r="H36" s="13">
        <v>1</v>
      </c>
      <c r="I36" s="19">
        <f t="shared" si="1"/>
        <v>235</v>
      </c>
      <c r="J36" s="77" t="s">
        <v>88</v>
      </c>
      <c r="K36" s="13">
        <v>30493</v>
      </c>
    </row>
    <row r="37" spans="1:12" ht="13.5" customHeight="1" x14ac:dyDescent="0.2">
      <c r="A37" s="2" t="s">
        <v>23</v>
      </c>
      <c r="B37" s="80">
        <v>45638</v>
      </c>
      <c r="C37" s="177">
        <v>17161</v>
      </c>
      <c r="D37" s="20">
        <v>45658</v>
      </c>
      <c r="E37" s="20">
        <v>45687</v>
      </c>
      <c r="F37" s="82">
        <f>(E37-D37)+1</f>
        <v>30</v>
      </c>
      <c r="G37" s="83">
        <v>235</v>
      </c>
      <c r="H37" s="84">
        <v>1</v>
      </c>
      <c r="I37" s="19">
        <f t="shared" si="1"/>
        <v>235</v>
      </c>
      <c r="J37" s="85" t="s">
        <v>984</v>
      </c>
      <c r="K37" s="84">
        <v>72842</v>
      </c>
      <c r="L37" s="7" t="s">
        <v>983</v>
      </c>
    </row>
    <row r="38" spans="1:12" ht="13.5" customHeight="1" x14ac:dyDescent="0.2">
      <c r="A38" s="2" t="s">
        <v>23</v>
      </c>
      <c r="B38" s="80">
        <v>45638</v>
      </c>
      <c r="C38" s="177">
        <v>17162</v>
      </c>
      <c r="D38" s="20">
        <v>45658</v>
      </c>
      <c r="E38" s="20">
        <v>45687</v>
      </c>
      <c r="F38" s="82">
        <f>(E38-D38)+1</f>
        <v>30</v>
      </c>
      <c r="G38" s="83">
        <v>235</v>
      </c>
      <c r="H38" s="84">
        <v>1</v>
      </c>
      <c r="I38" s="19">
        <f t="shared" si="1"/>
        <v>235</v>
      </c>
      <c r="J38" s="85" t="s">
        <v>985</v>
      </c>
      <c r="K38" s="84">
        <v>72842</v>
      </c>
      <c r="L38" s="7" t="s">
        <v>983</v>
      </c>
    </row>
    <row r="39" spans="1:12" ht="13.5" customHeight="1" x14ac:dyDescent="0.2">
      <c r="A39" s="79"/>
      <c r="B39" s="80"/>
      <c r="C39" s="177"/>
      <c r="D39" s="81"/>
      <c r="E39" s="81"/>
      <c r="F39" s="82"/>
      <c r="G39" s="83"/>
      <c r="H39" s="84"/>
      <c r="I39" s="19">
        <f t="shared" si="1"/>
        <v>0</v>
      </c>
      <c r="J39" s="85"/>
      <c r="K39" s="86"/>
    </row>
    <row r="40" spans="1:12" ht="13.5" customHeight="1" x14ac:dyDescent="0.25">
      <c r="A40" s="56" t="s">
        <v>840</v>
      </c>
      <c r="B40" s="87"/>
      <c r="C40" s="57"/>
      <c r="D40" s="57"/>
      <c r="E40" s="57"/>
      <c r="F40" s="57"/>
      <c r="G40" s="57"/>
      <c r="H40" s="58">
        <f>SUM(H15:H39)</f>
        <v>24</v>
      </c>
      <c r="I40" s="64">
        <f>SUM(I15:I39)</f>
        <v>4408</v>
      </c>
      <c r="J40" s="66"/>
      <c r="K40" s="66"/>
    </row>
    <row r="41" spans="1:12" ht="13.5" customHeight="1" x14ac:dyDescent="0.25">
      <c r="A41" s="88"/>
      <c r="B41" s="89"/>
      <c r="C41" s="88"/>
      <c r="D41" s="90"/>
      <c r="E41" s="90"/>
      <c r="F41" s="91"/>
      <c r="G41" s="92"/>
      <c r="H41" s="88"/>
      <c r="I41" s="93"/>
      <c r="J41" s="67"/>
      <c r="K41" s="88"/>
    </row>
    <row r="42" spans="1:12" ht="13.5" customHeight="1" x14ac:dyDescent="0.2">
      <c r="A42" s="94" t="s">
        <v>22</v>
      </c>
      <c r="B42" s="95">
        <v>45512</v>
      </c>
      <c r="C42" s="98">
        <v>14447</v>
      </c>
      <c r="D42" s="20">
        <v>45658</v>
      </c>
      <c r="E42" s="20">
        <v>45687</v>
      </c>
      <c r="F42" s="96">
        <f t="shared" ref="F42:F51" si="3">(E42-D42)+1</f>
        <v>30</v>
      </c>
      <c r="G42" s="97">
        <v>147</v>
      </c>
      <c r="H42" s="98">
        <v>1</v>
      </c>
      <c r="I42" s="19">
        <f t="shared" ref="I42:I68" si="4">G42/30*H42*F42</f>
        <v>147</v>
      </c>
      <c r="J42" s="68" t="s">
        <v>93</v>
      </c>
      <c r="K42" s="98">
        <v>66156</v>
      </c>
    </row>
    <row r="43" spans="1:12" ht="13.5" customHeight="1" x14ac:dyDescent="0.2">
      <c r="A43" s="2" t="s">
        <v>22</v>
      </c>
      <c r="B43" s="76">
        <v>45512</v>
      </c>
      <c r="C43" s="98">
        <v>14448</v>
      </c>
      <c r="D43" s="20">
        <v>45658</v>
      </c>
      <c r="E43" s="20">
        <v>45687</v>
      </c>
      <c r="F43" s="11">
        <f t="shared" si="3"/>
        <v>30</v>
      </c>
      <c r="G43" s="12">
        <v>147</v>
      </c>
      <c r="H43" s="13">
        <v>1</v>
      </c>
      <c r="I43" s="19">
        <f t="shared" si="4"/>
        <v>147</v>
      </c>
      <c r="J43" s="69" t="s">
        <v>94</v>
      </c>
      <c r="K43" s="98">
        <v>66156</v>
      </c>
    </row>
    <row r="44" spans="1:12" ht="13.5" customHeight="1" x14ac:dyDescent="0.2">
      <c r="A44" s="2" t="s">
        <v>22</v>
      </c>
      <c r="B44" s="76">
        <v>45512</v>
      </c>
      <c r="C44" s="98">
        <v>14446</v>
      </c>
      <c r="D44" s="20">
        <v>45658</v>
      </c>
      <c r="E44" s="20">
        <v>45687</v>
      </c>
      <c r="F44" s="11">
        <f t="shared" si="3"/>
        <v>30</v>
      </c>
      <c r="G44" s="12">
        <v>147</v>
      </c>
      <c r="H44" s="13">
        <v>1</v>
      </c>
      <c r="I44" s="19">
        <f t="shared" si="4"/>
        <v>147</v>
      </c>
      <c r="J44" s="69" t="s">
        <v>95</v>
      </c>
      <c r="K44" s="98">
        <v>66156</v>
      </c>
    </row>
    <row r="45" spans="1:12" ht="13.5" customHeight="1" x14ac:dyDescent="0.2">
      <c r="A45" s="2" t="s">
        <v>22</v>
      </c>
      <c r="B45" s="76">
        <v>45512</v>
      </c>
      <c r="C45" s="98">
        <v>14449</v>
      </c>
      <c r="D45" s="20">
        <v>45658</v>
      </c>
      <c r="E45" s="20">
        <v>45687</v>
      </c>
      <c r="F45" s="11">
        <f t="shared" si="3"/>
        <v>30</v>
      </c>
      <c r="G45" s="12">
        <v>147</v>
      </c>
      <c r="H45" s="13">
        <v>1</v>
      </c>
      <c r="I45" s="19">
        <f t="shared" si="4"/>
        <v>147</v>
      </c>
      <c r="J45" s="69" t="s">
        <v>96</v>
      </c>
      <c r="K45" s="98">
        <v>66156</v>
      </c>
    </row>
    <row r="46" spans="1:12" ht="13.5" customHeight="1" x14ac:dyDescent="0.2">
      <c r="A46" s="2" t="s">
        <v>22</v>
      </c>
      <c r="B46" s="76">
        <v>45512</v>
      </c>
      <c r="C46" s="98">
        <v>14450</v>
      </c>
      <c r="D46" s="20">
        <v>45658</v>
      </c>
      <c r="E46" s="20">
        <v>45687</v>
      </c>
      <c r="F46" s="11">
        <f t="shared" si="3"/>
        <v>30</v>
      </c>
      <c r="G46" s="12">
        <v>147</v>
      </c>
      <c r="H46" s="13">
        <v>1</v>
      </c>
      <c r="I46" s="19">
        <f t="shared" si="4"/>
        <v>147</v>
      </c>
      <c r="J46" s="69" t="s">
        <v>97</v>
      </c>
      <c r="K46" s="98">
        <v>66156</v>
      </c>
    </row>
    <row r="47" spans="1:12" ht="13.5" customHeight="1" x14ac:dyDescent="0.2">
      <c r="A47" s="2" t="s">
        <v>22</v>
      </c>
      <c r="B47" s="76">
        <v>45512</v>
      </c>
      <c r="C47" s="98">
        <v>14466</v>
      </c>
      <c r="D47" s="20">
        <v>45658</v>
      </c>
      <c r="E47" s="20">
        <v>45687</v>
      </c>
      <c r="F47" s="11">
        <f t="shared" si="3"/>
        <v>30</v>
      </c>
      <c r="G47" s="12">
        <v>147</v>
      </c>
      <c r="H47" s="13">
        <v>1</v>
      </c>
      <c r="I47" s="19">
        <f t="shared" si="4"/>
        <v>147</v>
      </c>
      <c r="J47" s="69" t="s">
        <v>98</v>
      </c>
      <c r="K47" s="98">
        <v>66156</v>
      </c>
    </row>
    <row r="48" spans="1:12" ht="13.5" customHeight="1" x14ac:dyDescent="0.2">
      <c r="A48" s="2" t="s">
        <v>22</v>
      </c>
      <c r="B48" s="76">
        <v>45512</v>
      </c>
      <c r="C48" s="98">
        <v>14442</v>
      </c>
      <c r="D48" s="20">
        <v>45658</v>
      </c>
      <c r="E48" s="20">
        <v>45687</v>
      </c>
      <c r="F48" s="11">
        <f t="shared" si="3"/>
        <v>30</v>
      </c>
      <c r="G48" s="12">
        <v>147</v>
      </c>
      <c r="H48" s="13">
        <v>1</v>
      </c>
      <c r="I48" s="19">
        <f t="shared" si="4"/>
        <v>147</v>
      </c>
      <c r="J48" s="69" t="s">
        <v>99</v>
      </c>
      <c r="K48" s="98">
        <v>66156</v>
      </c>
    </row>
    <row r="49" spans="1:11" ht="13.5" customHeight="1" x14ac:dyDescent="0.2">
      <c r="A49" s="2" t="s">
        <v>22</v>
      </c>
      <c r="B49" s="76">
        <v>45512</v>
      </c>
      <c r="C49" s="98">
        <v>14441</v>
      </c>
      <c r="D49" s="20">
        <v>45658</v>
      </c>
      <c r="E49" s="20">
        <v>45687</v>
      </c>
      <c r="F49" s="11">
        <f t="shared" si="3"/>
        <v>30</v>
      </c>
      <c r="G49" s="12">
        <v>147</v>
      </c>
      <c r="H49" s="13">
        <v>1</v>
      </c>
      <c r="I49" s="19">
        <f t="shared" si="4"/>
        <v>147</v>
      </c>
      <c r="J49" s="69" t="s">
        <v>100</v>
      </c>
      <c r="K49" s="98">
        <v>66156</v>
      </c>
    </row>
    <row r="50" spans="1:11" ht="13.5" customHeight="1" x14ac:dyDescent="0.2">
      <c r="A50" s="2" t="s">
        <v>22</v>
      </c>
      <c r="B50" s="76">
        <v>45525</v>
      </c>
      <c r="C50" s="98">
        <v>14405</v>
      </c>
      <c r="D50" s="20">
        <v>45658</v>
      </c>
      <c r="E50" s="20">
        <v>45687</v>
      </c>
      <c r="F50" s="11">
        <f t="shared" ref="F50" si="5">(E50-D50)+1</f>
        <v>30</v>
      </c>
      <c r="G50" s="12">
        <v>147</v>
      </c>
      <c r="H50" s="13">
        <v>1</v>
      </c>
      <c r="I50" s="19">
        <f t="shared" si="4"/>
        <v>147</v>
      </c>
      <c r="J50" s="69" t="s">
        <v>101</v>
      </c>
      <c r="K50" s="13">
        <v>67015</v>
      </c>
    </row>
    <row r="51" spans="1:11" ht="13.5" customHeight="1" x14ac:dyDescent="0.2">
      <c r="A51" s="2" t="s">
        <v>22</v>
      </c>
      <c r="B51" s="76">
        <v>45525</v>
      </c>
      <c r="C51" s="98">
        <v>14404</v>
      </c>
      <c r="D51" s="20">
        <v>45658</v>
      </c>
      <c r="E51" s="20">
        <v>45687</v>
      </c>
      <c r="F51" s="11">
        <f t="shared" si="3"/>
        <v>30</v>
      </c>
      <c r="G51" s="12">
        <v>147</v>
      </c>
      <c r="H51" s="13">
        <v>1</v>
      </c>
      <c r="I51" s="19">
        <f t="shared" si="4"/>
        <v>147</v>
      </c>
      <c r="J51" s="70" t="s">
        <v>102</v>
      </c>
      <c r="K51" s="13">
        <v>67015</v>
      </c>
    </row>
    <row r="52" spans="1:11" ht="13.5" customHeight="1" x14ac:dyDescent="0.2">
      <c r="A52" s="2" t="s">
        <v>22</v>
      </c>
      <c r="B52" s="76">
        <v>45512</v>
      </c>
      <c r="C52" s="98">
        <v>14480</v>
      </c>
      <c r="D52" s="20">
        <v>45658</v>
      </c>
      <c r="E52" s="20">
        <v>45687</v>
      </c>
      <c r="F52" s="11">
        <f>(E52-D52)+1</f>
        <v>30</v>
      </c>
      <c r="G52" s="12">
        <v>147</v>
      </c>
      <c r="H52" s="13">
        <v>1</v>
      </c>
      <c r="I52" s="19">
        <f t="shared" si="4"/>
        <v>147</v>
      </c>
      <c r="J52" s="69" t="s">
        <v>104</v>
      </c>
      <c r="K52" s="98">
        <v>66156</v>
      </c>
    </row>
    <row r="53" spans="1:11" ht="13.5" customHeight="1" x14ac:dyDescent="0.2">
      <c r="A53" s="2" t="s">
        <v>22</v>
      </c>
      <c r="B53" s="76">
        <v>45512</v>
      </c>
      <c r="C53" s="98">
        <v>14481</v>
      </c>
      <c r="D53" s="20">
        <v>45658</v>
      </c>
      <c r="E53" s="20">
        <v>45687</v>
      </c>
      <c r="F53" s="11">
        <f t="shared" ref="F53:F65" si="6">(E53-D53)+1</f>
        <v>30</v>
      </c>
      <c r="G53" s="12">
        <v>147</v>
      </c>
      <c r="H53" s="13">
        <v>1</v>
      </c>
      <c r="I53" s="19">
        <f t="shared" si="4"/>
        <v>147</v>
      </c>
      <c r="J53" s="69" t="s">
        <v>104</v>
      </c>
      <c r="K53" s="98">
        <v>66156</v>
      </c>
    </row>
    <row r="54" spans="1:11" ht="13.5" customHeight="1" x14ac:dyDescent="0.2">
      <c r="A54" s="2" t="s">
        <v>22</v>
      </c>
      <c r="B54" s="76">
        <v>45512</v>
      </c>
      <c r="C54" s="98">
        <v>14483</v>
      </c>
      <c r="D54" s="20">
        <v>45658</v>
      </c>
      <c r="E54" s="20">
        <v>45687</v>
      </c>
      <c r="F54" s="11">
        <f t="shared" si="6"/>
        <v>30</v>
      </c>
      <c r="G54" s="12">
        <v>147</v>
      </c>
      <c r="H54" s="13">
        <v>1</v>
      </c>
      <c r="I54" s="19">
        <f t="shared" si="4"/>
        <v>147</v>
      </c>
      <c r="J54" s="69" t="s">
        <v>105</v>
      </c>
      <c r="K54" s="98">
        <v>66156</v>
      </c>
    </row>
    <row r="55" spans="1:11" ht="13.5" customHeight="1" x14ac:dyDescent="0.2">
      <c r="A55" s="2" t="s">
        <v>22</v>
      </c>
      <c r="B55" s="76">
        <v>45512</v>
      </c>
      <c r="C55" s="98">
        <v>14486</v>
      </c>
      <c r="D55" s="20">
        <v>45658</v>
      </c>
      <c r="E55" s="20">
        <v>45687</v>
      </c>
      <c r="F55" s="11">
        <f t="shared" si="6"/>
        <v>30</v>
      </c>
      <c r="G55" s="12">
        <v>147</v>
      </c>
      <c r="H55" s="13">
        <v>1</v>
      </c>
      <c r="I55" s="19">
        <f t="shared" si="4"/>
        <v>147</v>
      </c>
      <c r="J55" s="69" t="s">
        <v>106</v>
      </c>
      <c r="K55" s="98">
        <v>66156</v>
      </c>
    </row>
    <row r="56" spans="1:11" ht="13.5" customHeight="1" x14ac:dyDescent="0.2">
      <c r="A56" s="2" t="s">
        <v>22</v>
      </c>
      <c r="B56" s="76">
        <v>45512</v>
      </c>
      <c r="C56" s="98">
        <v>14484</v>
      </c>
      <c r="D56" s="20">
        <v>45658</v>
      </c>
      <c r="E56" s="20">
        <v>45687</v>
      </c>
      <c r="F56" s="11">
        <f t="shared" si="6"/>
        <v>30</v>
      </c>
      <c r="G56" s="12">
        <v>147</v>
      </c>
      <c r="H56" s="13">
        <v>1</v>
      </c>
      <c r="I56" s="19">
        <f t="shared" si="4"/>
        <v>147</v>
      </c>
      <c r="J56" s="69" t="s">
        <v>107</v>
      </c>
      <c r="K56" s="98">
        <v>66156</v>
      </c>
    </row>
    <row r="57" spans="1:11" ht="13.5" customHeight="1" x14ac:dyDescent="0.2">
      <c r="A57" s="2" t="s">
        <v>22</v>
      </c>
      <c r="B57" s="76">
        <v>45512</v>
      </c>
      <c r="C57" s="98">
        <v>14482</v>
      </c>
      <c r="D57" s="20">
        <v>45658</v>
      </c>
      <c r="E57" s="20">
        <v>45687</v>
      </c>
      <c r="F57" s="11">
        <f t="shared" ref="F57:F58" si="7">(E57-D57)+1</f>
        <v>30</v>
      </c>
      <c r="G57" s="12">
        <v>147</v>
      </c>
      <c r="H57" s="13">
        <v>1</v>
      </c>
      <c r="I57" s="19">
        <f t="shared" si="4"/>
        <v>147</v>
      </c>
      <c r="J57" s="69" t="s">
        <v>108</v>
      </c>
      <c r="K57" s="98">
        <v>66156</v>
      </c>
    </row>
    <row r="58" spans="1:11" ht="13.5" customHeight="1" x14ac:dyDescent="0.2">
      <c r="A58" s="2" t="s">
        <v>22</v>
      </c>
      <c r="B58" s="76">
        <v>45512</v>
      </c>
      <c r="C58" s="98">
        <v>14478</v>
      </c>
      <c r="D58" s="20">
        <v>45658</v>
      </c>
      <c r="E58" s="20">
        <v>45687</v>
      </c>
      <c r="F58" s="11">
        <f t="shared" si="7"/>
        <v>30</v>
      </c>
      <c r="G58" s="12">
        <v>147</v>
      </c>
      <c r="H58" s="13">
        <v>1</v>
      </c>
      <c r="I58" s="19">
        <f t="shared" si="4"/>
        <v>147</v>
      </c>
      <c r="J58" s="69" t="s">
        <v>99</v>
      </c>
      <c r="K58" s="98">
        <v>66156</v>
      </c>
    </row>
    <row r="59" spans="1:11" ht="13.5" customHeight="1" x14ac:dyDescent="0.2">
      <c r="A59" s="2" t="s">
        <v>22</v>
      </c>
      <c r="B59" s="76">
        <v>45512</v>
      </c>
      <c r="C59" s="98">
        <v>14485</v>
      </c>
      <c r="D59" s="20">
        <v>45658</v>
      </c>
      <c r="E59" s="20">
        <v>45687</v>
      </c>
      <c r="F59" s="11">
        <f t="shared" si="6"/>
        <v>30</v>
      </c>
      <c r="G59" s="12">
        <v>147</v>
      </c>
      <c r="H59" s="13">
        <v>1</v>
      </c>
      <c r="I59" s="19">
        <f t="shared" si="4"/>
        <v>147</v>
      </c>
      <c r="J59" s="69" t="s">
        <v>109</v>
      </c>
      <c r="K59" s="98">
        <v>66156</v>
      </c>
    </row>
    <row r="60" spans="1:11" ht="13.5" customHeight="1" x14ac:dyDescent="0.2">
      <c r="A60" s="2" t="s">
        <v>22</v>
      </c>
      <c r="B60" s="76">
        <v>45512</v>
      </c>
      <c r="C60" s="98">
        <v>14487</v>
      </c>
      <c r="D60" s="20">
        <v>45658</v>
      </c>
      <c r="E60" s="20">
        <v>45687</v>
      </c>
      <c r="F60" s="11">
        <f t="shared" si="6"/>
        <v>30</v>
      </c>
      <c r="G60" s="12">
        <v>147</v>
      </c>
      <c r="H60" s="13">
        <v>1</v>
      </c>
      <c r="I60" s="19">
        <f t="shared" si="4"/>
        <v>147</v>
      </c>
      <c r="J60" s="69" t="s">
        <v>109</v>
      </c>
      <c r="K60" s="98">
        <v>66156</v>
      </c>
    </row>
    <row r="61" spans="1:11" ht="13.5" customHeight="1" x14ac:dyDescent="0.2">
      <c r="A61" s="2" t="s">
        <v>23</v>
      </c>
      <c r="B61" s="76">
        <v>45512</v>
      </c>
      <c r="C61" s="98">
        <v>14556</v>
      </c>
      <c r="D61" s="20">
        <v>45658</v>
      </c>
      <c r="E61" s="20">
        <v>45687</v>
      </c>
      <c r="F61" s="11">
        <f t="shared" si="6"/>
        <v>30</v>
      </c>
      <c r="G61" s="12">
        <v>235</v>
      </c>
      <c r="H61" s="13">
        <v>1</v>
      </c>
      <c r="I61" s="19">
        <f t="shared" si="4"/>
        <v>235</v>
      </c>
      <c r="J61" s="69" t="s">
        <v>110</v>
      </c>
      <c r="K61" s="98">
        <v>66156</v>
      </c>
    </row>
    <row r="62" spans="1:11" ht="13.5" customHeight="1" x14ac:dyDescent="0.2">
      <c r="A62" s="2" t="s">
        <v>23</v>
      </c>
      <c r="B62" s="76">
        <v>45512</v>
      </c>
      <c r="C62" s="98">
        <v>14542</v>
      </c>
      <c r="D62" s="20">
        <v>45658</v>
      </c>
      <c r="E62" s="20">
        <v>45687</v>
      </c>
      <c r="F62" s="11">
        <f t="shared" si="6"/>
        <v>30</v>
      </c>
      <c r="G62" s="12">
        <v>235</v>
      </c>
      <c r="H62" s="13">
        <v>1</v>
      </c>
      <c r="I62" s="19">
        <f t="shared" si="4"/>
        <v>235</v>
      </c>
      <c r="J62" s="69" t="s">
        <v>110</v>
      </c>
      <c r="K62" s="98">
        <v>66156</v>
      </c>
    </row>
    <row r="63" spans="1:11" ht="13.5" customHeight="1" x14ac:dyDescent="0.2">
      <c r="A63" s="2" t="s">
        <v>23</v>
      </c>
      <c r="B63" s="76">
        <v>45512</v>
      </c>
      <c r="C63" s="98">
        <v>14539</v>
      </c>
      <c r="D63" s="20">
        <v>45658</v>
      </c>
      <c r="E63" s="20">
        <v>45687</v>
      </c>
      <c r="F63" s="11">
        <f t="shared" si="6"/>
        <v>30</v>
      </c>
      <c r="G63" s="12">
        <v>235</v>
      </c>
      <c r="H63" s="13">
        <v>1</v>
      </c>
      <c r="I63" s="19">
        <f t="shared" si="4"/>
        <v>235</v>
      </c>
      <c r="J63" s="69" t="s">
        <v>111</v>
      </c>
      <c r="K63" s="98">
        <v>66156</v>
      </c>
    </row>
    <row r="64" spans="1:11" ht="13.5" customHeight="1" x14ac:dyDescent="0.2">
      <c r="A64" s="2" t="s">
        <v>23</v>
      </c>
      <c r="B64" s="76">
        <v>45512</v>
      </c>
      <c r="C64" s="98">
        <v>14540</v>
      </c>
      <c r="D64" s="20">
        <v>45658</v>
      </c>
      <c r="E64" s="20">
        <v>45687</v>
      </c>
      <c r="F64" s="11">
        <f t="shared" si="6"/>
        <v>30</v>
      </c>
      <c r="G64" s="12">
        <v>235</v>
      </c>
      <c r="H64" s="13">
        <v>1</v>
      </c>
      <c r="I64" s="19">
        <f t="shared" si="4"/>
        <v>235</v>
      </c>
      <c r="J64" s="69" t="s">
        <v>112</v>
      </c>
      <c r="K64" s="98">
        <v>66156</v>
      </c>
    </row>
    <row r="65" spans="1:11" ht="13.5" customHeight="1" x14ac:dyDescent="0.2">
      <c r="A65" s="2" t="s">
        <v>23</v>
      </c>
      <c r="B65" s="76">
        <v>45512</v>
      </c>
      <c r="C65" s="98">
        <v>14547</v>
      </c>
      <c r="D65" s="20">
        <v>45658</v>
      </c>
      <c r="E65" s="20">
        <v>45687</v>
      </c>
      <c r="F65" s="11">
        <f t="shared" si="6"/>
        <v>30</v>
      </c>
      <c r="G65" s="12">
        <v>235</v>
      </c>
      <c r="H65" s="13">
        <v>1</v>
      </c>
      <c r="I65" s="19">
        <f t="shared" si="4"/>
        <v>235</v>
      </c>
      <c r="J65" s="69" t="s">
        <v>113</v>
      </c>
      <c r="K65" s="98">
        <v>66156</v>
      </c>
    </row>
    <row r="66" spans="1:11" ht="13.5" customHeight="1" x14ac:dyDescent="0.2">
      <c r="A66" s="2" t="s">
        <v>23</v>
      </c>
      <c r="B66" s="76">
        <v>45512</v>
      </c>
      <c r="C66" s="98">
        <v>14545</v>
      </c>
      <c r="D66" s="20">
        <v>45658</v>
      </c>
      <c r="E66" s="20">
        <v>45687</v>
      </c>
      <c r="F66" s="11">
        <f t="shared" ref="F66" si="8">(E66-D66)+1</f>
        <v>30</v>
      </c>
      <c r="G66" s="12">
        <v>235</v>
      </c>
      <c r="H66" s="13">
        <v>1</v>
      </c>
      <c r="I66" s="19">
        <f t="shared" si="4"/>
        <v>235</v>
      </c>
      <c r="J66" s="69" t="s">
        <v>114</v>
      </c>
      <c r="K66" s="98">
        <v>66156</v>
      </c>
    </row>
    <row r="67" spans="1:11" ht="13.5" customHeight="1" x14ac:dyDescent="0.2">
      <c r="A67" s="2" t="s">
        <v>23</v>
      </c>
      <c r="B67" s="76">
        <v>45512</v>
      </c>
      <c r="C67" s="98">
        <v>14124</v>
      </c>
      <c r="D67" s="20">
        <v>45658</v>
      </c>
      <c r="E67" s="20">
        <v>45687</v>
      </c>
      <c r="F67" s="11">
        <f>(E67-D67)+1</f>
        <v>30</v>
      </c>
      <c r="G67" s="12">
        <v>235</v>
      </c>
      <c r="H67" s="13">
        <v>1</v>
      </c>
      <c r="I67" s="19">
        <f>G67/30*H67*F67</f>
        <v>235</v>
      </c>
      <c r="J67" s="70" t="s">
        <v>103</v>
      </c>
      <c r="K67" s="98">
        <v>66156</v>
      </c>
    </row>
    <row r="68" spans="1:11" ht="13.5" customHeight="1" x14ac:dyDescent="0.2">
      <c r="A68" s="2"/>
      <c r="B68" s="76"/>
      <c r="C68" s="99"/>
      <c r="D68" s="20"/>
      <c r="E68" s="20"/>
      <c r="F68" s="11"/>
      <c r="G68" s="12"/>
      <c r="H68" s="13"/>
      <c r="I68" s="19">
        <f t="shared" si="4"/>
        <v>0</v>
      </c>
      <c r="J68" s="69"/>
      <c r="K68" s="32"/>
    </row>
    <row r="69" spans="1:11" ht="13.5" customHeight="1" x14ac:dyDescent="0.25">
      <c r="A69" s="21" t="s">
        <v>226</v>
      </c>
      <c r="B69" s="100"/>
      <c r="C69" s="26"/>
      <c r="D69" s="23"/>
      <c r="E69" s="23"/>
      <c r="F69" s="24"/>
      <c r="G69" s="23"/>
      <c r="H69" s="22">
        <f>SUM(H42:H68)</f>
        <v>26</v>
      </c>
      <c r="I69" s="65">
        <f>SUM(I42:I68)</f>
        <v>4438</v>
      </c>
      <c r="J69" s="33"/>
      <c r="K69" s="33"/>
    </row>
    <row r="70" spans="1:11" ht="13.5" customHeight="1" x14ac:dyDescent="0.25">
      <c r="D70" s="8"/>
      <c r="E70" s="8"/>
      <c r="F70" s="9"/>
      <c r="G70" s="10"/>
      <c r="I70" s="10"/>
      <c r="J70" s="4"/>
    </row>
    <row r="71" spans="1:11" ht="13.5" customHeight="1" x14ac:dyDescent="0.25">
      <c r="D71" s="8"/>
      <c r="E71" s="8"/>
      <c r="F71" s="9"/>
      <c r="G71" s="10"/>
      <c r="H71" s="50">
        <f>H40+H69</f>
        <v>50</v>
      </c>
      <c r="I71" s="25">
        <f>I40+I69</f>
        <v>8846</v>
      </c>
      <c r="J71" s="16"/>
    </row>
    <row r="72" spans="1:11" ht="13.5" customHeight="1" x14ac:dyDescent="0.25">
      <c r="D72" s="8"/>
      <c r="E72" s="8"/>
      <c r="F72" s="9"/>
      <c r="G72" s="10"/>
      <c r="I72" s="10"/>
      <c r="J72" s="16"/>
    </row>
    <row r="73" spans="1:11" ht="13.5" customHeight="1" x14ac:dyDescent="0.25">
      <c r="D73" s="8"/>
      <c r="E73" s="8"/>
      <c r="F73" s="9"/>
      <c r="G73" s="10"/>
      <c r="I73" s="10"/>
      <c r="J73" s="16"/>
    </row>
    <row r="74" spans="1:11" ht="13.5" customHeight="1" x14ac:dyDescent="0.25">
      <c r="A74" s="289" t="s">
        <v>124</v>
      </c>
      <c r="B74" s="289"/>
      <c r="C74" s="289"/>
      <c r="D74" s="289"/>
      <c r="E74" s="289"/>
      <c r="F74" s="289"/>
      <c r="G74" s="289"/>
      <c r="H74" s="289"/>
      <c r="I74" s="289"/>
      <c r="J74" s="7"/>
    </row>
    <row r="75" spans="1:11" ht="13.5" customHeight="1" x14ac:dyDescent="0.25">
      <c r="J75" s="7"/>
    </row>
    <row r="76" spans="1:11" ht="13.5" customHeight="1" x14ac:dyDescent="0.2">
      <c r="A76" s="27" t="s">
        <v>125</v>
      </c>
      <c r="B76" s="7"/>
      <c r="F76" s="71"/>
      <c r="G76" s="10"/>
      <c r="I76" s="72"/>
      <c r="J76" s="7"/>
    </row>
    <row r="77" spans="1:11" ht="60" customHeight="1" x14ac:dyDescent="0.25">
      <c r="A77" s="291"/>
      <c r="B77" s="275"/>
      <c r="C77" s="292"/>
      <c r="D77" s="290"/>
      <c r="E77" s="290"/>
      <c r="F77" s="290"/>
      <c r="G77" s="290"/>
      <c r="H77" s="290"/>
      <c r="I77" s="290"/>
      <c r="J77" s="7"/>
    </row>
    <row r="78" spans="1:11" ht="13.5" customHeight="1" x14ac:dyDescent="0.25">
      <c r="A78" s="274" t="s">
        <v>126</v>
      </c>
      <c r="B78" s="274"/>
      <c r="C78" s="274"/>
      <c r="D78" s="274" t="s">
        <v>127</v>
      </c>
      <c r="E78" s="274"/>
      <c r="F78" s="274"/>
      <c r="G78" s="274"/>
      <c r="H78" s="274"/>
      <c r="I78" s="274"/>
      <c r="J78" s="7"/>
    </row>
    <row r="79" spans="1:11" ht="13.5" customHeight="1" x14ac:dyDescent="0.25">
      <c r="D79" s="8"/>
      <c r="E79" s="8"/>
      <c r="F79" s="9"/>
      <c r="G79" s="10"/>
      <c r="I79" s="10"/>
      <c r="J79" s="7"/>
    </row>
    <row r="80" spans="1:11" ht="13.5" customHeight="1" x14ac:dyDescent="0.25">
      <c r="D80" s="8"/>
      <c r="E80" s="8"/>
      <c r="F80" s="9"/>
      <c r="G80" s="10"/>
      <c r="I80" s="10"/>
      <c r="J80" s="7"/>
    </row>
    <row r="81" spans="1:10" ht="13.5" customHeight="1" x14ac:dyDescent="0.25">
      <c r="D81" s="8"/>
      <c r="E81" s="8"/>
      <c r="F81" s="9"/>
      <c r="G81" s="10"/>
      <c r="I81" s="10"/>
      <c r="J81" s="7"/>
    </row>
    <row r="82" spans="1:10" ht="13.5" customHeight="1" x14ac:dyDescent="0.2">
      <c r="A82" s="266" t="s">
        <v>29</v>
      </c>
      <c r="B82" s="266"/>
      <c r="C82" s="266"/>
      <c r="D82" s="266"/>
      <c r="E82" s="266"/>
      <c r="F82" s="266"/>
      <c r="G82" s="51"/>
      <c r="I82" s="10"/>
      <c r="J82" s="16"/>
    </row>
    <row r="83" spans="1:10" ht="13.5" customHeight="1" x14ac:dyDescent="0.2">
      <c r="A83" s="267" t="s">
        <v>45</v>
      </c>
      <c r="B83" s="267"/>
      <c r="C83" s="267"/>
      <c r="D83" s="267"/>
      <c r="E83" s="283" t="s">
        <v>5</v>
      </c>
      <c r="F83" s="282" t="s">
        <v>6</v>
      </c>
      <c r="G83" s="52"/>
      <c r="I83" s="10"/>
      <c r="J83" s="16"/>
    </row>
    <row r="84" spans="1:10" ht="13.5" customHeight="1" x14ac:dyDescent="0.2">
      <c r="A84" s="34" t="s">
        <v>0</v>
      </c>
      <c r="B84" s="34" t="s">
        <v>3</v>
      </c>
      <c r="C84" s="34" t="s">
        <v>2</v>
      </c>
      <c r="D84" s="34" t="s">
        <v>4</v>
      </c>
      <c r="E84" s="284"/>
      <c r="F84" s="282"/>
      <c r="G84" s="53"/>
    </row>
    <row r="85" spans="1:10" ht="13.5" customHeight="1" x14ac:dyDescent="0.2">
      <c r="A85" s="2" t="s">
        <v>18</v>
      </c>
      <c r="B85" s="39"/>
      <c r="C85" s="35">
        <v>37</v>
      </c>
      <c r="D85" s="35">
        <v>0</v>
      </c>
      <c r="E85" s="13">
        <f>COUNTIFS($A$12:$A$74,"Cond Ar Janela 7.500 BTU/h")</f>
        <v>0</v>
      </c>
      <c r="F85" s="40">
        <f>B85-E85</f>
        <v>0</v>
      </c>
      <c r="G85" s="1"/>
    </row>
    <row r="86" spans="1:10" ht="13.5" customHeight="1" x14ac:dyDescent="0.2">
      <c r="A86" s="2" t="s">
        <v>19</v>
      </c>
      <c r="B86" s="39">
        <v>4</v>
      </c>
      <c r="C86" s="3">
        <v>210</v>
      </c>
      <c r="D86" s="3">
        <f t="shared" ref="D86:D95" si="9">B86*C86</f>
        <v>840</v>
      </c>
      <c r="E86" s="13">
        <f>COUNTIFS($A$12:$A$74,"Cond Ar Janela 10.000 BTU/h")</f>
        <v>0</v>
      </c>
      <c r="F86" s="40">
        <f t="shared" ref="F86:F107" si="10">B86-E86</f>
        <v>4</v>
      </c>
      <c r="G86" s="1"/>
    </row>
    <row r="87" spans="1:10" ht="13.5" customHeight="1" x14ac:dyDescent="0.2">
      <c r="A87" s="2" t="s">
        <v>20</v>
      </c>
      <c r="B87" s="39"/>
      <c r="C87" s="3">
        <v>208</v>
      </c>
      <c r="D87" s="3">
        <f t="shared" si="9"/>
        <v>0</v>
      </c>
      <c r="E87" s="13">
        <f>COUNTIFS($A$12:$A$74,"Cond Ar Janela 18.000 BTU/h")</f>
        <v>0</v>
      </c>
      <c r="F87" s="40">
        <f t="shared" si="10"/>
        <v>0</v>
      </c>
      <c r="G87" s="1"/>
    </row>
    <row r="88" spans="1:10" ht="13.5" customHeight="1" x14ac:dyDescent="0.2">
      <c r="A88" s="2" t="s">
        <v>21</v>
      </c>
      <c r="B88" s="39"/>
      <c r="C88" s="3">
        <v>57</v>
      </c>
      <c r="D88" s="3">
        <f t="shared" si="9"/>
        <v>0</v>
      </c>
      <c r="E88" s="13">
        <f>COUNTIFS($A$12:$A$74,"Cond Ar Janela 21.000 BTU/h")</f>
        <v>0</v>
      </c>
      <c r="F88" s="40">
        <f t="shared" si="10"/>
        <v>0</v>
      </c>
      <c r="G88" s="1"/>
    </row>
    <row r="89" spans="1:10" ht="13.5" customHeight="1" x14ac:dyDescent="0.2">
      <c r="A89" s="2" t="s">
        <v>22</v>
      </c>
      <c r="B89" s="39">
        <v>52</v>
      </c>
      <c r="C89" s="3">
        <v>147</v>
      </c>
      <c r="D89" s="3">
        <f t="shared" si="9"/>
        <v>7644</v>
      </c>
      <c r="E89" s="13">
        <f>COUNTIFS($A$12:$A$74,"Cond Ar Split 9.000 BTU/h Hi Wall")</f>
        <v>33</v>
      </c>
      <c r="F89" s="40">
        <f t="shared" si="10"/>
        <v>19</v>
      </c>
      <c r="G89" s="1"/>
    </row>
    <row r="90" spans="1:10" ht="13.5" customHeight="1" x14ac:dyDescent="0.2">
      <c r="A90" s="2" t="s">
        <v>23</v>
      </c>
      <c r="B90" s="39">
        <v>20</v>
      </c>
      <c r="C90" s="3">
        <v>235</v>
      </c>
      <c r="D90" s="3">
        <f t="shared" si="9"/>
        <v>4700</v>
      </c>
      <c r="E90" s="13">
        <f>COUNTIFS($A$12:$A$74,"Cond Ar Split 12.000 BTU/h Hi Wall")</f>
        <v>17</v>
      </c>
      <c r="F90" s="40">
        <f t="shared" si="10"/>
        <v>3</v>
      </c>
      <c r="G90" s="1"/>
      <c r="I90" s="144"/>
    </row>
    <row r="91" spans="1:10" ht="13.5" customHeight="1" x14ac:dyDescent="0.2">
      <c r="A91" s="2" t="s">
        <v>24</v>
      </c>
      <c r="B91" s="39"/>
      <c r="C91" s="3">
        <v>238</v>
      </c>
      <c r="D91" s="3">
        <f t="shared" si="9"/>
        <v>0</v>
      </c>
      <c r="E91" s="13">
        <f>COUNTIFS($A$12:$A$74,"Cond Ar Split 18.000 BTU/h Hi Wall")</f>
        <v>0</v>
      </c>
      <c r="F91" s="40">
        <f t="shared" si="10"/>
        <v>0</v>
      </c>
      <c r="G91" s="1"/>
      <c r="J91" s="4"/>
    </row>
    <row r="92" spans="1:10" ht="13.5" customHeight="1" x14ac:dyDescent="0.2">
      <c r="A92" s="2" t="s">
        <v>25</v>
      </c>
      <c r="B92" s="39"/>
      <c r="C92" s="3">
        <v>242</v>
      </c>
      <c r="D92" s="3">
        <f t="shared" si="9"/>
        <v>0</v>
      </c>
      <c r="E92" s="13">
        <f>COUNTIFS($A$12:$A$74,"Cond Ar Split 22.000 BTU/h Hi Wall")</f>
        <v>0</v>
      </c>
      <c r="F92" s="40">
        <f t="shared" si="10"/>
        <v>0</v>
      </c>
      <c r="G92" s="1"/>
      <c r="J92" s="4"/>
    </row>
    <row r="93" spans="1:10" ht="13.5" customHeight="1" x14ac:dyDescent="0.2">
      <c r="A93" s="2" t="s">
        <v>26</v>
      </c>
      <c r="B93" s="39"/>
      <c r="C93" s="3">
        <v>260</v>
      </c>
      <c r="D93" s="3">
        <f t="shared" si="9"/>
        <v>0</v>
      </c>
      <c r="E93" s="13">
        <f>COUNTIFS($A$12:$A$74,"Cond Ar Split 24.000 BTU/h Hi Wall")</f>
        <v>0</v>
      </c>
      <c r="F93" s="40">
        <f t="shared" si="10"/>
        <v>0</v>
      </c>
      <c r="G93" s="1"/>
      <c r="H93" s="143"/>
      <c r="I93" s="143"/>
    </row>
    <row r="94" spans="1:10" ht="13.5" customHeight="1" x14ac:dyDescent="0.2">
      <c r="A94" s="2" t="s">
        <v>27</v>
      </c>
      <c r="B94" s="39"/>
      <c r="C94" s="3">
        <v>347</v>
      </c>
      <c r="D94" s="3">
        <f t="shared" si="9"/>
        <v>0</v>
      </c>
      <c r="E94" s="13">
        <f>COUNTIFS($A$12:$A$74,"Cond Ar Split 30.000 BTU/h Hi Wall")</f>
        <v>0</v>
      </c>
      <c r="F94" s="40">
        <f t="shared" si="10"/>
        <v>0</v>
      </c>
      <c r="G94" s="1"/>
    </row>
    <row r="95" spans="1:10" ht="13.5" customHeight="1" x14ac:dyDescent="0.2">
      <c r="A95" s="2" t="s">
        <v>30</v>
      </c>
      <c r="B95" s="39"/>
      <c r="C95" s="3">
        <v>367</v>
      </c>
      <c r="D95" s="3">
        <f t="shared" si="9"/>
        <v>0</v>
      </c>
      <c r="E95" s="13">
        <f>COUNTIFS($A$12:$A$74,"Cond Ar Split 24.000 BTU/h Piso/Teto")</f>
        <v>0</v>
      </c>
      <c r="F95" s="40">
        <f t="shared" si="10"/>
        <v>0</v>
      </c>
      <c r="G95" s="1"/>
      <c r="I95" s="145"/>
    </row>
    <row r="96" spans="1:10" ht="13.5" customHeight="1" x14ac:dyDescent="0.2">
      <c r="A96" s="2" t="s">
        <v>31</v>
      </c>
      <c r="B96" s="39"/>
      <c r="C96" s="3">
        <v>367</v>
      </c>
      <c r="D96" s="3">
        <f>B96*C96</f>
        <v>0</v>
      </c>
      <c r="E96" s="13">
        <f>COUNTIFS($A$12:$A$74,"Cond Ar Split 30.000 BTU/h Piso/Teto")</f>
        <v>0</v>
      </c>
      <c r="F96" s="40">
        <f t="shared" si="10"/>
        <v>0</v>
      </c>
      <c r="G96" s="1"/>
    </row>
    <row r="97" spans="1:10" ht="13.5" customHeight="1" x14ac:dyDescent="0.2">
      <c r="A97" s="2" t="s">
        <v>32</v>
      </c>
      <c r="B97" s="39">
        <v>3</v>
      </c>
      <c r="C97" s="3">
        <v>447</v>
      </c>
      <c r="D97" s="3">
        <f>B97*C97</f>
        <v>1341</v>
      </c>
      <c r="E97" s="13">
        <f>COUNTIFS($A$12:$A$74,"Cond Ar Split 36.000 BTU/h Piso/Teto")</f>
        <v>0</v>
      </c>
      <c r="F97" s="40">
        <f t="shared" si="10"/>
        <v>3</v>
      </c>
      <c r="G97" s="1"/>
    </row>
    <row r="98" spans="1:10" ht="13.5" customHeight="1" x14ac:dyDescent="0.2">
      <c r="A98" s="2" t="s">
        <v>33</v>
      </c>
      <c r="B98" s="39"/>
      <c r="C98" s="3">
        <v>497</v>
      </c>
      <c r="D98" s="3">
        <f>B98*C98</f>
        <v>0</v>
      </c>
      <c r="E98" s="13">
        <f>COUNTIFS($A$12:$A$74,"Cond Ar Split 48.000 BTU/h Piso/Teto")</f>
        <v>0</v>
      </c>
      <c r="F98" s="40">
        <f t="shared" si="10"/>
        <v>0</v>
      </c>
      <c r="G98" s="1"/>
    </row>
    <row r="99" spans="1:10" ht="13.5" customHeight="1" x14ac:dyDescent="0.2">
      <c r="A99" s="2" t="s">
        <v>34</v>
      </c>
      <c r="B99" s="39"/>
      <c r="C99" s="3">
        <v>597</v>
      </c>
      <c r="D99" s="3">
        <f t="shared" ref="D99:D107" si="11">B99*C99</f>
        <v>0</v>
      </c>
      <c r="E99" s="13">
        <f>COUNTIFS($A$12:$A$74,"Cond Ar Split 60.000 BTU/h Piso/Teto")</f>
        <v>0</v>
      </c>
      <c r="F99" s="40">
        <f t="shared" si="10"/>
        <v>0</v>
      </c>
      <c r="G99" s="1"/>
    </row>
    <row r="100" spans="1:10" ht="13.5" customHeight="1" x14ac:dyDescent="0.2">
      <c r="A100" s="2" t="s">
        <v>35</v>
      </c>
      <c r="B100" s="39"/>
      <c r="C100" s="3">
        <v>395</v>
      </c>
      <c r="D100" s="3">
        <f t="shared" si="11"/>
        <v>0</v>
      </c>
      <c r="E100" s="13">
        <f>COUNTIFS($A$12:$A$74,"Cond Ar Split 18.000 BTU/h Cassete")</f>
        <v>0</v>
      </c>
      <c r="F100" s="40">
        <f t="shared" si="10"/>
        <v>0</v>
      </c>
      <c r="G100" s="1"/>
    </row>
    <row r="101" spans="1:10" ht="13.5" customHeight="1" x14ac:dyDescent="0.2">
      <c r="A101" s="2" t="s">
        <v>36</v>
      </c>
      <c r="B101" s="39"/>
      <c r="C101" s="3">
        <v>442.75</v>
      </c>
      <c r="D101" s="3">
        <f t="shared" si="11"/>
        <v>0</v>
      </c>
      <c r="E101" s="13">
        <f>COUNTIFS($A$12:$A$74,"Cond Ar Split 24.000 BTU/h Cassete")</f>
        <v>0</v>
      </c>
      <c r="F101" s="40">
        <f t="shared" si="10"/>
        <v>0</v>
      </c>
      <c r="G101" s="1"/>
    </row>
    <row r="102" spans="1:10" ht="13.5" customHeight="1" x14ac:dyDescent="0.2">
      <c r="A102" s="2" t="s">
        <v>37</v>
      </c>
      <c r="B102" s="39"/>
      <c r="C102" s="3">
        <v>430</v>
      </c>
      <c r="D102" s="3">
        <f t="shared" si="11"/>
        <v>0</v>
      </c>
      <c r="E102" s="13">
        <f>COUNTIFS($A$12:$A$74,"Cond Ar Split 30.000 BTU/h Cassete")</f>
        <v>0</v>
      </c>
      <c r="F102" s="40">
        <f t="shared" si="10"/>
        <v>0</v>
      </c>
      <c r="G102" s="1"/>
    </row>
    <row r="103" spans="1:10" ht="13.5" customHeight="1" x14ac:dyDescent="0.2">
      <c r="A103" s="2" t="s">
        <v>38</v>
      </c>
      <c r="B103" s="39">
        <v>3</v>
      </c>
      <c r="C103" s="3">
        <v>478</v>
      </c>
      <c r="D103" s="3">
        <f t="shared" si="11"/>
        <v>1434</v>
      </c>
      <c r="E103" s="13">
        <f>COUNTIFS($A$12:$A$74,"Cond Ar Split 36.000 BTU/h Cassete")</f>
        <v>0</v>
      </c>
      <c r="F103" s="40">
        <f t="shared" si="10"/>
        <v>3</v>
      </c>
      <c r="G103" s="1"/>
    </row>
    <row r="104" spans="1:10" ht="13.5" customHeight="1" x14ac:dyDescent="0.2">
      <c r="A104" s="2" t="s">
        <v>39</v>
      </c>
      <c r="B104" s="39"/>
      <c r="C104" s="3">
        <v>577</v>
      </c>
      <c r="D104" s="3">
        <f t="shared" si="11"/>
        <v>0</v>
      </c>
      <c r="E104" s="13">
        <f>COUNTIFS($A$12:$A$74,"Cond Ar Split 48.000 BTU/h Cassete")</f>
        <v>0</v>
      </c>
      <c r="F104" s="40">
        <f t="shared" si="10"/>
        <v>0</v>
      </c>
      <c r="G104" s="1"/>
    </row>
    <row r="105" spans="1:10" ht="13.5" customHeight="1" x14ac:dyDescent="0.2">
      <c r="A105" s="2" t="s">
        <v>40</v>
      </c>
      <c r="B105" s="39"/>
      <c r="C105" s="3">
        <v>645</v>
      </c>
      <c r="D105" s="3">
        <f t="shared" si="11"/>
        <v>0</v>
      </c>
      <c r="E105" s="13">
        <f>COUNTIFS($A$12:$A$74,"Cond Ar Split 60.000 BTU/h Cassete")</f>
        <v>0</v>
      </c>
      <c r="F105" s="40">
        <f t="shared" si="10"/>
        <v>0</v>
      </c>
      <c r="G105" s="1"/>
    </row>
    <row r="106" spans="1:10" ht="13.5" customHeight="1" x14ac:dyDescent="0.2">
      <c r="A106" s="2" t="s">
        <v>41</v>
      </c>
      <c r="B106" s="39"/>
      <c r="C106" s="3">
        <v>147</v>
      </c>
      <c r="D106" s="3">
        <f t="shared" si="11"/>
        <v>0</v>
      </c>
      <c r="E106" s="13">
        <f>COUNTIFS($A$12:$A$74,"Cond Ar Tri Split 36.000 BTU/h (3x12.000)")</f>
        <v>0</v>
      </c>
      <c r="F106" s="40">
        <f t="shared" si="10"/>
        <v>0</v>
      </c>
      <c r="G106" s="1"/>
    </row>
    <row r="107" spans="1:10" ht="13.5" customHeight="1" x14ac:dyDescent="0.2">
      <c r="A107" s="2" t="s">
        <v>42</v>
      </c>
      <c r="B107" s="39"/>
      <c r="C107" s="3">
        <v>100</v>
      </c>
      <c r="D107" s="3">
        <f t="shared" si="11"/>
        <v>0</v>
      </c>
      <c r="E107" s="13">
        <f>COUNTIFS($A$12:$A$74,"Cond Ar Portátil 12.000 BTU/h")</f>
        <v>0</v>
      </c>
      <c r="F107" s="40">
        <f t="shared" si="10"/>
        <v>0</v>
      </c>
      <c r="G107" s="1"/>
    </row>
    <row r="108" spans="1:10" ht="13.5" customHeight="1" x14ac:dyDescent="0.2">
      <c r="A108" s="36" t="s">
        <v>7</v>
      </c>
      <c r="B108" s="22">
        <f>SUM(B85:B107)</f>
        <v>82</v>
      </c>
      <c r="C108" s="38"/>
      <c r="D108" s="37">
        <f>SUM(D85:D107)</f>
        <v>15959</v>
      </c>
      <c r="E108" s="22">
        <f>SUM(E85:E107)</f>
        <v>50</v>
      </c>
      <c r="F108" s="41">
        <f>SUM(F85:F107)</f>
        <v>32</v>
      </c>
      <c r="G108" s="54"/>
    </row>
    <row r="112" spans="1:10" ht="13.5" customHeight="1" x14ac:dyDescent="0.25">
      <c r="F112" s="17"/>
      <c r="J112" s="16"/>
    </row>
  </sheetData>
  <mergeCells count="28">
    <mergeCell ref="A82:F82"/>
    <mergeCell ref="A83:D83"/>
    <mergeCell ref="G11:I11"/>
    <mergeCell ref="A74:I74"/>
    <mergeCell ref="D77:I77"/>
    <mergeCell ref="A78:C78"/>
    <mergeCell ref="C11:E11"/>
    <mergeCell ref="A14:K14"/>
    <mergeCell ref="D13:E13"/>
    <mergeCell ref="D78:I78"/>
    <mergeCell ref="A77:C77"/>
    <mergeCell ref="E83:E84"/>
    <mergeCell ref="F83:F84"/>
    <mergeCell ref="A10:I10"/>
    <mergeCell ref="A6:I6"/>
    <mergeCell ref="A1:I1"/>
    <mergeCell ref="A3:I3"/>
    <mergeCell ref="A4:C4"/>
    <mergeCell ref="G4:I4"/>
    <mergeCell ref="G5:I5"/>
    <mergeCell ref="D4:F4"/>
    <mergeCell ref="D5:F5"/>
    <mergeCell ref="A5:C5"/>
    <mergeCell ref="A7:I7"/>
    <mergeCell ref="A8:I8"/>
    <mergeCell ref="A9:B9"/>
    <mergeCell ref="G9:I9"/>
    <mergeCell ref="C9:F9"/>
  </mergeCells>
  <printOptions horizontalCentered="1"/>
  <pageMargins left="0.24" right="0.19685039370078741" top="0.27559055118110237" bottom="0.35433070866141736" header="0.23622047244094491" footer="0.15748031496062992"/>
  <pageSetup paperSize="9" scale="73" orientation="portrait" r:id="rId1"/>
  <headerFooter alignWithMargins="0">
    <oddFooter>&amp;L&amp;F/&amp;A&amp;C&amp;D&amp;R&amp;P/&amp;N</oddFooter>
  </headerFooter>
  <rowBreaks count="1" manualBreakCount="1">
    <brk id="79" max="8" man="1"/>
  </rowBreaks>
  <colBreaks count="1" manualBreakCount="1">
    <brk id="9" max="36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43">
    <pageSetUpPr fitToPage="1"/>
  </sheetPr>
  <dimension ref="A1:K32"/>
  <sheetViews>
    <sheetView showGridLines="0" workbookViewId="0">
      <pane ySplit="11" topLeftCell="A12" activePane="bottomLeft" state="frozen"/>
      <selection activeCell="H18" sqref="H18"/>
      <selection pane="bottomLeft" activeCell="I17" sqref="I17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11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11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11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11" ht="13.5" customHeight="1" thickTop="1" x14ac:dyDescent="0.25">
      <c r="A8" s="296" t="s">
        <v>118</v>
      </c>
      <c r="B8" s="297"/>
      <c r="C8" s="297"/>
      <c r="D8" s="297"/>
      <c r="E8" s="297"/>
      <c r="F8" s="298"/>
    </row>
    <row r="9" spans="1:11" ht="13.5" customHeight="1" x14ac:dyDescent="0.25">
      <c r="A9" s="60" t="s">
        <v>115</v>
      </c>
      <c r="B9" s="270" t="s">
        <v>128</v>
      </c>
      <c r="C9" s="270"/>
      <c r="D9" s="270"/>
      <c r="E9" s="271" t="s">
        <v>989</v>
      </c>
      <c r="F9" s="273"/>
    </row>
    <row r="11" spans="1:11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11" ht="13.5" customHeight="1" x14ac:dyDescent="0.2">
      <c r="A12" s="299"/>
      <c r="B12" s="300"/>
      <c r="C12" s="101"/>
      <c r="D12" s="103"/>
      <c r="E12" s="11"/>
      <c r="F12" s="109"/>
    </row>
    <row r="13" spans="1:11" ht="13.5" customHeight="1" x14ac:dyDescent="0.2">
      <c r="A13" s="299"/>
      <c r="B13" s="300"/>
      <c r="C13" s="102"/>
      <c r="D13" s="104"/>
      <c r="E13" s="82"/>
      <c r="F13" s="109">
        <f t="shared" ref="F13" si="0">D13/30*C13*E13</f>
        <v>0</v>
      </c>
      <c r="K13" s="15"/>
    </row>
    <row r="14" spans="1:11" ht="13.5" customHeight="1" x14ac:dyDescent="0.25">
      <c r="A14" s="271" t="s">
        <v>210</v>
      </c>
      <c r="B14" s="273"/>
      <c r="C14" s="58">
        <f>SUM(C12:C13)</f>
        <v>0</v>
      </c>
      <c r="D14" s="57"/>
      <c r="E14" s="57"/>
      <c r="F14" s="73">
        <f>SUM(F12:F13)</f>
        <v>0</v>
      </c>
      <c r="K14" s="15"/>
    </row>
    <row r="15" spans="1:11" ht="13.5" customHeight="1" x14ac:dyDescent="0.25">
      <c r="A15" s="105"/>
      <c r="B15" s="105"/>
      <c r="C15" s="105"/>
      <c r="D15" s="106"/>
      <c r="E15" s="107"/>
      <c r="F15" s="108"/>
      <c r="K15" s="15"/>
    </row>
    <row r="16" spans="1:11" ht="13.5" customHeight="1" x14ac:dyDescent="0.25">
      <c r="K16" s="15"/>
    </row>
    <row r="17" spans="1:11" ht="13.5" customHeight="1" x14ac:dyDescent="0.25">
      <c r="A17" s="289" t="s">
        <v>124</v>
      </c>
      <c r="B17" s="289"/>
      <c r="C17" s="289"/>
      <c r="D17" s="289"/>
      <c r="E17" s="289"/>
      <c r="F17" s="289"/>
      <c r="G17" s="74"/>
      <c r="H17" s="74"/>
      <c r="I17" s="74"/>
      <c r="K17" s="15"/>
    </row>
    <row r="18" spans="1:11" ht="13.5" customHeight="1" x14ac:dyDescent="0.25">
      <c r="K18" s="15"/>
    </row>
    <row r="19" spans="1:11" ht="13.5" customHeight="1" x14ac:dyDescent="0.2">
      <c r="A19" s="27" t="s">
        <v>125</v>
      </c>
      <c r="B19" s="27"/>
      <c r="F19" s="110"/>
      <c r="G19" s="10"/>
      <c r="I19" s="111"/>
      <c r="K19" s="15"/>
    </row>
    <row r="20" spans="1:11" ht="60" customHeight="1" x14ac:dyDescent="0.25">
      <c r="A20" s="291"/>
      <c r="B20" s="275"/>
      <c r="C20" s="292"/>
      <c r="D20" s="290"/>
      <c r="E20" s="290"/>
      <c r="F20" s="290"/>
      <c r="K20" s="15"/>
    </row>
    <row r="21" spans="1:11" ht="13.5" customHeight="1" x14ac:dyDescent="0.25">
      <c r="A21" s="274" t="s">
        <v>126</v>
      </c>
      <c r="B21" s="274"/>
      <c r="C21" s="274"/>
      <c r="D21" s="75"/>
      <c r="E21" s="75" t="s">
        <v>127</v>
      </c>
      <c r="F21" s="75"/>
      <c r="G21" s="27"/>
      <c r="H21" s="27"/>
      <c r="I21" s="27"/>
      <c r="K21" s="15"/>
    </row>
    <row r="22" spans="1:11" ht="13.5" customHeight="1" x14ac:dyDescent="0.25">
      <c r="K22" s="15"/>
    </row>
    <row r="23" spans="1:11" ht="13.5" customHeight="1" x14ac:dyDescent="0.25">
      <c r="K23" s="15"/>
    </row>
    <row r="24" spans="1:11" ht="13.5" customHeight="1" x14ac:dyDescent="0.25">
      <c r="K24" s="15"/>
    </row>
    <row r="25" spans="1:11" ht="13.5" customHeight="1" x14ac:dyDescent="0.25">
      <c r="K25" s="15"/>
    </row>
    <row r="26" spans="1:11" ht="13.5" customHeight="1" x14ac:dyDescent="0.25">
      <c r="K26" s="15"/>
    </row>
    <row r="27" spans="1:11" ht="13.5" customHeight="1" x14ac:dyDescent="0.25">
      <c r="K27" s="15"/>
    </row>
    <row r="28" spans="1:11" ht="13.5" customHeight="1" x14ac:dyDescent="0.25">
      <c r="K28" s="15"/>
    </row>
    <row r="29" spans="1:11" ht="13.5" customHeight="1" x14ac:dyDescent="0.25">
      <c r="K29" s="15"/>
    </row>
    <row r="30" spans="1:11" ht="13.5" customHeight="1" x14ac:dyDescent="0.25">
      <c r="K30" s="15"/>
    </row>
    <row r="31" spans="1:11" ht="13.5" customHeight="1" x14ac:dyDescent="0.25">
      <c r="K31" s="15"/>
    </row>
    <row r="32" spans="1:11" ht="13.5" customHeight="1" x14ac:dyDescent="0.25">
      <c r="K32" s="15"/>
    </row>
  </sheetData>
  <mergeCells count="18">
    <mergeCell ref="A7:F7"/>
    <mergeCell ref="A8:F8"/>
    <mergeCell ref="B9:D9"/>
    <mergeCell ref="E9:F9"/>
    <mergeCell ref="A1:F1"/>
    <mergeCell ref="A3:F3"/>
    <mergeCell ref="A4:C4"/>
    <mergeCell ref="D4:E4"/>
    <mergeCell ref="A5:C5"/>
    <mergeCell ref="D5:E5"/>
    <mergeCell ref="A11:B11"/>
    <mergeCell ref="A12:B12"/>
    <mergeCell ref="A21:C21"/>
    <mergeCell ref="A17:F17"/>
    <mergeCell ref="A20:C20"/>
    <mergeCell ref="D20:F20"/>
    <mergeCell ref="A14:B14"/>
    <mergeCell ref="A13:B13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44"/>
  <dimension ref="A1:AE32"/>
  <sheetViews>
    <sheetView tabSelected="1" topLeftCell="N19" workbookViewId="0">
      <selection activeCell="AD34" sqref="AD34"/>
    </sheetView>
  </sheetViews>
  <sheetFormatPr defaultRowHeight="12.75" x14ac:dyDescent="0.2"/>
  <cols>
    <col min="1" max="1" width="36.5703125" style="110" bestFit="1" customWidth="1"/>
    <col min="2" max="2" width="11.5703125" style="110" bestFit="1" customWidth="1"/>
    <col min="3" max="3" width="11" style="110" bestFit="1" customWidth="1"/>
    <col min="4" max="4" width="17.28515625" style="110" customWidth="1"/>
    <col min="5" max="5" width="9.140625" style="110" customWidth="1"/>
    <col min="6" max="9" width="9.140625" style="110"/>
    <col min="10" max="10" width="7.7109375" style="110" bestFit="1" customWidth="1"/>
    <col min="11" max="26" width="9.140625" style="110"/>
    <col min="27" max="27" width="9.140625" style="43"/>
    <col min="28" max="28" width="9.140625" style="110"/>
    <col min="29" max="29" width="11" style="110" bestFit="1" customWidth="1"/>
    <col min="30" max="30" width="14.28515625" style="110" bestFit="1" customWidth="1"/>
    <col min="31" max="16384" width="9.140625" style="110"/>
  </cols>
  <sheetData>
    <row r="1" spans="1:30" ht="13.5" thickBot="1" x14ac:dyDescent="0.25"/>
    <row r="2" spans="1:30" ht="13.5" thickBot="1" x14ac:dyDescent="0.25">
      <c r="A2" s="334" t="s">
        <v>68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6"/>
    </row>
    <row r="3" spans="1:30" s="43" customFormat="1" ht="14.25" customHeight="1" x14ac:dyDescent="0.25">
      <c r="A3" s="329" t="s">
        <v>45</v>
      </c>
      <c r="B3" s="330"/>
      <c r="C3" s="330"/>
      <c r="D3" s="331"/>
      <c r="E3" s="329" t="s">
        <v>5</v>
      </c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1"/>
      <c r="AD3" s="332" t="s">
        <v>6</v>
      </c>
    </row>
    <row r="4" spans="1:30" x14ac:dyDescent="0.2">
      <c r="A4" s="42" t="s">
        <v>0</v>
      </c>
      <c r="B4" s="34" t="s">
        <v>3</v>
      </c>
      <c r="C4" s="34" t="s">
        <v>2</v>
      </c>
      <c r="D4" s="44" t="s">
        <v>4</v>
      </c>
      <c r="E4" s="42" t="s">
        <v>46</v>
      </c>
      <c r="F4" s="34" t="s">
        <v>47</v>
      </c>
      <c r="G4" s="34" t="s">
        <v>48</v>
      </c>
      <c r="H4" s="34" t="s">
        <v>49</v>
      </c>
      <c r="I4" s="34" t="s">
        <v>50</v>
      </c>
      <c r="J4" s="34" t="s">
        <v>211</v>
      </c>
      <c r="K4" s="34" t="s">
        <v>155</v>
      </c>
      <c r="L4" s="34" t="s">
        <v>51</v>
      </c>
      <c r="M4" s="34" t="s">
        <v>52</v>
      </c>
      <c r="N4" s="34" t="s">
        <v>53</v>
      </c>
      <c r="O4" s="34" t="s">
        <v>54</v>
      </c>
      <c r="P4" s="34" t="s">
        <v>55</v>
      </c>
      <c r="Q4" s="34" t="s">
        <v>56</v>
      </c>
      <c r="R4" s="34" t="s">
        <v>44</v>
      </c>
      <c r="S4" s="34" t="s">
        <v>249</v>
      </c>
      <c r="T4" s="34" t="s">
        <v>57</v>
      </c>
      <c r="U4" s="34" t="s">
        <v>58</v>
      </c>
      <c r="V4" s="34" t="s">
        <v>59</v>
      </c>
      <c r="W4" s="34" t="s">
        <v>60</v>
      </c>
      <c r="X4" s="34" t="s">
        <v>61</v>
      </c>
      <c r="Y4" s="34" t="s">
        <v>62</v>
      </c>
      <c r="Z4" s="34" t="s">
        <v>63</v>
      </c>
      <c r="AA4" s="22" t="s">
        <v>64</v>
      </c>
      <c r="AB4" s="34" t="s">
        <v>65</v>
      </c>
      <c r="AC4" s="44" t="s">
        <v>66</v>
      </c>
      <c r="AD4" s="333"/>
    </row>
    <row r="5" spans="1:30" ht="15" x14ac:dyDescent="0.25">
      <c r="A5" s="117" t="s">
        <v>18</v>
      </c>
      <c r="B5" s="39">
        <v>6</v>
      </c>
      <c r="C5" s="35">
        <v>37</v>
      </c>
      <c r="D5" s="118">
        <f t="shared" ref="D5:D27" si="0">B5*C5</f>
        <v>222</v>
      </c>
      <c r="E5" s="119">
        <f>'ARSAL Med'!E41</f>
        <v>0</v>
      </c>
      <c r="F5" s="124">
        <f>'CGM Med'!E90</f>
        <v>0</v>
      </c>
      <c r="G5" s="124">
        <f>'FCM Med'!E72</f>
        <v>0</v>
      </c>
      <c r="H5" s="124">
        <f>'FGM Med'!E52</f>
        <v>0</v>
      </c>
      <c r="I5" s="124">
        <f>'FMLF Med'!E71</f>
        <v>0</v>
      </c>
      <c r="J5" s="124"/>
      <c r="K5" s="124">
        <f>'GCM Med'!E59</f>
        <v>0</v>
      </c>
      <c r="L5" s="124">
        <f>'PGMS Med'!E115</f>
        <v>0</v>
      </c>
      <c r="M5" s="124"/>
      <c r="N5" s="124">
        <f>'SECOM Med'!E42</f>
        <v>0</v>
      </c>
      <c r="O5" s="124"/>
      <c r="P5" s="124">
        <f>'SEDUR Med'!E122</f>
        <v>0</v>
      </c>
      <c r="Q5" s="124">
        <f>'SEFAZ Med'!E52</f>
        <v>0</v>
      </c>
      <c r="R5" s="13">
        <f>'SEMGE Med'!E42</f>
        <v>0</v>
      </c>
      <c r="S5" s="124">
        <f>'SEGOV Med'!E203</f>
        <v>0</v>
      </c>
      <c r="T5" s="124">
        <f>' SEINFRA Med'!E103</f>
        <v>0</v>
      </c>
      <c r="U5" s="124">
        <f>'SEMAN Med'!E65</f>
        <v>0</v>
      </c>
      <c r="V5" s="124">
        <f>'SEMDEC Med'!E55</f>
        <v>0</v>
      </c>
      <c r="W5" s="124">
        <f>'SEMOB Med'!E129</f>
        <v>0</v>
      </c>
      <c r="X5" s="124">
        <f>'SEMOP Med'!E100</f>
        <v>0</v>
      </c>
      <c r="Y5" s="124">
        <f>[2]Consolidado!$J$5</f>
        <v>0</v>
      </c>
      <c r="Z5" s="125">
        <f>'SEMUR Med'!E59</f>
        <v>0</v>
      </c>
      <c r="AA5" s="249">
        <f>[3]Consolidado!Y5</f>
        <v>0</v>
      </c>
      <c r="AB5" s="146">
        <f>'SPMJ Med'!E153</f>
        <v>0</v>
      </c>
      <c r="AC5" s="125">
        <f>'TRANSALVADOR Med'!E85</f>
        <v>0</v>
      </c>
      <c r="AD5" s="126">
        <f>B5-SUM(E5:AC5)</f>
        <v>6</v>
      </c>
    </row>
    <row r="6" spans="1:30" ht="15" x14ac:dyDescent="0.25">
      <c r="A6" s="117" t="s">
        <v>19</v>
      </c>
      <c r="B6" s="39">
        <v>211</v>
      </c>
      <c r="C6" s="3">
        <v>210</v>
      </c>
      <c r="D6" s="118">
        <f t="shared" si="0"/>
        <v>44310</v>
      </c>
      <c r="E6" s="119">
        <f>'ARSAL Med'!E42</f>
        <v>0</v>
      </c>
      <c r="F6" s="124">
        <f>'CGM Med'!E91</f>
        <v>0</v>
      </c>
      <c r="G6" s="124">
        <f>'FCM Med'!E73</f>
        <v>0</v>
      </c>
      <c r="H6" s="124">
        <f>'FGM Med'!E53</f>
        <v>0</v>
      </c>
      <c r="I6" s="124">
        <f>'FMLF Med'!E72</f>
        <v>0</v>
      </c>
      <c r="J6" s="124"/>
      <c r="K6" s="124">
        <f>'GCM Med'!E60</f>
        <v>0</v>
      </c>
      <c r="L6" s="124">
        <f>'PGMS Med'!E116</f>
        <v>0</v>
      </c>
      <c r="M6" s="124"/>
      <c r="N6" s="124">
        <f>'SECOM Med'!E43</f>
        <v>0</v>
      </c>
      <c r="O6" s="124"/>
      <c r="P6" s="124">
        <f>'SEDUR Med'!E123</f>
        <v>0</v>
      </c>
      <c r="Q6" s="124">
        <f>'SEFAZ Med'!E53</f>
        <v>0</v>
      </c>
      <c r="R6" s="13">
        <f>'SEMGE Med'!E43</f>
        <v>0</v>
      </c>
      <c r="S6" s="124">
        <f>'SEGOV Med'!E204</f>
        <v>1</v>
      </c>
      <c r="T6" s="124">
        <f>' SEINFRA Med'!E104</f>
        <v>0</v>
      </c>
      <c r="U6" s="124">
        <f>'SEMAN Med'!E66</f>
        <v>0</v>
      </c>
      <c r="V6" s="124">
        <f>'SEMDEC Med'!E56</f>
        <v>0</v>
      </c>
      <c r="W6" s="124">
        <f>'SEMOB Med'!E130</f>
        <v>0</v>
      </c>
      <c r="X6" s="124">
        <f>'SEMOP Med'!E101</f>
        <v>0</v>
      </c>
      <c r="Y6" s="124">
        <f>[2]Consolidado!$J$6</f>
        <v>0</v>
      </c>
      <c r="Z6" s="125">
        <f>'SEMUR Med'!E60</f>
        <v>0</v>
      </c>
      <c r="AA6" s="249">
        <f>[3]Consolidado!Y6</f>
        <v>200</v>
      </c>
      <c r="AB6" s="146">
        <f>'SPMJ Med'!E154</f>
        <v>0</v>
      </c>
      <c r="AC6" s="125">
        <f>'TRANSALVADOR Med'!E86</f>
        <v>0</v>
      </c>
      <c r="AD6" s="126">
        <f t="shared" ref="AD6:AD27" si="1">B6-SUM(E6:AC6)</f>
        <v>10</v>
      </c>
    </row>
    <row r="7" spans="1:30" ht="15" x14ac:dyDescent="0.25">
      <c r="A7" s="117" t="s">
        <v>20</v>
      </c>
      <c r="B7" s="39">
        <v>34</v>
      </c>
      <c r="C7" s="3">
        <v>208</v>
      </c>
      <c r="D7" s="118">
        <f t="shared" si="0"/>
        <v>7072</v>
      </c>
      <c r="E7" s="119">
        <f>'ARSAL Med'!E43</f>
        <v>0</v>
      </c>
      <c r="F7" s="124">
        <f>'CGM Med'!E92</f>
        <v>0</v>
      </c>
      <c r="G7" s="124">
        <f>'FCM Med'!E74</f>
        <v>0</v>
      </c>
      <c r="H7" s="124">
        <f>'FGM Med'!E54</f>
        <v>0</v>
      </c>
      <c r="I7" s="124">
        <f>'FMLF Med'!E73</f>
        <v>0</v>
      </c>
      <c r="J7" s="124"/>
      <c r="K7" s="124">
        <f>'GCM Med'!E61</f>
        <v>3</v>
      </c>
      <c r="L7" s="124">
        <f>'PGMS Med'!E117</f>
        <v>1</v>
      </c>
      <c r="M7" s="124"/>
      <c r="N7" s="124">
        <f>'SECOM Med'!E44</f>
        <v>0</v>
      </c>
      <c r="O7" s="124"/>
      <c r="P7" s="124">
        <f>'SEDUR Med'!E124</f>
        <v>0</v>
      </c>
      <c r="Q7" s="124">
        <f>'SEFAZ Med'!E54</f>
        <v>6</v>
      </c>
      <c r="R7" s="13">
        <f>'SEMGE Med'!E44</f>
        <v>0</v>
      </c>
      <c r="S7" s="124">
        <f>'SEGOV Med'!E205</f>
        <v>0</v>
      </c>
      <c r="T7" s="124">
        <f>' SEINFRA Med'!E105</f>
        <v>0</v>
      </c>
      <c r="U7" s="124">
        <f>'SEMAN Med'!E67</f>
        <v>0</v>
      </c>
      <c r="V7" s="124">
        <f>'SEMDEC Med'!E57</f>
        <v>0</v>
      </c>
      <c r="W7" s="124">
        <f>'SEMOB Med'!E131</f>
        <v>0</v>
      </c>
      <c r="X7" s="124">
        <f>'SEMOP Med'!E102</f>
        <v>0</v>
      </c>
      <c r="Y7" s="124">
        <f>[2]Consolidado!$J$7</f>
        <v>0</v>
      </c>
      <c r="Z7" s="125">
        <f>'SEMUR Med'!E61</f>
        <v>0</v>
      </c>
      <c r="AA7" s="249">
        <f>[3]Consolidado!Y7</f>
        <v>0</v>
      </c>
      <c r="AB7" s="146">
        <f>'SPMJ Med'!E155</f>
        <v>0</v>
      </c>
      <c r="AC7" s="125">
        <f>'TRANSALVADOR Med'!E87</f>
        <v>0</v>
      </c>
      <c r="AD7" s="126">
        <f t="shared" si="1"/>
        <v>24</v>
      </c>
    </row>
    <row r="8" spans="1:30" ht="15" x14ac:dyDescent="0.25">
      <c r="A8" s="117" t="s">
        <v>21</v>
      </c>
      <c r="B8" s="39">
        <v>117</v>
      </c>
      <c r="C8" s="3">
        <v>57</v>
      </c>
      <c r="D8" s="118">
        <f t="shared" si="0"/>
        <v>6669</v>
      </c>
      <c r="E8" s="119">
        <f>'ARSAL Med'!E44</f>
        <v>0</v>
      </c>
      <c r="F8" s="124">
        <f>'CGM Med'!E93</f>
        <v>0</v>
      </c>
      <c r="G8" s="124">
        <f>'FCM Med'!E75</f>
        <v>0</v>
      </c>
      <c r="H8" s="124">
        <f>'FGM Med'!E55</f>
        <v>0</v>
      </c>
      <c r="I8" s="124">
        <f>'FMLF Med'!E74</f>
        <v>0</v>
      </c>
      <c r="J8" s="124"/>
      <c r="K8" s="124">
        <f>'GCM Med'!E62</f>
        <v>0</v>
      </c>
      <c r="L8" s="124">
        <f>'PGMS Med'!E118</f>
        <v>0</v>
      </c>
      <c r="M8" s="124"/>
      <c r="N8" s="124">
        <f>'SECOM Med'!E45</f>
        <v>0</v>
      </c>
      <c r="O8" s="124"/>
      <c r="P8" s="124">
        <f>'SEDUR Med'!E125</f>
        <v>0</v>
      </c>
      <c r="Q8" s="124">
        <f>'SEFAZ Med'!E55</f>
        <v>11</v>
      </c>
      <c r="R8" s="13">
        <f>'SEMGE Med'!E45</f>
        <v>0</v>
      </c>
      <c r="S8" s="124">
        <f>'SEGOV Med'!E206</f>
        <v>0</v>
      </c>
      <c r="T8" s="124">
        <f>' SEINFRA Med'!E106</f>
        <v>0</v>
      </c>
      <c r="U8" s="124">
        <f>'SEMAN Med'!E68</f>
        <v>0</v>
      </c>
      <c r="V8" s="124">
        <f>'SEMDEC Med'!E58</f>
        <v>0</v>
      </c>
      <c r="W8" s="124">
        <f>'SEMOB Med'!E132</f>
        <v>0</v>
      </c>
      <c r="X8" s="124">
        <f>'SEMOP Med'!E103</f>
        <v>0</v>
      </c>
      <c r="Y8" s="124">
        <f>[2]Consolidado!$J$8</f>
        <v>0</v>
      </c>
      <c r="Z8" s="125">
        <f>'SEMUR Med'!E62</f>
        <v>0</v>
      </c>
      <c r="AA8" s="249">
        <f>[3]Consolidado!Y8</f>
        <v>59</v>
      </c>
      <c r="AB8" s="146">
        <f>'SPMJ Med'!E156</f>
        <v>0</v>
      </c>
      <c r="AC8" s="125">
        <f>'TRANSALVADOR Med'!E88</f>
        <v>0</v>
      </c>
      <c r="AD8" s="126">
        <f t="shared" si="1"/>
        <v>47</v>
      </c>
    </row>
    <row r="9" spans="1:30" ht="15" x14ac:dyDescent="0.25">
      <c r="A9" s="117" t="s">
        <v>22</v>
      </c>
      <c r="B9" s="39">
        <v>291</v>
      </c>
      <c r="C9" s="3">
        <v>147</v>
      </c>
      <c r="D9" s="118">
        <f t="shared" si="0"/>
        <v>42777</v>
      </c>
      <c r="E9" s="119">
        <f>'ARSAL Med'!E45</f>
        <v>0</v>
      </c>
      <c r="F9" s="124">
        <f>'CGM Med'!E94</f>
        <v>2</v>
      </c>
      <c r="G9" s="124">
        <f>'FCM Med'!E76</f>
        <v>4</v>
      </c>
      <c r="H9" s="124">
        <f>'FGM Med'!E56</f>
        <v>4</v>
      </c>
      <c r="I9" s="124">
        <f>'FMLF Med'!E75</f>
        <v>0</v>
      </c>
      <c r="J9" s="124"/>
      <c r="K9" s="124">
        <f>'GCM Med'!E63</f>
        <v>1</v>
      </c>
      <c r="L9" s="124">
        <f>'PGMS Med'!E119</f>
        <v>17</v>
      </c>
      <c r="M9" s="124"/>
      <c r="N9" s="124">
        <f>'SECOM Med'!E46</f>
        <v>1</v>
      </c>
      <c r="O9" s="124"/>
      <c r="P9" s="124">
        <f>'SEDUR Med'!E126</f>
        <v>9</v>
      </c>
      <c r="Q9" s="124">
        <f>'SEFAZ Med'!E56</f>
        <v>0</v>
      </c>
      <c r="R9" s="13">
        <f>'SEMGE Med'!E46</f>
        <v>0</v>
      </c>
      <c r="S9" s="124">
        <f>'SEGOV Med'!E207</f>
        <v>1</v>
      </c>
      <c r="T9" s="124">
        <f>' SEINFRA Med'!E107</f>
        <v>0</v>
      </c>
      <c r="U9" s="124">
        <f>'SEMAN Med'!E69</f>
        <v>3</v>
      </c>
      <c r="V9" s="124">
        <f>'SEMDEC Med'!E59</f>
        <v>2</v>
      </c>
      <c r="W9" s="124">
        <f>'SEMOB Med'!E133</f>
        <v>33</v>
      </c>
      <c r="X9" s="124">
        <f>'SEMOP Med'!E104</f>
        <v>0</v>
      </c>
      <c r="Y9" s="124">
        <v>56</v>
      </c>
      <c r="Z9" s="125">
        <f>'SEMUR Med'!E63</f>
        <v>4</v>
      </c>
      <c r="AA9" s="249">
        <f>[3]Consolidado!Y9</f>
        <v>0</v>
      </c>
      <c r="AB9" s="146">
        <f>'SPMJ Med'!E157</f>
        <v>4</v>
      </c>
      <c r="AC9" s="125">
        <f>'TRANSALVADOR Med'!E89</f>
        <v>33</v>
      </c>
      <c r="AD9" s="126">
        <f t="shared" si="1"/>
        <v>117</v>
      </c>
    </row>
    <row r="10" spans="1:30" ht="15" x14ac:dyDescent="0.25">
      <c r="A10" s="117" t="s">
        <v>23</v>
      </c>
      <c r="B10" s="39">
        <v>4066</v>
      </c>
      <c r="C10" s="3">
        <v>235</v>
      </c>
      <c r="D10" s="118">
        <f t="shared" si="0"/>
        <v>955510</v>
      </c>
      <c r="E10" s="119">
        <f>'ARSAL Med'!E46</f>
        <v>2</v>
      </c>
      <c r="F10" s="124">
        <f>'CGM Med'!E95</f>
        <v>9</v>
      </c>
      <c r="G10" s="124">
        <f>'FCM Med'!E77</f>
        <v>13</v>
      </c>
      <c r="H10" s="124">
        <f>'FGM Med'!E57</f>
        <v>2</v>
      </c>
      <c r="I10" s="124">
        <f>'FMLF Med'!E76</f>
        <v>14</v>
      </c>
      <c r="J10" s="124"/>
      <c r="K10" s="124">
        <f>'GCM Med'!E64</f>
        <v>8</v>
      </c>
      <c r="L10" s="124">
        <f>'PGMS Med'!E120</f>
        <v>21</v>
      </c>
      <c r="M10" s="124"/>
      <c r="N10" s="124">
        <f>'SECOM Med'!E47</f>
        <v>3</v>
      </c>
      <c r="O10" s="124"/>
      <c r="P10" s="124">
        <f>'SEDUR Med'!E127</f>
        <v>34</v>
      </c>
      <c r="Q10" s="124">
        <f>'SEFAZ Med'!E57</f>
        <v>0</v>
      </c>
      <c r="R10" s="13">
        <f>'SEMGE Med'!E47</f>
        <v>2</v>
      </c>
      <c r="S10" s="124">
        <f>'SEGOV Med'!E208</f>
        <v>61</v>
      </c>
      <c r="T10" s="124">
        <f>' SEINFRA Med'!E108</f>
        <v>26</v>
      </c>
      <c r="U10" s="124">
        <f>'SEMAN Med'!E70</f>
        <v>7</v>
      </c>
      <c r="V10" s="124">
        <f>'SEMDEC Med'!E60</f>
        <v>1</v>
      </c>
      <c r="W10" s="124">
        <f>'SEMOB Med'!E134</f>
        <v>25</v>
      </c>
      <c r="X10" s="124">
        <f>'SEMOP Med'!E105</f>
        <v>11</v>
      </c>
      <c r="Y10" s="124">
        <v>61</v>
      </c>
      <c r="Z10" s="125">
        <f>'SEMUR Med'!E64</f>
        <v>15</v>
      </c>
      <c r="AA10" s="249">
        <f>[3]Consolidado!Y10</f>
        <v>1248</v>
      </c>
      <c r="AB10" s="146">
        <f>'SPMJ Med'!E158</f>
        <v>64</v>
      </c>
      <c r="AC10" s="125">
        <f>'TRANSALVADOR Med'!E90</f>
        <v>17</v>
      </c>
      <c r="AD10" s="126">
        <f t="shared" si="1"/>
        <v>2422</v>
      </c>
    </row>
    <row r="11" spans="1:30" ht="15" x14ac:dyDescent="0.25">
      <c r="A11" s="117" t="s">
        <v>24</v>
      </c>
      <c r="B11" s="39">
        <v>1536</v>
      </c>
      <c r="C11" s="3">
        <v>238</v>
      </c>
      <c r="D11" s="118">
        <f t="shared" si="0"/>
        <v>365568</v>
      </c>
      <c r="E11" s="119">
        <f>'ARSAL Med'!E47</f>
        <v>3</v>
      </c>
      <c r="F11" s="124">
        <f>'CGM Med'!E96</f>
        <v>8</v>
      </c>
      <c r="G11" s="124">
        <f>'FCM Med'!E78</f>
        <v>11</v>
      </c>
      <c r="H11" s="124">
        <f>'FGM Med'!E58</f>
        <v>2</v>
      </c>
      <c r="I11" s="124">
        <f>'FMLF Med'!E77</f>
        <v>3</v>
      </c>
      <c r="J11" s="124"/>
      <c r="K11" s="124">
        <f>'GCM Med'!E65</f>
        <v>7</v>
      </c>
      <c r="L11" s="124">
        <f>'PGMS Med'!E121</f>
        <v>22</v>
      </c>
      <c r="M11" s="124"/>
      <c r="N11" s="124">
        <f>'SECOM Med'!E48</f>
        <v>2</v>
      </c>
      <c r="O11" s="124"/>
      <c r="P11" s="124">
        <f>'SEDUR Med'!E128</f>
        <v>9</v>
      </c>
      <c r="Q11" s="124">
        <f>'SEFAZ Med'!E58</f>
        <v>0</v>
      </c>
      <c r="R11" s="13">
        <f>'SEMGE Med'!E48</f>
        <v>3</v>
      </c>
      <c r="S11" s="124">
        <f>'SEGOV Med'!E209</f>
        <v>27</v>
      </c>
      <c r="T11" s="124">
        <f>' SEINFRA Med'!E109</f>
        <v>18</v>
      </c>
      <c r="U11" s="124">
        <f>'SEMAN Med'!E71</f>
        <v>11</v>
      </c>
      <c r="V11" s="124">
        <f>'SEMDEC Med'!E61</f>
        <v>11</v>
      </c>
      <c r="W11" s="124">
        <f>'SEMOB Med'!E135</f>
        <v>25</v>
      </c>
      <c r="X11" s="124">
        <f>'SEMOP Med'!E106</f>
        <v>12</v>
      </c>
      <c r="Y11" s="124">
        <v>21</v>
      </c>
      <c r="Z11" s="125">
        <f>'SEMUR Med'!E65</f>
        <v>6</v>
      </c>
      <c r="AA11" s="249">
        <f>[3]Consolidado!Y11</f>
        <v>166</v>
      </c>
      <c r="AB11" s="146">
        <f>'SPMJ Med'!E159</f>
        <v>9</v>
      </c>
      <c r="AC11" s="125">
        <f>'TRANSALVADOR Med'!E91</f>
        <v>0</v>
      </c>
      <c r="AD11" s="126">
        <f t="shared" si="1"/>
        <v>1160</v>
      </c>
    </row>
    <row r="12" spans="1:30" ht="15" x14ac:dyDescent="0.25">
      <c r="A12" s="117" t="s">
        <v>25</v>
      </c>
      <c r="B12" s="39">
        <v>93</v>
      </c>
      <c r="C12" s="3">
        <v>242</v>
      </c>
      <c r="D12" s="118">
        <f t="shared" si="0"/>
        <v>22506</v>
      </c>
      <c r="E12" s="119">
        <f>'ARSAL Med'!E48</f>
        <v>2</v>
      </c>
      <c r="F12" s="124">
        <f>'CGM Med'!E97</f>
        <v>23</v>
      </c>
      <c r="G12" s="124">
        <f>'FCM Med'!E79</f>
        <v>0</v>
      </c>
      <c r="H12" s="124">
        <f>'FGM Med'!E59</f>
        <v>2</v>
      </c>
      <c r="I12" s="124">
        <f>'FMLF Med'!E78</f>
        <v>0</v>
      </c>
      <c r="J12" s="124"/>
      <c r="K12" s="124">
        <f>'GCM Med'!E66</f>
        <v>0</v>
      </c>
      <c r="L12" s="124">
        <f>'PGMS Med'!E122</f>
        <v>10</v>
      </c>
      <c r="M12" s="124"/>
      <c r="N12" s="124">
        <f>'SECOM Med'!E49</f>
        <v>0</v>
      </c>
      <c r="O12" s="124"/>
      <c r="P12" s="124">
        <f>'SEDUR Med'!E129</f>
        <v>0</v>
      </c>
      <c r="Q12" s="124">
        <f>'SEFAZ Med'!E59</f>
        <v>0</v>
      </c>
      <c r="R12" s="13">
        <f>'SEMGE Med'!E49</f>
        <v>0</v>
      </c>
      <c r="S12" s="124">
        <f>'SEGOV Med'!E210</f>
        <v>1</v>
      </c>
      <c r="T12" s="124">
        <f>' SEINFRA Med'!E110</f>
        <v>0</v>
      </c>
      <c r="U12" s="124">
        <f>'SEMAN Med'!E72</f>
        <v>0</v>
      </c>
      <c r="V12" s="124">
        <f>'SEMDEC Med'!E62</f>
        <v>0</v>
      </c>
      <c r="W12" s="124">
        <f>'SEMOB Med'!E136</f>
        <v>0</v>
      </c>
      <c r="X12" s="124">
        <f>'SEMOP Med'!E107</f>
        <v>0</v>
      </c>
      <c r="Y12" s="124">
        <f>[2]Consolidado!$J$12</f>
        <v>33</v>
      </c>
      <c r="Z12" s="125">
        <f>'SEMUR Med'!E66</f>
        <v>0</v>
      </c>
      <c r="AA12" s="249">
        <f>[3]Consolidado!Y12</f>
        <v>0</v>
      </c>
      <c r="AB12" s="146">
        <f>'SPMJ Med'!E160</f>
        <v>0</v>
      </c>
      <c r="AC12" s="125">
        <f>'TRANSALVADOR Med'!E92</f>
        <v>0</v>
      </c>
      <c r="AD12" s="126">
        <f t="shared" si="1"/>
        <v>22</v>
      </c>
    </row>
    <row r="13" spans="1:30" ht="15" x14ac:dyDescent="0.25">
      <c r="A13" s="117" t="s">
        <v>26</v>
      </c>
      <c r="B13" s="39">
        <v>567</v>
      </c>
      <c r="C13" s="3">
        <v>260</v>
      </c>
      <c r="D13" s="118">
        <f t="shared" si="0"/>
        <v>147420</v>
      </c>
      <c r="E13" s="119">
        <f>'ARSAL Med'!E49</f>
        <v>0</v>
      </c>
      <c r="F13" s="124">
        <f>'CGM Med'!E98</f>
        <v>0</v>
      </c>
      <c r="G13" s="124">
        <f>'FCM Med'!E80</f>
        <v>0</v>
      </c>
      <c r="H13" s="124">
        <f>'FGM Med'!E60</f>
        <v>0</v>
      </c>
      <c r="I13" s="124">
        <f>'FMLF Med'!E79</f>
        <v>1</v>
      </c>
      <c r="J13" s="124"/>
      <c r="K13" s="124">
        <f>'GCM Med'!E67</f>
        <v>0</v>
      </c>
      <c r="L13" s="124">
        <f>'PGMS Med'!E123</f>
        <v>4</v>
      </c>
      <c r="M13" s="124"/>
      <c r="N13" s="124">
        <f>'SECOM Med'!E50</f>
        <v>0</v>
      </c>
      <c r="O13" s="124"/>
      <c r="P13" s="124">
        <f>'SEDUR Med'!E130</f>
        <v>0</v>
      </c>
      <c r="Q13" s="124">
        <f>'SEFAZ Med'!E60</f>
        <v>0</v>
      </c>
      <c r="R13" s="13">
        <f>'SEMGE Med'!E50</f>
        <v>1</v>
      </c>
      <c r="S13" s="124">
        <f>'SEGOV Med'!E211</f>
        <v>4</v>
      </c>
      <c r="T13" s="124">
        <f>' SEINFRA Med'!E111</f>
        <v>21</v>
      </c>
      <c r="U13" s="124">
        <f>'SEMAN Med'!E73</f>
        <v>0</v>
      </c>
      <c r="V13" s="124">
        <f>'SEMDEC Med'!E63</f>
        <v>0</v>
      </c>
      <c r="W13" s="124">
        <f>'SEMOB Med'!E137</f>
        <v>0</v>
      </c>
      <c r="X13" s="124">
        <f>'SEMOP Med'!E108</f>
        <v>10</v>
      </c>
      <c r="Y13" s="124">
        <f>[2]Consolidado!$J$13</f>
        <v>0</v>
      </c>
      <c r="Z13" s="125">
        <f>'SEMUR Med'!E67</f>
        <v>0</v>
      </c>
      <c r="AA13" s="249">
        <f>[3]Consolidado!Y13</f>
        <v>36</v>
      </c>
      <c r="AB13" s="146">
        <f>'SPMJ Med'!E161</f>
        <v>4</v>
      </c>
      <c r="AC13" s="125">
        <f>'TRANSALVADOR Med'!E93</f>
        <v>0</v>
      </c>
      <c r="AD13" s="126">
        <f t="shared" si="1"/>
        <v>486</v>
      </c>
    </row>
    <row r="14" spans="1:30" ht="15" x14ac:dyDescent="0.25">
      <c r="A14" s="117" t="s">
        <v>27</v>
      </c>
      <c r="B14" s="39">
        <v>378</v>
      </c>
      <c r="C14" s="3">
        <v>347</v>
      </c>
      <c r="D14" s="118">
        <f t="shared" si="0"/>
        <v>131166</v>
      </c>
      <c r="E14" s="119">
        <f>'ARSAL Med'!E50</f>
        <v>0</v>
      </c>
      <c r="F14" s="124">
        <f>'CGM Med'!E99</f>
        <v>7</v>
      </c>
      <c r="G14" s="124">
        <f>'FCM Med'!E81</f>
        <v>8</v>
      </c>
      <c r="H14" s="124">
        <f>'FGM Med'!E61</f>
        <v>0</v>
      </c>
      <c r="I14" s="124">
        <f>'FMLF Med'!E80</f>
        <v>0</v>
      </c>
      <c r="J14" s="124"/>
      <c r="K14" s="124">
        <f>'GCM Med'!E68</f>
        <v>6</v>
      </c>
      <c r="L14" s="124">
        <f>'PGMS Med'!E124</f>
        <v>1</v>
      </c>
      <c r="M14" s="124"/>
      <c r="N14" s="124">
        <f>'SECOM Med'!E51</f>
        <v>0</v>
      </c>
      <c r="O14" s="124"/>
      <c r="P14" s="124">
        <f>'SEDUR Med'!E131</f>
        <v>0</v>
      </c>
      <c r="Q14" s="124">
        <f>'SEFAZ Med'!E61</f>
        <v>0</v>
      </c>
      <c r="R14" s="13">
        <f>'SEMGE Med'!E51</f>
        <v>0</v>
      </c>
      <c r="S14" s="124">
        <f>'SEGOV Med'!E212</f>
        <v>7</v>
      </c>
      <c r="T14" s="124">
        <f>' SEINFRA Med'!E112</f>
        <v>6</v>
      </c>
      <c r="U14" s="124">
        <f>'SEMAN Med'!E74</f>
        <v>5</v>
      </c>
      <c r="V14" s="124">
        <f>'SEMDEC Med'!E64</f>
        <v>0</v>
      </c>
      <c r="W14" s="124">
        <f>'SEMOB Med'!E138</f>
        <v>7</v>
      </c>
      <c r="X14" s="124">
        <f>'SEMOP Med'!E109</f>
        <v>25</v>
      </c>
      <c r="Y14" s="124">
        <v>1</v>
      </c>
      <c r="Z14" s="125">
        <f>'SEMUR Med'!E68</f>
        <v>1</v>
      </c>
      <c r="AA14" s="249">
        <f>[3]Consolidado!Y14</f>
        <v>53</v>
      </c>
      <c r="AB14" s="146">
        <f>'SPMJ Med'!E162</f>
        <v>4</v>
      </c>
      <c r="AC14" s="125">
        <f>'TRANSALVADOR Med'!E94</f>
        <v>0</v>
      </c>
      <c r="AD14" s="126">
        <f t="shared" si="1"/>
        <v>247</v>
      </c>
    </row>
    <row r="15" spans="1:30" ht="15" x14ac:dyDescent="0.25">
      <c r="A15" s="117" t="s">
        <v>30</v>
      </c>
      <c r="B15" s="39">
        <v>10</v>
      </c>
      <c r="C15" s="3">
        <v>367</v>
      </c>
      <c r="D15" s="118">
        <f t="shared" si="0"/>
        <v>3670</v>
      </c>
      <c r="E15" s="119">
        <f>'ARSAL Med'!E51</f>
        <v>0</v>
      </c>
      <c r="F15" s="124">
        <f>'CGM Med'!E100</f>
        <v>0</v>
      </c>
      <c r="G15" s="124">
        <f>'FCM Med'!E82</f>
        <v>0</v>
      </c>
      <c r="H15" s="124">
        <f>'FGM Med'!E62</f>
        <v>0</v>
      </c>
      <c r="I15" s="124">
        <f>'FMLF Med'!E81</f>
        <v>0</v>
      </c>
      <c r="J15" s="124"/>
      <c r="K15" s="124">
        <f>'GCM Med'!E69</f>
        <v>0</v>
      </c>
      <c r="L15" s="124">
        <f>'PGMS Med'!E125</f>
        <v>1</v>
      </c>
      <c r="M15" s="124"/>
      <c r="N15" s="124">
        <f>'SECOM Med'!E52</f>
        <v>0</v>
      </c>
      <c r="O15" s="124"/>
      <c r="P15" s="124">
        <f>'SEDUR Med'!E132</f>
        <v>0</v>
      </c>
      <c r="Q15" s="124">
        <f>'SEFAZ Med'!E62</f>
        <v>0</v>
      </c>
      <c r="R15" s="13">
        <f>'SEMGE Med'!E52</f>
        <v>2</v>
      </c>
      <c r="S15" s="124">
        <f>'SEGOV Med'!E213</f>
        <v>0</v>
      </c>
      <c r="T15" s="124">
        <f>' SEINFRA Med'!E113</f>
        <v>0</v>
      </c>
      <c r="U15" s="124">
        <f>'SEMAN Med'!E75</f>
        <v>0</v>
      </c>
      <c r="V15" s="124">
        <f>'SEMDEC Med'!E65</f>
        <v>0</v>
      </c>
      <c r="W15" s="124">
        <f>'SEMOB Med'!E139</f>
        <v>0</v>
      </c>
      <c r="X15" s="124">
        <f>'SEMOP Med'!E110</f>
        <v>0</v>
      </c>
      <c r="Y15" s="124">
        <f>[2]Consolidado!$J$15</f>
        <v>0</v>
      </c>
      <c r="Z15" s="125">
        <f>'SEMUR Med'!E69</f>
        <v>0</v>
      </c>
      <c r="AA15" s="249">
        <f>[3]Consolidado!Y15</f>
        <v>0</v>
      </c>
      <c r="AB15" s="146">
        <f>'SPMJ Med'!E163</f>
        <v>0</v>
      </c>
      <c r="AC15" s="125">
        <f>'TRANSALVADOR Med'!E95</f>
        <v>0</v>
      </c>
      <c r="AD15" s="126">
        <f t="shared" si="1"/>
        <v>7</v>
      </c>
    </row>
    <row r="16" spans="1:30" ht="15" x14ac:dyDescent="0.25">
      <c r="A16" s="117" t="s">
        <v>31</v>
      </c>
      <c r="B16" s="39">
        <v>8</v>
      </c>
      <c r="C16" s="3">
        <v>367</v>
      </c>
      <c r="D16" s="118">
        <f t="shared" si="0"/>
        <v>2936</v>
      </c>
      <c r="E16" s="119">
        <f>'ARSAL Med'!E52</f>
        <v>0</v>
      </c>
      <c r="F16" s="124">
        <f>'CGM Med'!E101</f>
        <v>0</v>
      </c>
      <c r="G16" s="124">
        <f>'FCM Med'!E83</f>
        <v>0</v>
      </c>
      <c r="H16" s="124">
        <f>'FGM Med'!E63</f>
        <v>0</v>
      </c>
      <c r="I16" s="124">
        <f>'FMLF Med'!E82</f>
        <v>0</v>
      </c>
      <c r="J16" s="124"/>
      <c r="K16" s="124">
        <f>'GCM Med'!E70</f>
        <v>0</v>
      </c>
      <c r="L16" s="124">
        <f>'PGMS Med'!E126</f>
        <v>1</v>
      </c>
      <c r="M16" s="124"/>
      <c r="N16" s="124">
        <f>'SECOM Med'!E53</f>
        <v>0</v>
      </c>
      <c r="O16" s="124"/>
      <c r="P16" s="124">
        <f>'SEDUR Med'!E133</f>
        <v>0</v>
      </c>
      <c r="Q16" s="124">
        <f>'SEFAZ Med'!E63</f>
        <v>0</v>
      </c>
      <c r="R16" s="13">
        <f>'SEMGE Med'!E53</f>
        <v>0</v>
      </c>
      <c r="S16" s="124">
        <f>'SEGOV Med'!E214</f>
        <v>0</v>
      </c>
      <c r="T16" s="124">
        <f>' SEINFRA Med'!E114</f>
        <v>0</v>
      </c>
      <c r="U16" s="124">
        <f>'SEMAN Med'!E76</f>
        <v>0</v>
      </c>
      <c r="V16" s="124">
        <f>'SEMDEC Med'!E66</f>
        <v>0</v>
      </c>
      <c r="W16" s="124">
        <f>'SEMOB Med'!E140</f>
        <v>0</v>
      </c>
      <c r="X16" s="124">
        <f>'SEMOP Med'!E111</f>
        <v>0</v>
      </c>
      <c r="Y16" s="124">
        <f>[2]Consolidado!$J$16</f>
        <v>0</v>
      </c>
      <c r="Z16" s="125">
        <f>'SEMUR Med'!E70</f>
        <v>0</v>
      </c>
      <c r="AA16" s="249">
        <f>[3]Consolidado!Y16</f>
        <v>0</v>
      </c>
      <c r="AB16" s="146">
        <f>'SPMJ Med'!E164</f>
        <v>0</v>
      </c>
      <c r="AC16" s="125">
        <f>'TRANSALVADOR Med'!E96</f>
        <v>0</v>
      </c>
      <c r="AD16" s="126">
        <f t="shared" si="1"/>
        <v>7</v>
      </c>
    </row>
    <row r="17" spans="1:31" ht="15" x14ac:dyDescent="0.25">
      <c r="A17" s="117" t="s">
        <v>32</v>
      </c>
      <c r="B17" s="39">
        <v>118</v>
      </c>
      <c r="C17" s="3">
        <v>447</v>
      </c>
      <c r="D17" s="118">
        <f t="shared" si="0"/>
        <v>52746</v>
      </c>
      <c r="E17" s="119">
        <f>'ARSAL Med'!E53</f>
        <v>0</v>
      </c>
      <c r="F17" s="124">
        <f>'CGM Med'!E102</f>
        <v>0</v>
      </c>
      <c r="G17" s="124">
        <f>'FCM Med'!E84</f>
        <v>0</v>
      </c>
      <c r="H17" s="124">
        <f>'FGM Med'!E64</f>
        <v>0</v>
      </c>
      <c r="I17" s="124">
        <f>'FMLF Med'!E83</f>
        <v>0</v>
      </c>
      <c r="J17" s="124"/>
      <c r="K17" s="124">
        <f>'GCM Med'!E71</f>
        <v>0</v>
      </c>
      <c r="L17" s="124">
        <f>'PGMS Med'!E127</f>
        <v>0</v>
      </c>
      <c r="M17" s="124"/>
      <c r="N17" s="124">
        <f>'SECOM Med'!E54</f>
        <v>0</v>
      </c>
      <c r="O17" s="124"/>
      <c r="P17" s="124">
        <f>'SEDUR Med'!E134</f>
        <v>2</v>
      </c>
      <c r="Q17" s="124">
        <f>'SEFAZ Med'!E64</f>
        <v>2</v>
      </c>
      <c r="R17" s="13">
        <f>'SEMGE Med'!E54</f>
        <v>1</v>
      </c>
      <c r="S17" s="124">
        <f>'SEGOV Med'!E215</f>
        <v>11</v>
      </c>
      <c r="T17" s="124">
        <f>' SEINFRA Med'!E115</f>
        <v>0</v>
      </c>
      <c r="U17" s="124">
        <f>'SEMAN Med'!E77</f>
        <v>0</v>
      </c>
      <c r="V17" s="124">
        <f>'SEMDEC Med'!E67</f>
        <v>0</v>
      </c>
      <c r="W17" s="124">
        <f>'SEMOB Med'!E141</f>
        <v>0</v>
      </c>
      <c r="X17" s="124">
        <f>'SEMOP Med'!E112</f>
        <v>2</v>
      </c>
      <c r="Y17" s="124">
        <v>33</v>
      </c>
      <c r="Z17" s="125">
        <f>'SEMUR Med'!E71</f>
        <v>1</v>
      </c>
      <c r="AA17" s="249">
        <f>[3]Consolidado!Y17</f>
        <v>18</v>
      </c>
      <c r="AB17" s="146">
        <f>'SPMJ Med'!E165</f>
        <v>0</v>
      </c>
      <c r="AC17" s="125">
        <f>'TRANSALVADOR Med'!E97</f>
        <v>0</v>
      </c>
      <c r="AD17" s="126">
        <f>B17-SUM(E17:AC17)</f>
        <v>48</v>
      </c>
    </row>
    <row r="18" spans="1:31" ht="15" x14ac:dyDescent="0.25">
      <c r="A18" s="117" t="s">
        <v>33</v>
      </c>
      <c r="B18" s="39">
        <v>84</v>
      </c>
      <c r="C18" s="3">
        <v>497</v>
      </c>
      <c r="D18" s="118">
        <f t="shared" si="0"/>
        <v>41748</v>
      </c>
      <c r="E18" s="119">
        <f>'ARSAL Med'!E54</f>
        <v>0</v>
      </c>
      <c r="F18" s="124">
        <f>'CGM Med'!E103</f>
        <v>0</v>
      </c>
      <c r="G18" s="124">
        <f>'FCM Med'!E85</f>
        <v>0</v>
      </c>
      <c r="H18" s="124">
        <f>'FGM Med'!E65</f>
        <v>0</v>
      </c>
      <c r="I18" s="124">
        <f>'FMLF Med'!E84</f>
        <v>0</v>
      </c>
      <c r="J18" s="124"/>
      <c r="K18" s="124">
        <f>'GCM Med'!E72</f>
        <v>0</v>
      </c>
      <c r="L18" s="124">
        <f>'PGMS Med'!E128</f>
        <v>0</v>
      </c>
      <c r="M18" s="124"/>
      <c r="N18" s="124">
        <f>'SECOM Med'!E55</f>
        <v>4</v>
      </c>
      <c r="O18" s="124"/>
      <c r="P18" s="124">
        <f>'SEDUR Med'!E135</f>
        <v>0</v>
      </c>
      <c r="Q18" s="124">
        <f>'SEFAZ Med'!E65</f>
        <v>0</v>
      </c>
      <c r="R18" s="13">
        <f>'SEMGE Med'!E55</f>
        <v>0</v>
      </c>
      <c r="S18" s="124">
        <f>'SEGOV Med'!E216</f>
        <v>3</v>
      </c>
      <c r="T18" s="124">
        <f>' SEINFRA Med'!E116</f>
        <v>0</v>
      </c>
      <c r="U18" s="124">
        <f>'SEMAN Med'!E78</f>
        <v>0</v>
      </c>
      <c r="V18" s="124">
        <f>'SEMDEC Med'!E68</f>
        <v>3</v>
      </c>
      <c r="W18" s="124">
        <f>'SEMOB Med'!E142</f>
        <v>2</v>
      </c>
      <c r="X18" s="124">
        <f>'SEMOP Med'!E113</f>
        <v>0</v>
      </c>
      <c r="Y18" s="124">
        <f>[2]Consolidado!$J$18</f>
        <v>0</v>
      </c>
      <c r="Z18" s="125">
        <f>'SEMUR Med'!E72</f>
        <v>0</v>
      </c>
      <c r="AA18" s="249">
        <f>[3]Consolidado!Y18</f>
        <v>2</v>
      </c>
      <c r="AB18" s="146">
        <f>'SPMJ Med'!E166</f>
        <v>0</v>
      </c>
      <c r="AC18" s="125">
        <f>'TRANSALVADOR Med'!E98</f>
        <v>0</v>
      </c>
      <c r="AD18" s="126">
        <f t="shared" si="1"/>
        <v>70</v>
      </c>
    </row>
    <row r="19" spans="1:31" ht="15" x14ac:dyDescent="0.25">
      <c r="A19" s="117" t="s">
        <v>34</v>
      </c>
      <c r="B19" s="39">
        <v>222</v>
      </c>
      <c r="C19" s="3">
        <v>597</v>
      </c>
      <c r="D19" s="118">
        <f t="shared" si="0"/>
        <v>132534</v>
      </c>
      <c r="E19" s="119">
        <f>'ARSAL Med'!E55</f>
        <v>0</v>
      </c>
      <c r="F19" s="124">
        <f>'CGM Med'!E104</f>
        <v>9</v>
      </c>
      <c r="G19" s="124">
        <f>'FCM Med'!E86</f>
        <v>1</v>
      </c>
      <c r="H19" s="124">
        <f>'FGM Med'!E66</f>
        <v>4</v>
      </c>
      <c r="I19" s="124">
        <f>'FMLF Med'!E85</f>
        <v>0</v>
      </c>
      <c r="J19" s="124"/>
      <c r="K19" s="124">
        <f>'GCM Med'!E73</f>
        <v>2</v>
      </c>
      <c r="L19" s="124">
        <f>'PGMS Med'!E129</f>
        <v>2</v>
      </c>
      <c r="M19" s="124"/>
      <c r="N19" s="124">
        <f>'SECOM Med'!E56</f>
        <v>0</v>
      </c>
      <c r="O19" s="124"/>
      <c r="P19" s="124">
        <f>'SEDUR Med'!E136</f>
        <v>0</v>
      </c>
      <c r="Q19" s="124">
        <f>'SEFAZ Med'!E66</f>
        <v>1</v>
      </c>
      <c r="R19" s="13">
        <f>'SEMGE Med'!E56</f>
        <v>1</v>
      </c>
      <c r="S19" s="124">
        <f>'SEGOV Med'!E217</f>
        <v>10</v>
      </c>
      <c r="T19" s="124">
        <f>' SEINFRA Med'!E117</f>
        <v>0</v>
      </c>
      <c r="U19" s="124">
        <f>'SEMAN Med'!E79</f>
        <v>1</v>
      </c>
      <c r="V19" s="124">
        <f>'SEMDEC Med'!E69</f>
        <v>0</v>
      </c>
      <c r="W19" s="124">
        <f>'SEMOB Med'!E143</f>
        <v>0</v>
      </c>
      <c r="X19" s="124">
        <f>'SEMOP Med'!E114</f>
        <v>6</v>
      </c>
      <c r="Y19" s="124">
        <f>[2]Consolidado!$J$19</f>
        <v>0</v>
      </c>
      <c r="Z19" s="125">
        <f>'SEMUR Med'!E73</f>
        <v>0</v>
      </c>
      <c r="AA19" s="249">
        <f>[3]Consolidado!Y19</f>
        <v>30</v>
      </c>
      <c r="AB19" s="146">
        <f>'SPMJ Med'!E167</f>
        <v>0</v>
      </c>
      <c r="AC19" s="125">
        <f>'TRANSALVADOR Med'!E99</f>
        <v>0</v>
      </c>
      <c r="AD19" s="126">
        <f t="shared" si="1"/>
        <v>155</v>
      </c>
    </row>
    <row r="20" spans="1:31" ht="15" x14ac:dyDescent="0.25">
      <c r="A20" s="117" t="s">
        <v>35</v>
      </c>
      <c r="B20" s="39">
        <v>2</v>
      </c>
      <c r="C20" s="3">
        <v>395</v>
      </c>
      <c r="D20" s="118">
        <f t="shared" si="0"/>
        <v>790</v>
      </c>
      <c r="E20" s="119">
        <f>'ARSAL Med'!E56</f>
        <v>0</v>
      </c>
      <c r="F20" s="124">
        <f>'CGM Med'!E105</f>
        <v>0</v>
      </c>
      <c r="G20" s="124">
        <f>'FCM Med'!E87</f>
        <v>0</v>
      </c>
      <c r="H20" s="124">
        <f>'FGM Med'!E67</f>
        <v>0</v>
      </c>
      <c r="I20" s="124">
        <f>'FMLF Med'!E86</f>
        <v>0</v>
      </c>
      <c r="J20" s="124"/>
      <c r="K20" s="124">
        <f>'GCM Med'!E74</f>
        <v>0</v>
      </c>
      <c r="L20" s="124">
        <f>'PGMS Med'!E130</f>
        <v>0</v>
      </c>
      <c r="M20" s="124"/>
      <c r="N20" s="124">
        <f>'SECOM Med'!E57</f>
        <v>0</v>
      </c>
      <c r="O20" s="124"/>
      <c r="P20" s="124">
        <f>'SEDUR Med'!E137</f>
        <v>0</v>
      </c>
      <c r="Q20" s="124">
        <f>'SEFAZ Med'!E67</f>
        <v>0</v>
      </c>
      <c r="R20" s="13">
        <f>'SEMGE Med'!E57</f>
        <v>0</v>
      </c>
      <c r="S20" s="124">
        <f>'SEGOV Med'!E218</f>
        <v>0</v>
      </c>
      <c r="T20" s="124">
        <f>' SEINFRA Med'!E118</f>
        <v>0</v>
      </c>
      <c r="U20" s="124" t="str">
        <f>'SEMAN Med'!E80</f>
        <v xml:space="preserve"> </v>
      </c>
      <c r="V20" s="124">
        <f>'SEMDEC Med'!E70</f>
        <v>0</v>
      </c>
      <c r="W20" s="124">
        <f>'SEMOB Med'!E144</f>
        <v>0</v>
      </c>
      <c r="X20" s="124">
        <f>'SEMOP Med'!E115</f>
        <v>0</v>
      </c>
      <c r="Y20" s="124">
        <f>[2]Consolidado!$J$20</f>
        <v>0</v>
      </c>
      <c r="Z20" s="125">
        <f>'SEMUR Med'!E74</f>
        <v>0</v>
      </c>
      <c r="AA20" s="249">
        <f>[3]Consolidado!Y20</f>
        <v>0</v>
      </c>
      <c r="AB20" s="146">
        <f>'SPMJ Med'!E168</f>
        <v>0</v>
      </c>
      <c r="AC20" s="125">
        <f>'TRANSALVADOR Med'!E100</f>
        <v>0</v>
      </c>
      <c r="AD20" s="126">
        <f t="shared" si="1"/>
        <v>2</v>
      </c>
    </row>
    <row r="21" spans="1:31" ht="15" x14ac:dyDescent="0.25">
      <c r="A21" s="117" t="s">
        <v>36</v>
      </c>
      <c r="B21" s="39">
        <v>4</v>
      </c>
      <c r="C21" s="3">
        <v>442.75</v>
      </c>
      <c r="D21" s="118">
        <f t="shared" si="0"/>
        <v>1771</v>
      </c>
      <c r="E21" s="119">
        <f>'ARSAL Med'!E57</f>
        <v>1</v>
      </c>
      <c r="F21" s="124">
        <f>'CGM Med'!E106</f>
        <v>0</v>
      </c>
      <c r="G21" s="124">
        <f>'FCM Med'!E88</f>
        <v>0</v>
      </c>
      <c r="H21" s="124">
        <f>'FGM Med'!E68</f>
        <v>0</v>
      </c>
      <c r="I21" s="124">
        <f>'FMLF Med'!E87</f>
        <v>0</v>
      </c>
      <c r="J21" s="124"/>
      <c r="K21" s="124">
        <f>'GCM Med'!E75</f>
        <v>0</v>
      </c>
      <c r="L21" s="124">
        <f>'PGMS Med'!E131</f>
        <v>0</v>
      </c>
      <c r="M21" s="124"/>
      <c r="N21" s="124">
        <f>'SECOM Med'!E58</f>
        <v>0</v>
      </c>
      <c r="O21" s="124"/>
      <c r="P21" s="124">
        <f>'SEDUR Med'!E138</f>
        <v>1</v>
      </c>
      <c r="Q21" s="124">
        <f>'SEFAZ Med'!E68</f>
        <v>0</v>
      </c>
      <c r="R21" s="13">
        <f>'SEMGE Med'!E58</f>
        <v>0</v>
      </c>
      <c r="S21" s="124">
        <f>'SEGOV Med'!E219</f>
        <v>0</v>
      </c>
      <c r="T21" s="124">
        <f>' SEINFRA Med'!E119</f>
        <v>0</v>
      </c>
      <c r="U21" s="124">
        <f>'SEMAN Med'!E81</f>
        <v>0</v>
      </c>
      <c r="V21" s="124">
        <f>'SEMDEC Med'!E71</f>
        <v>0</v>
      </c>
      <c r="W21" s="124">
        <f>'SEMOB Med'!E145</f>
        <v>0</v>
      </c>
      <c r="X21" s="124">
        <f>'SEMOP Med'!E116</f>
        <v>0</v>
      </c>
      <c r="Y21" s="124">
        <f>[2]Consolidado!$J$21</f>
        <v>0</v>
      </c>
      <c r="Z21" s="125">
        <f>'SEMUR Med'!E75</f>
        <v>0</v>
      </c>
      <c r="AA21" s="249">
        <f>[3]Consolidado!Y21</f>
        <v>0</v>
      </c>
      <c r="AB21" s="146">
        <f>'SPMJ Med'!E169</f>
        <v>0</v>
      </c>
      <c r="AC21" s="125">
        <f>'TRANSALVADOR Med'!E101</f>
        <v>0</v>
      </c>
      <c r="AD21" s="126">
        <f t="shared" si="1"/>
        <v>2</v>
      </c>
    </row>
    <row r="22" spans="1:31" ht="15" x14ac:dyDescent="0.25">
      <c r="A22" s="117" t="s">
        <v>37</v>
      </c>
      <c r="B22" s="39">
        <v>40</v>
      </c>
      <c r="C22" s="3">
        <v>430</v>
      </c>
      <c r="D22" s="118">
        <f t="shared" si="0"/>
        <v>17200</v>
      </c>
      <c r="E22" s="119">
        <f>'ARSAL Med'!E58</f>
        <v>1</v>
      </c>
      <c r="F22" s="124">
        <f>'CGM Med'!E107</f>
        <v>0</v>
      </c>
      <c r="G22" s="124">
        <f>'FCM Med'!E89</f>
        <v>0</v>
      </c>
      <c r="H22" s="124">
        <f>'FGM Med'!E69</f>
        <v>0</v>
      </c>
      <c r="I22" s="124">
        <f>'FMLF Med'!E88</f>
        <v>0</v>
      </c>
      <c r="J22" s="124"/>
      <c r="K22" s="124">
        <f>'GCM Med'!E76</f>
        <v>0</v>
      </c>
      <c r="L22" s="124">
        <f>'PGMS Med'!E132</f>
        <v>0</v>
      </c>
      <c r="M22" s="124"/>
      <c r="N22" s="124">
        <f>'SECOM Med'!E59</f>
        <v>0</v>
      </c>
      <c r="O22" s="124"/>
      <c r="P22" s="124">
        <f>'SEDUR Med'!E139</f>
        <v>13</v>
      </c>
      <c r="Q22" s="124">
        <f>'SEFAZ Med'!E69</f>
        <v>0</v>
      </c>
      <c r="R22" s="13">
        <f>'SEMGE Med'!E59</f>
        <v>0</v>
      </c>
      <c r="S22" s="124">
        <f>'SEGOV Med'!E220</f>
        <v>0</v>
      </c>
      <c r="T22" s="124">
        <f>' SEINFRA Med'!E120</f>
        <v>0</v>
      </c>
      <c r="U22" s="124">
        <f>'SEMAN Med'!E82</f>
        <v>0</v>
      </c>
      <c r="V22" s="124">
        <f>'SEMDEC Med'!E72</f>
        <v>0</v>
      </c>
      <c r="W22" s="124">
        <f>'SEMOB Med'!E146</f>
        <v>0</v>
      </c>
      <c r="X22" s="124">
        <f>'SEMOP Med'!E117</f>
        <v>0</v>
      </c>
      <c r="Y22" s="124">
        <f>[2]Consolidado!$J$22</f>
        <v>0</v>
      </c>
      <c r="Z22" s="125">
        <f>'SEMUR Med'!E76</f>
        <v>0</v>
      </c>
      <c r="AA22" s="249">
        <f>[3]Consolidado!Y22</f>
        <v>0</v>
      </c>
      <c r="AB22" s="146">
        <f>'SPMJ Med'!E170</f>
        <v>0</v>
      </c>
      <c r="AC22" s="125">
        <f>'TRANSALVADOR Med'!E102</f>
        <v>0</v>
      </c>
      <c r="AD22" s="126">
        <f t="shared" si="1"/>
        <v>26</v>
      </c>
    </row>
    <row r="23" spans="1:31" ht="15" x14ac:dyDescent="0.25">
      <c r="A23" s="117" t="s">
        <v>38</v>
      </c>
      <c r="B23" s="39">
        <v>36</v>
      </c>
      <c r="C23" s="3">
        <v>478</v>
      </c>
      <c r="D23" s="118">
        <f t="shared" si="0"/>
        <v>17208</v>
      </c>
      <c r="E23" s="119">
        <f>'ARSAL Med'!E59</f>
        <v>0</v>
      </c>
      <c r="F23" s="124">
        <f>'CGM Med'!E108</f>
        <v>0</v>
      </c>
      <c r="G23" s="124">
        <f>'FCM Med'!E90</f>
        <v>0</v>
      </c>
      <c r="H23" s="124">
        <f>'FGM Med'!E70</f>
        <v>0</v>
      </c>
      <c r="I23" s="124">
        <f>'FMLF Med'!E89</f>
        <v>19</v>
      </c>
      <c r="J23" s="124"/>
      <c r="K23" s="124">
        <f>'GCM Med'!E77</f>
        <v>0</v>
      </c>
      <c r="L23" s="124">
        <f>'PGMS Med'!E133</f>
        <v>0</v>
      </c>
      <c r="M23" s="124"/>
      <c r="N23" s="124">
        <f>'SECOM Med'!E60</f>
        <v>0</v>
      </c>
      <c r="O23" s="124"/>
      <c r="P23" s="124">
        <f>'SEDUR Med'!E140</f>
        <v>9</v>
      </c>
      <c r="Q23" s="124">
        <f>'SEFAZ Med'!E70</f>
        <v>0</v>
      </c>
      <c r="R23" s="13">
        <f>'SEMGE Med'!E60</f>
        <v>0</v>
      </c>
      <c r="S23" s="124">
        <f>'SEGOV Med'!E221</f>
        <v>0</v>
      </c>
      <c r="T23" s="124">
        <f>' SEINFRA Med'!E121</f>
        <v>0</v>
      </c>
      <c r="U23" s="124">
        <f>'SEMAN Med'!E83</f>
        <v>0</v>
      </c>
      <c r="V23" s="124">
        <f>'SEMDEC Med'!E73</f>
        <v>0</v>
      </c>
      <c r="W23" s="124">
        <f>'SEMOB Med'!E147</f>
        <v>0</v>
      </c>
      <c r="X23" s="124">
        <f>'SEMOP Med'!E118</f>
        <v>0</v>
      </c>
      <c r="Y23" s="124">
        <f>[2]Consolidado!$J$23</f>
        <v>0</v>
      </c>
      <c r="Z23" s="125">
        <f>'SEMUR Med'!E77</f>
        <v>0</v>
      </c>
      <c r="AA23" s="249">
        <f>[3]Consolidado!Y23</f>
        <v>0</v>
      </c>
      <c r="AB23" s="146">
        <f>'SPMJ Med'!E171</f>
        <v>0</v>
      </c>
      <c r="AC23" s="125">
        <f>'TRANSALVADOR Med'!E103</f>
        <v>0</v>
      </c>
      <c r="AD23" s="126">
        <f t="shared" si="1"/>
        <v>8</v>
      </c>
    </row>
    <row r="24" spans="1:31" ht="15" x14ac:dyDescent="0.25">
      <c r="A24" s="117" t="s">
        <v>39</v>
      </c>
      <c r="B24" s="39">
        <v>45</v>
      </c>
      <c r="C24" s="3">
        <v>577</v>
      </c>
      <c r="D24" s="118">
        <f t="shared" si="0"/>
        <v>25965</v>
      </c>
      <c r="E24" s="119">
        <f>'ARSAL Med'!E60</f>
        <v>0</v>
      </c>
      <c r="F24" s="124">
        <f>'CGM Med'!E109</f>
        <v>0</v>
      </c>
      <c r="G24" s="124">
        <f>'FCM Med'!E91</f>
        <v>0</v>
      </c>
      <c r="H24" s="124">
        <f>'FGM Med'!E71</f>
        <v>0</v>
      </c>
      <c r="I24" s="124">
        <f>'FMLF Med'!E90</f>
        <v>2</v>
      </c>
      <c r="J24" s="124"/>
      <c r="K24" s="124">
        <f>'GCM Med'!E78</f>
        <v>0</v>
      </c>
      <c r="L24" s="124">
        <f>'PGMS Med'!E134</f>
        <v>0</v>
      </c>
      <c r="M24" s="124"/>
      <c r="N24" s="124">
        <f>'SECOM Med'!E61</f>
        <v>0</v>
      </c>
      <c r="O24" s="124"/>
      <c r="P24" s="124">
        <f>'SEDUR Med'!E141</f>
        <v>4</v>
      </c>
      <c r="Q24" s="124">
        <f>'SEFAZ Med'!E71</f>
        <v>0</v>
      </c>
      <c r="R24" s="13">
        <f>'SEMGE Med'!E61</f>
        <v>0</v>
      </c>
      <c r="S24" s="124">
        <f>'SEGOV Med'!E222</f>
        <v>0</v>
      </c>
      <c r="T24" s="124">
        <f>' SEINFRA Med'!E122</f>
        <v>0</v>
      </c>
      <c r="U24" s="124">
        <f>'SEMAN Med'!E84</f>
        <v>0</v>
      </c>
      <c r="V24" s="124">
        <f>'SEMDEC Med'!E74</f>
        <v>0</v>
      </c>
      <c r="W24" s="124">
        <f>'SEMOB Med'!E148</f>
        <v>0</v>
      </c>
      <c r="X24" s="124">
        <f>'SEMOP Med'!E119</f>
        <v>0</v>
      </c>
      <c r="Y24" s="124">
        <f>[2]Consolidado!$J$24</f>
        <v>0</v>
      </c>
      <c r="Z24" s="125">
        <f>'SEMUR Med'!E78</f>
        <v>0</v>
      </c>
      <c r="AA24" s="249">
        <f>[3]Consolidado!Y24</f>
        <v>0</v>
      </c>
      <c r="AB24" s="146">
        <f>'SPMJ Med'!E172</f>
        <v>0</v>
      </c>
      <c r="AC24" s="125">
        <f>'TRANSALVADOR Med'!E104</f>
        <v>0</v>
      </c>
      <c r="AD24" s="126">
        <f t="shared" si="1"/>
        <v>39</v>
      </c>
    </row>
    <row r="25" spans="1:31" ht="15" x14ac:dyDescent="0.25">
      <c r="A25" s="117" t="s">
        <v>40</v>
      </c>
      <c r="B25" s="39">
        <v>56</v>
      </c>
      <c r="C25" s="3">
        <v>645</v>
      </c>
      <c r="D25" s="118">
        <f t="shared" si="0"/>
        <v>36120</v>
      </c>
      <c r="E25" s="119">
        <f>'ARSAL Med'!E61</f>
        <v>0</v>
      </c>
      <c r="F25" s="124">
        <f>'CGM Med'!E110</f>
        <v>0</v>
      </c>
      <c r="G25" s="124">
        <f>'FCM Med'!E92</f>
        <v>0</v>
      </c>
      <c r="H25" s="124">
        <f>'FGM Med'!E72</f>
        <v>0</v>
      </c>
      <c r="I25" s="124">
        <f>'FMLF Med'!E91</f>
        <v>0</v>
      </c>
      <c r="J25" s="124"/>
      <c r="K25" s="124">
        <f>'GCM Med'!E79</f>
        <v>0</v>
      </c>
      <c r="L25" s="124">
        <f>'PGMS Med'!E135</f>
        <v>0</v>
      </c>
      <c r="M25" s="124"/>
      <c r="N25" s="124">
        <f>'SECOM Med'!E62</f>
        <v>0</v>
      </c>
      <c r="O25" s="124"/>
      <c r="P25" s="124">
        <f>'SEDUR Med'!E142</f>
        <v>6</v>
      </c>
      <c r="Q25" s="124">
        <f>'SEFAZ Med'!E72</f>
        <v>0</v>
      </c>
      <c r="R25" s="13">
        <f>'SEMGE Med'!E62</f>
        <v>0</v>
      </c>
      <c r="S25" s="124">
        <f>'SEGOV Med'!E223</f>
        <v>0</v>
      </c>
      <c r="T25" s="124">
        <f>' SEINFRA Med'!E123</f>
        <v>0</v>
      </c>
      <c r="U25" s="124">
        <f>'SEMAN Med'!E85</f>
        <v>0</v>
      </c>
      <c r="V25" s="124">
        <f>'SEMDEC Med'!E75</f>
        <v>0</v>
      </c>
      <c r="W25" s="124">
        <f>'SEMOB Med'!E149</f>
        <v>0</v>
      </c>
      <c r="X25" s="124">
        <f>'SEMOP Med'!E120</f>
        <v>2</v>
      </c>
      <c r="Y25" s="124">
        <f>[2]Consolidado!$J$25</f>
        <v>0</v>
      </c>
      <c r="Z25" s="125">
        <f>'SEMUR Med'!E79</f>
        <v>0</v>
      </c>
      <c r="AA25" s="249">
        <f>[3]Consolidado!Y25</f>
        <v>0</v>
      </c>
      <c r="AB25" s="146">
        <f>'SPMJ Med'!E173</f>
        <v>0</v>
      </c>
      <c r="AC25" s="125">
        <f>'TRANSALVADOR Med'!E105</f>
        <v>0</v>
      </c>
      <c r="AD25" s="126">
        <f t="shared" si="1"/>
        <v>48</v>
      </c>
    </row>
    <row r="26" spans="1:31" ht="15" x14ac:dyDescent="0.25">
      <c r="A26" s="117" t="s">
        <v>41</v>
      </c>
      <c r="B26" s="39">
        <v>11</v>
      </c>
      <c r="C26" s="3">
        <v>147</v>
      </c>
      <c r="D26" s="118">
        <f t="shared" si="0"/>
        <v>1617</v>
      </c>
      <c r="E26" s="119">
        <f>'ARSAL Med'!E62</f>
        <v>0</v>
      </c>
      <c r="F26" s="124">
        <f>'CGM Med'!E111</f>
        <v>0</v>
      </c>
      <c r="G26" s="124">
        <f>'FCM Med'!E93</f>
        <v>0</v>
      </c>
      <c r="H26" s="124">
        <f>'FGM Med'!E73</f>
        <v>0</v>
      </c>
      <c r="I26" s="124">
        <f>'FMLF Med'!E92</f>
        <v>0</v>
      </c>
      <c r="J26" s="124"/>
      <c r="K26" s="124">
        <f>'GCM Med'!E80</f>
        <v>0</v>
      </c>
      <c r="L26" s="124">
        <f>'PGMS Med'!E136</f>
        <v>0</v>
      </c>
      <c r="M26" s="124"/>
      <c r="N26" s="124">
        <f>'SECOM Med'!E63</f>
        <v>0</v>
      </c>
      <c r="O26" s="124"/>
      <c r="P26" s="124">
        <f>'SEDUR Med'!E143</f>
        <v>0</v>
      </c>
      <c r="Q26" s="124">
        <f>'SEFAZ Med'!E73</f>
        <v>0</v>
      </c>
      <c r="R26" s="13">
        <f>'SEMGE Med'!E63</f>
        <v>0</v>
      </c>
      <c r="S26" s="124">
        <f>'SEGOV Med'!E224</f>
        <v>0</v>
      </c>
      <c r="T26" s="124">
        <f>' SEINFRA Med'!E124</f>
        <v>0</v>
      </c>
      <c r="U26" s="124">
        <f>'SEMAN Med'!E86</f>
        <v>0</v>
      </c>
      <c r="V26" s="124">
        <f>'SEMDEC Med'!E76</f>
        <v>0</v>
      </c>
      <c r="W26" s="124">
        <f>'SEMOB Med'!E150</f>
        <v>0</v>
      </c>
      <c r="X26" s="124">
        <f>'SEMOP Med'!E121</f>
        <v>0</v>
      </c>
      <c r="Y26" s="124">
        <f>[2]Consolidado!$J$26</f>
        <v>0</v>
      </c>
      <c r="Z26" s="125">
        <f>'SEMUR Med'!E80</f>
        <v>0</v>
      </c>
      <c r="AA26" s="249">
        <f>[3]Consolidado!Y26</f>
        <v>0</v>
      </c>
      <c r="AB26" s="146">
        <f>'SPMJ Med'!E174</f>
        <v>0</v>
      </c>
      <c r="AC26" s="125">
        <f>'TRANSALVADOR Med'!E106</f>
        <v>0</v>
      </c>
      <c r="AD26" s="126">
        <f t="shared" si="1"/>
        <v>11</v>
      </c>
    </row>
    <row r="27" spans="1:31" ht="15.75" thickBot="1" x14ac:dyDescent="0.3">
      <c r="A27" s="120" t="s">
        <v>42</v>
      </c>
      <c r="B27" s="121">
        <v>8</v>
      </c>
      <c r="C27" s="122">
        <v>100</v>
      </c>
      <c r="D27" s="123">
        <f t="shared" si="0"/>
        <v>800</v>
      </c>
      <c r="E27" s="119">
        <f>'ARSAL Med'!E63</f>
        <v>0</v>
      </c>
      <c r="F27" s="124">
        <f>'CGM Med'!E112</f>
        <v>0</v>
      </c>
      <c r="G27" s="124">
        <f>'FCM Med'!E94</f>
        <v>0</v>
      </c>
      <c r="H27" s="124">
        <f>'FGM Med'!E74</f>
        <v>0</v>
      </c>
      <c r="I27" s="124">
        <f>'FMLF Med'!E93</f>
        <v>0</v>
      </c>
      <c r="J27" s="127"/>
      <c r="K27" s="124">
        <f>'GCM Med'!E81</f>
        <v>0</v>
      </c>
      <c r="L27" s="124">
        <f>'PGMS Med'!E137</f>
        <v>0</v>
      </c>
      <c r="M27" s="127"/>
      <c r="N27" s="124">
        <f>'SECOM Med'!E64</f>
        <v>0</v>
      </c>
      <c r="O27" s="127"/>
      <c r="P27" s="124">
        <f>'SEDUR Med'!E144</f>
        <v>0</v>
      </c>
      <c r="Q27" s="124">
        <f>'SEFAZ Med'!E74</f>
        <v>0</v>
      </c>
      <c r="R27" s="13">
        <f>'SEMGE Med'!E64</f>
        <v>0</v>
      </c>
      <c r="S27" s="124">
        <f>'SEGOV Med'!E225</f>
        <v>0</v>
      </c>
      <c r="T27" s="124">
        <f>' SEINFRA Med'!E125</f>
        <v>0</v>
      </c>
      <c r="U27" s="124">
        <f>'SEMAN Med'!E87</f>
        <v>0</v>
      </c>
      <c r="V27" s="124">
        <f>'SEMDEC Med'!E77</f>
        <v>0</v>
      </c>
      <c r="W27" s="124">
        <f>'SEMOB Med'!E151</f>
        <v>0</v>
      </c>
      <c r="X27" s="124">
        <f>'SEMOP Med'!E122</f>
        <v>0</v>
      </c>
      <c r="Y27" s="124">
        <f>[2]Consolidado!$J$27</f>
        <v>0</v>
      </c>
      <c r="Z27" s="125">
        <f>'SEMUR Med'!E81</f>
        <v>0</v>
      </c>
      <c r="AA27" s="249">
        <f>[3]Consolidado!Y27</f>
        <v>0</v>
      </c>
      <c r="AB27" s="146">
        <f>'SPMJ Med'!E175</f>
        <v>0</v>
      </c>
      <c r="AC27" s="125">
        <f>'TRANSALVADOR Med'!E107</f>
        <v>0</v>
      </c>
      <c r="AD27" s="126">
        <f t="shared" si="1"/>
        <v>8</v>
      </c>
    </row>
    <row r="28" spans="1:31" ht="13.5" customHeight="1" thickBot="1" x14ac:dyDescent="0.25">
      <c r="A28" s="45" t="s">
        <v>7</v>
      </c>
      <c r="B28" s="46">
        <f>SUM(B5:B27)</f>
        <v>7943</v>
      </c>
      <c r="C28" s="47"/>
      <c r="D28" s="48">
        <f>SUM(D5:D27)</f>
        <v>2058325</v>
      </c>
      <c r="E28" s="5">
        <f>SUM(E5:E27)</f>
        <v>9</v>
      </c>
      <c r="F28" s="5">
        <f t="shared" ref="F28:AC28" si="2">SUM(F5:F27)</f>
        <v>58</v>
      </c>
      <c r="G28" s="5">
        <f t="shared" si="2"/>
        <v>37</v>
      </c>
      <c r="H28" s="5">
        <f t="shared" si="2"/>
        <v>14</v>
      </c>
      <c r="I28" s="5">
        <f t="shared" si="2"/>
        <v>39</v>
      </c>
      <c r="J28" s="5">
        <f t="shared" si="2"/>
        <v>0</v>
      </c>
      <c r="K28" s="5">
        <f t="shared" si="2"/>
        <v>27</v>
      </c>
      <c r="L28" s="5">
        <f t="shared" si="2"/>
        <v>80</v>
      </c>
      <c r="M28" s="5">
        <f t="shared" si="2"/>
        <v>0</v>
      </c>
      <c r="N28" s="5">
        <f t="shared" si="2"/>
        <v>10</v>
      </c>
      <c r="O28" s="5">
        <f t="shared" si="2"/>
        <v>0</v>
      </c>
      <c r="P28" s="5">
        <f t="shared" si="2"/>
        <v>87</v>
      </c>
      <c r="Q28" s="5">
        <f t="shared" si="2"/>
        <v>20</v>
      </c>
      <c r="R28" s="5">
        <f t="shared" si="2"/>
        <v>10</v>
      </c>
      <c r="S28" s="5">
        <f t="shared" si="2"/>
        <v>126</v>
      </c>
      <c r="T28" s="5">
        <f t="shared" si="2"/>
        <v>71</v>
      </c>
      <c r="U28" s="5">
        <f t="shared" si="2"/>
        <v>27</v>
      </c>
      <c r="V28" s="5">
        <f t="shared" si="2"/>
        <v>17</v>
      </c>
      <c r="W28" s="5">
        <f t="shared" si="2"/>
        <v>92</v>
      </c>
      <c r="X28" s="5">
        <f t="shared" si="2"/>
        <v>68</v>
      </c>
      <c r="Y28" s="5">
        <f t="shared" si="2"/>
        <v>205</v>
      </c>
      <c r="Z28" s="5">
        <f t="shared" si="2"/>
        <v>27</v>
      </c>
      <c r="AA28" s="5">
        <f>SUM(AA5:AA27)</f>
        <v>1812</v>
      </c>
      <c r="AB28" s="5">
        <f t="shared" si="2"/>
        <v>85</v>
      </c>
      <c r="AC28" s="49">
        <f t="shared" si="2"/>
        <v>50</v>
      </c>
      <c r="AD28" s="194">
        <f>SUM(AD5:AD27)</f>
        <v>4972</v>
      </c>
    </row>
    <row r="30" spans="1:31" x14ac:dyDescent="0.2">
      <c r="D30" s="128">
        <f>D28*12</f>
        <v>24699900</v>
      </c>
      <c r="AD30" s="193">
        <f>B28-AD28</f>
        <v>2971</v>
      </c>
      <c r="AE30" s="129" t="s">
        <v>209</v>
      </c>
    </row>
    <row r="31" spans="1:31" x14ac:dyDescent="0.2">
      <c r="AD31" s="131"/>
      <c r="AE31" s="130"/>
    </row>
    <row r="32" spans="1:31" x14ac:dyDescent="0.2">
      <c r="AA32" s="43">
        <f>E28+F28+G28+H28+I28+J28+K28+L28+M28+O28+P28+Q28+R28+S28+T28+U28+V28+W28+X28+Z28+AB28+AC28+205+1812</f>
        <v>2961</v>
      </c>
      <c r="AC32" s="110" t="s">
        <v>1045</v>
      </c>
      <c r="AD32" s="337">
        <f>'ARSAL Med'!I27+'CGM Med'!I76+'FCM Med'!I58+'FGM Med'!I38+'FMLF Med'!I57+'GCM Med'!I45+'PGMS Med'!I101+'SECOM Med'!I28+'SECULT Med'!I32+'SEDUR Med'!I108+'SEFAZ Med'!I38+'SEGOV Med'!I189+' SEINFRA Med'!I89+'SEMAN Med'!I51+'SEMDEC Med'!I41+'SEMGE Med'!I28+'SEMOB Med'!I115+'SEMOP Med'!I86+'SEMUR Med'!I45+'SPMJ Med'!I139+'TRANSALVADOR Med'!I71</f>
        <v>258508.66666666663</v>
      </c>
    </row>
  </sheetData>
  <mergeCells count="4">
    <mergeCell ref="A3:D3"/>
    <mergeCell ref="E3:AC3"/>
    <mergeCell ref="AD3:AD4"/>
    <mergeCell ref="A2:AD2"/>
  </mergeCells>
  <pageMargins left="0.25" right="0.27" top="0.78740157499999996" bottom="0.78740157499999996" header="0.31496062000000002" footer="0.31496062000000002"/>
  <pageSetup paperSize="9" scale="74" orientation="landscape" horizontalDpi="300" r:id="rId1"/>
  <colBreaks count="1" manualBreakCount="1">
    <brk id="15" max="27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A1:I31"/>
  <sheetViews>
    <sheetView showGridLines="0" workbookViewId="0">
      <pane ySplit="11" topLeftCell="A18" activePane="bottomLeft" state="frozen"/>
      <selection activeCell="A99" sqref="A99"/>
      <selection pane="bottomLeft" activeCell="F28" sqref="F28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191</v>
      </c>
      <c r="B8" s="297"/>
      <c r="C8" s="297"/>
      <c r="D8" s="297"/>
      <c r="E8" s="297"/>
      <c r="F8" s="298"/>
    </row>
    <row r="9" spans="1:6" ht="13.5" customHeight="1" x14ac:dyDescent="0.25">
      <c r="A9" s="60" t="s">
        <v>183</v>
      </c>
      <c r="B9" s="270" t="s">
        <v>182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s="6" customFormat="1" ht="13.5" customHeight="1" x14ac:dyDescent="0.2">
      <c r="A12" s="299"/>
      <c r="B12" s="300"/>
      <c r="C12" s="187"/>
      <c r="D12" s="192"/>
      <c r="E12" s="84"/>
      <c r="F12" s="109"/>
    </row>
    <row r="13" spans="1:6" s="6" customFormat="1" ht="13.5" customHeight="1" x14ac:dyDescent="0.2">
      <c r="A13" s="299"/>
      <c r="B13" s="300"/>
      <c r="C13" s="187"/>
      <c r="D13" s="192"/>
      <c r="E13" s="84"/>
      <c r="F13" s="109"/>
    </row>
    <row r="14" spans="1:6" s="6" customFormat="1" ht="13.5" customHeight="1" x14ac:dyDescent="0.2">
      <c r="A14" s="299"/>
      <c r="B14" s="300"/>
      <c r="C14" s="187"/>
      <c r="D14" s="192"/>
      <c r="E14" s="84"/>
      <c r="F14" s="109"/>
    </row>
    <row r="15" spans="1:6" s="6" customFormat="1" ht="13.5" customHeight="1" x14ac:dyDescent="0.2">
      <c r="A15" s="299"/>
      <c r="B15" s="300"/>
      <c r="C15" s="187"/>
      <c r="D15" s="192"/>
      <c r="E15" s="84"/>
      <c r="F15" s="109"/>
    </row>
    <row r="16" spans="1:6" s="6" customFormat="1" ht="13.5" customHeight="1" x14ac:dyDescent="0.2">
      <c r="A16" s="299"/>
      <c r="B16" s="300"/>
      <c r="C16" s="187"/>
      <c r="D16" s="192"/>
      <c r="E16" s="84"/>
      <c r="F16" s="109"/>
    </row>
    <row r="17" spans="1:9" s="6" customFormat="1" ht="13.5" customHeight="1" x14ac:dyDescent="0.2">
      <c r="A17" s="299"/>
      <c r="B17" s="300"/>
      <c r="C17" s="187"/>
      <c r="D17" s="192"/>
      <c r="E17" s="84"/>
      <c r="F17" s="109"/>
    </row>
    <row r="18" spans="1:9" s="6" customFormat="1" ht="13.5" customHeight="1" x14ac:dyDescent="0.2">
      <c r="A18" s="299"/>
      <c r="B18" s="300"/>
      <c r="C18" s="188"/>
      <c r="D18" s="192"/>
      <c r="E18" s="84"/>
      <c r="F18" s="109"/>
    </row>
    <row r="19" spans="1:9" s="6" customFormat="1" ht="13.5" customHeight="1" x14ac:dyDescent="0.2">
      <c r="A19" s="299"/>
      <c r="B19" s="300"/>
      <c r="C19" s="188"/>
      <c r="D19" s="192"/>
      <c r="E19" s="84"/>
      <c r="F19" s="109"/>
    </row>
    <row r="20" spans="1:9" s="6" customFormat="1" ht="13.5" customHeight="1" x14ac:dyDescent="0.2">
      <c r="A20" s="299"/>
      <c r="B20" s="300"/>
      <c r="C20" s="188"/>
      <c r="D20" s="192"/>
      <c r="E20" s="84"/>
      <c r="F20" s="109"/>
    </row>
    <row r="21" spans="1:9" s="6" customFormat="1" ht="13.5" customHeight="1" x14ac:dyDescent="0.2">
      <c r="A21" s="299"/>
      <c r="B21" s="300"/>
      <c r="C21" s="188"/>
      <c r="D21" s="192"/>
      <c r="E21" s="84"/>
      <c r="F21" s="109"/>
    </row>
    <row r="22" spans="1:9" s="6" customFormat="1" ht="13.5" customHeight="1" x14ac:dyDescent="0.2">
      <c r="A22" s="299"/>
      <c r="B22" s="300"/>
      <c r="C22" s="188"/>
      <c r="D22" s="192"/>
      <c r="E22" s="84"/>
      <c r="F22" s="109"/>
    </row>
    <row r="23" spans="1:9" ht="13.5" customHeight="1" x14ac:dyDescent="0.2">
      <c r="A23" s="299"/>
      <c r="B23" s="300"/>
      <c r="C23" s="102"/>
      <c r="D23" s="104"/>
      <c r="E23" s="82"/>
      <c r="F23" s="109"/>
    </row>
    <row r="24" spans="1:9" ht="13.5" customHeight="1" x14ac:dyDescent="0.25">
      <c r="A24" s="271" t="s">
        <v>190</v>
      </c>
      <c r="B24" s="273"/>
      <c r="C24" s="58"/>
      <c r="D24" s="57"/>
      <c r="E24" s="57"/>
      <c r="F24" s="73"/>
    </row>
    <row r="25" spans="1:9" ht="13.5" customHeight="1" x14ac:dyDescent="0.25">
      <c r="A25" s="105"/>
      <c r="B25" s="105"/>
      <c r="C25" s="105"/>
      <c r="D25" s="106"/>
      <c r="E25" s="107"/>
      <c r="F25" s="108"/>
    </row>
    <row r="27" spans="1:9" ht="13.5" customHeight="1" x14ac:dyDescent="0.25">
      <c r="A27" s="289" t="s">
        <v>124</v>
      </c>
      <c r="B27" s="289"/>
      <c r="C27" s="289"/>
      <c r="D27" s="289"/>
      <c r="E27" s="289"/>
      <c r="F27" s="289"/>
      <c r="G27" s="74"/>
      <c r="H27" s="74"/>
      <c r="I27" s="74"/>
    </row>
    <row r="29" spans="1:9" ht="13.5" customHeight="1" x14ac:dyDescent="0.2">
      <c r="A29" s="27" t="s">
        <v>125</v>
      </c>
      <c r="B29" s="27"/>
      <c r="F29" s="110"/>
      <c r="G29" s="10"/>
      <c r="I29" s="111"/>
    </row>
    <row r="30" spans="1:9" ht="60" customHeight="1" x14ac:dyDescent="0.25">
      <c r="A30" s="291"/>
      <c r="B30" s="275"/>
      <c r="C30" s="292"/>
      <c r="D30" s="290"/>
      <c r="E30" s="290"/>
      <c r="F30" s="290"/>
    </row>
    <row r="31" spans="1:9" ht="13.5" customHeight="1" x14ac:dyDescent="0.25">
      <c r="A31" s="274" t="s">
        <v>126</v>
      </c>
      <c r="B31" s="274"/>
      <c r="C31" s="274"/>
      <c r="D31" s="75"/>
      <c r="E31" s="75" t="s">
        <v>127</v>
      </c>
      <c r="F31" s="75"/>
      <c r="G31" s="27"/>
      <c r="H31" s="27"/>
      <c r="I31" s="27"/>
    </row>
  </sheetData>
  <mergeCells count="28">
    <mergeCell ref="A7:F7"/>
    <mergeCell ref="A8:F8"/>
    <mergeCell ref="B9:D9"/>
    <mergeCell ref="E9:F9"/>
    <mergeCell ref="A11:B11"/>
    <mergeCell ref="A1:F1"/>
    <mergeCell ref="A3:F3"/>
    <mergeCell ref="A4:C4"/>
    <mergeCell ref="D4:E4"/>
    <mergeCell ref="A5:C5"/>
    <mergeCell ref="D5:E5"/>
    <mergeCell ref="A31:C31"/>
    <mergeCell ref="A23:B23"/>
    <mergeCell ref="A24:B24"/>
    <mergeCell ref="A27:F27"/>
    <mergeCell ref="A30:C30"/>
    <mergeCell ref="D30:F30"/>
    <mergeCell ref="A12:B12"/>
    <mergeCell ref="A13:B13"/>
    <mergeCell ref="A14:B14"/>
    <mergeCell ref="A16:B16"/>
    <mergeCell ref="A17:B17"/>
    <mergeCell ref="A22:B22"/>
    <mergeCell ref="A18:B18"/>
    <mergeCell ref="A15:B15"/>
    <mergeCell ref="A19:B19"/>
    <mergeCell ref="A20:B20"/>
    <mergeCell ref="A21:B2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A1:K99"/>
  <sheetViews>
    <sheetView showGridLines="0" topLeftCell="E1" workbookViewId="0">
      <pane ySplit="13" topLeftCell="A53" activePane="bottomLeft" state="frozen"/>
      <selection activeCell="G9" sqref="G9:I9"/>
      <selection pane="bottomLeft" activeCell="F60" sqref="F60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42578125" style="15" bestFit="1" customWidth="1"/>
    <col min="12" max="12" width="10" style="7" bestFit="1" customWidth="1"/>
    <col min="13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723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137</v>
      </c>
      <c r="B8" s="269"/>
      <c r="C8" s="269"/>
      <c r="D8" s="269"/>
      <c r="E8" s="269"/>
      <c r="F8" s="269"/>
      <c r="G8" s="269"/>
      <c r="H8" s="269"/>
      <c r="I8" s="269"/>
      <c r="J8" s="29"/>
      <c r="K8" s="15"/>
    </row>
    <row r="9" spans="1:11" s="18" customFormat="1" ht="13.5" customHeight="1" x14ac:dyDescent="0.25">
      <c r="A9" s="270" t="s">
        <v>136</v>
      </c>
      <c r="B9" s="270"/>
      <c r="C9" s="271" t="s">
        <v>138</v>
      </c>
      <c r="D9" s="272"/>
      <c r="E9" s="272"/>
      <c r="F9" s="273"/>
      <c r="G9" s="271" t="s">
        <v>871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22</v>
      </c>
      <c r="B15" s="76">
        <v>45530</v>
      </c>
      <c r="C15" s="55">
        <v>14382</v>
      </c>
      <c r="D15" s="20">
        <v>45658</v>
      </c>
      <c r="E15" s="20">
        <v>45687</v>
      </c>
      <c r="F15" s="11">
        <f>(E15-D15)+1</f>
        <v>30</v>
      </c>
      <c r="G15" s="12">
        <v>147</v>
      </c>
      <c r="H15" s="13">
        <v>1</v>
      </c>
      <c r="I15" s="19">
        <f>G15/30*H15*F15</f>
        <v>147</v>
      </c>
      <c r="J15" s="32" t="s">
        <v>133</v>
      </c>
      <c r="K15" s="13">
        <v>67098</v>
      </c>
    </row>
    <row r="16" spans="1:11" ht="13.5" customHeight="1" x14ac:dyDescent="0.2">
      <c r="A16" s="2" t="s">
        <v>22</v>
      </c>
      <c r="B16" s="76">
        <v>45512</v>
      </c>
      <c r="C16" s="163" t="s">
        <v>612</v>
      </c>
      <c r="D16" s="20">
        <v>45658</v>
      </c>
      <c r="E16" s="20">
        <v>45687</v>
      </c>
      <c r="F16" s="11">
        <f>(E16-D16)+1</f>
        <v>30</v>
      </c>
      <c r="G16" s="12">
        <v>147</v>
      </c>
      <c r="H16" s="13">
        <v>1</v>
      </c>
      <c r="I16" s="19">
        <f>G16/30*H16*F16</f>
        <v>147</v>
      </c>
      <c r="J16" s="32" t="s">
        <v>265</v>
      </c>
      <c r="K16" s="13" t="s">
        <v>629</v>
      </c>
    </row>
    <row r="17" spans="1:11" ht="13.5" customHeight="1" x14ac:dyDescent="0.2">
      <c r="A17" s="2" t="s">
        <v>22</v>
      </c>
      <c r="B17" s="76">
        <v>45512</v>
      </c>
      <c r="C17" s="163" t="s">
        <v>613</v>
      </c>
      <c r="D17" s="20">
        <v>45658</v>
      </c>
      <c r="E17" s="20">
        <v>45687</v>
      </c>
      <c r="F17" s="11">
        <f>(E17-D17)+1</f>
        <v>30</v>
      </c>
      <c r="G17" s="12">
        <v>147</v>
      </c>
      <c r="H17" s="13">
        <v>1</v>
      </c>
      <c r="I17" s="19">
        <f>G17/30*H17*F17</f>
        <v>147</v>
      </c>
      <c r="J17" s="32" t="s">
        <v>614</v>
      </c>
      <c r="K17" s="13" t="s">
        <v>629</v>
      </c>
    </row>
    <row r="18" spans="1:11" ht="13.5" customHeight="1" x14ac:dyDescent="0.2">
      <c r="A18" s="2" t="s">
        <v>22</v>
      </c>
      <c r="B18" s="76">
        <v>45512</v>
      </c>
      <c r="C18" s="163" t="s">
        <v>615</v>
      </c>
      <c r="D18" s="20">
        <v>45658</v>
      </c>
      <c r="E18" s="20">
        <v>45687</v>
      </c>
      <c r="F18" s="11">
        <f>(E18-D18)+1</f>
        <v>30</v>
      </c>
      <c r="G18" s="12">
        <v>147</v>
      </c>
      <c r="H18" s="13">
        <v>1</v>
      </c>
      <c r="I18" s="19">
        <f>G18/30*H18*F18</f>
        <v>147</v>
      </c>
      <c r="J18" s="32" t="s">
        <v>616</v>
      </c>
      <c r="K18" s="13" t="s">
        <v>629</v>
      </c>
    </row>
    <row r="19" spans="1:11" ht="13.5" customHeight="1" x14ac:dyDescent="0.2">
      <c r="A19" s="2" t="s">
        <v>23</v>
      </c>
      <c r="B19" s="76">
        <v>45595</v>
      </c>
      <c r="C19" s="219" t="s">
        <v>761</v>
      </c>
      <c r="D19" s="20">
        <v>45658</v>
      </c>
      <c r="E19" s="20">
        <v>45687</v>
      </c>
      <c r="F19" s="11">
        <f>(E19-D19)+1</f>
        <v>30</v>
      </c>
      <c r="G19" s="12">
        <v>235</v>
      </c>
      <c r="H19" s="13">
        <v>1</v>
      </c>
      <c r="I19" s="19">
        <f>G19/30*H19*F19</f>
        <v>235</v>
      </c>
      <c r="J19" s="32" t="s">
        <v>759</v>
      </c>
      <c r="K19" s="13">
        <v>70706</v>
      </c>
    </row>
    <row r="20" spans="1:11" ht="13.5" customHeight="1" x14ac:dyDescent="0.2">
      <c r="A20" s="2" t="s">
        <v>23</v>
      </c>
      <c r="B20" s="76">
        <v>45517</v>
      </c>
      <c r="C20" s="55">
        <v>14135</v>
      </c>
      <c r="D20" s="20">
        <v>45658</v>
      </c>
      <c r="E20" s="20">
        <v>45687</v>
      </c>
      <c r="F20" s="11">
        <f t="shared" ref="F20:F46" si="0">(E20-D20)+1</f>
        <v>30</v>
      </c>
      <c r="G20" s="3">
        <v>235</v>
      </c>
      <c r="H20" s="13">
        <v>1</v>
      </c>
      <c r="I20" s="19">
        <f t="shared" ref="I20:I46" si="1">G20/30*H20*F20</f>
        <v>235</v>
      </c>
      <c r="J20" s="32" t="s">
        <v>139</v>
      </c>
      <c r="K20" s="13">
        <v>66391</v>
      </c>
    </row>
    <row r="21" spans="1:11" ht="13.5" customHeight="1" x14ac:dyDescent="0.2">
      <c r="A21" s="2" t="s">
        <v>23</v>
      </c>
      <c r="B21" s="76">
        <v>45530</v>
      </c>
      <c r="C21" s="55">
        <v>14700</v>
      </c>
      <c r="D21" s="20">
        <v>45658</v>
      </c>
      <c r="E21" s="20">
        <v>45687</v>
      </c>
      <c r="F21" s="11">
        <f t="shared" si="0"/>
        <v>30</v>
      </c>
      <c r="G21" s="3">
        <v>235</v>
      </c>
      <c r="H21" s="13">
        <v>1</v>
      </c>
      <c r="I21" s="19">
        <f t="shared" si="1"/>
        <v>235</v>
      </c>
      <c r="J21" s="32" t="s">
        <v>140</v>
      </c>
      <c r="K21" s="13">
        <v>67098</v>
      </c>
    </row>
    <row r="22" spans="1:11" ht="13.5" customHeight="1" x14ac:dyDescent="0.2">
      <c r="A22" s="2" t="s">
        <v>23</v>
      </c>
      <c r="B22" s="76">
        <v>45530</v>
      </c>
      <c r="C22" s="55">
        <v>14695</v>
      </c>
      <c r="D22" s="20">
        <v>45658</v>
      </c>
      <c r="E22" s="20">
        <v>45687</v>
      </c>
      <c r="F22" s="11">
        <f t="shared" si="0"/>
        <v>30</v>
      </c>
      <c r="G22" s="3">
        <v>235</v>
      </c>
      <c r="H22" s="13">
        <v>1</v>
      </c>
      <c r="I22" s="19">
        <f t="shared" si="1"/>
        <v>235</v>
      </c>
      <c r="J22" s="32" t="s">
        <v>140</v>
      </c>
      <c r="K22" s="13">
        <v>67098</v>
      </c>
    </row>
    <row r="23" spans="1:11" ht="13.5" customHeight="1" x14ac:dyDescent="0.2">
      <c r="A23" s="2" t="s">
        <v>23</v>
      </c>
      <c r="B23" s="76">
        <v>45531</v>
      </c>
      <c r="C23" s="55">
        <v>14586</v>
      </c>
      <c r="D23" s="20">
        <v>45658</v>
      </c>
      <c r="E23" s="20">
        <v>45687</v>
      </c>
      <c r="F23" s="11">
        <f t="shared" si="0"/>
        <v>30</v>
      </c>
      <c r="G23" s="3">
        <v>235</v>
      </c>
      <c r="H23" s="13">
        <v>1</v>
      </c>
      <c r="I23" s="19">
        <f t="shared" si="1"/>
        <v>235</v>
      </c>
      <c r="J23" s="32" t="s">
        <v>141</v>
      </c>
      <c r="K23" s="13">
        <v>67161</v>
      </c>
    </row>
    <row r="24" spans="1:11" ht="13.5" customHeight="1" x14ac:dyDescent="0.2">
      <c r="A24" s="2" t="s">
        <v>23</v>
      </c>
      <c r="B24" s="76">
        <v>45531</v>
      </c>
      <c r="C24" s="55">
        <v>14614</v>
      </c>
      <c r="D24" s="20">
        <v>45658</v>
      </c>
      <c r="E24" s="20">
        <v>45687</v>
      </c>
      <c r="F24" s="11">
        <f t="shared" si="0"/>
        <v>30</v>
      </c>
      <c r="G24" s="3">
        <v>235</v>
      </c>
      <c r="H24" s="13">
        <v>1</v>
      </c>
      <c r="I24" s="19">
        <f t="shared" si="1"/>
        <v>235</v>
      </c>
      <c r="J24" s="32" t="s">
        <v>294</v>
      </c>
      <c r="K24" s="13">
        <v>67161</v>
      </c>
    </row>
    <row r="25" spans="1:11" ht="13.5" customHeight="1" x14ac:dyDescent="0.2">
      <c r="A25" s="2" t="s">
        <v>23</v>
      </c>
      <c r="B25" s="76">
        <v>45531</v>
      </c>
      <c r="C25" s="55">
        <v>14630</v>
      </c>
      <c r="D25" s="20">
        <v>45658</v>
      </c>
      <c r="E25" s="20">
        <v>45687</v>
      </c>
      <c r="F25" s="11">
        <f t="shared" si="0"/>
        <v>30</v>
      </c>
      <c r="G25" s="3">
        <v>235</v>
      </c>
      <c r="H25" s="13">
        <v>1</v>
      </c>
      <c r="I25" s="19">
        <f t="shared" si="1"/>
        <v>235</v>
      </c>
      <c r="J25" s="32" t="s">
        <v>142</v>
      </c>
      <c r="K25" s="13">
        <v>67161</v>
      </c>
    </row>
    <row r="26" spans="1:11" ht="13.5" customHeight="1" x14ac:dyDescent="0.2">
      <c r="A26" s="2" t="s">
        <v>23</v>
      </c>
      <c r="B26" s="76">
        <v>45531</v>
      </c>
      <c r="C26" s="55">
        <v>14631</v>
      </c>
      <c r="D26" s="20">
        <v>45658</v>
      </c>
      <c r="E26" s="20">
        <v>45687</v>
      </c>
      <c r="F26" s="11">
        <f t="shared" si="0"/>
        <v>30</v>
      </c>
      <c r="G26" s="3">
        <v>235</v>
      </c>
      <c r="H26" s="13">
        <v>1</v>
      </c>
      <c r="I26" s="19">
        <f t="shared" si="1"/>
        <v>235</v>
      </c>
      <c r="J26" s="32" t="s">
        <v>143</v>
      </c>
      <c r="K26" s="13">
        <v>67161</v>
      </c>
    </row>
    <row r="27" spans="1:11" ht="13.5" customHeight="1" x14ac:dyDescent="0.2">
      <c r="A27" s="2" t="s">
        <v>23</v>
      </c>
      <c r="B27" s="76">
        <v>45551</v>
      </c>
      <c r="C27" s="55">
        <v>14610</v>
      </c>
      <c r="D27" s="20">
        <v>45658</v>
      </c>
      <c r="E27" s="20">
        <v>45687</v>
      </c>
      <c r="F27" s="11">
        <f t="shared" si="0"/>
        <v>30</v>
      </c>
      <c r="G27" s="3">
        <v>235</v>
      </c>
      <c r="H27" s="13">
        <v>1</v>
      </c>
      <c r="I27" s="19">
        <f t="shared" si="1"/>
        <v>235</v>
      </c>
      <c r="J27" s="32" t="s">
        <v>295</v>
      </c>
      <c r="K27" s="13">
        <v>68236</v>
      </c>
    </row>
    <row r="28" spans="1:11" ht="13.5" customHeight="1" x14ac:dyDescent="0.2">
      <c r="A28" s="2" t="s">
        <v>23</v>
      </c>
      <c r="B28" s="76">
        <v>45554</v>
      </c>
      <c r="C28" s="55">
        <v>14621</v>
      </c>
      <c r="D28" s="20">
        <v>45658</v>
      </c>
      <c r="E28" s="20">
        <v>45687</v>
      </c>
      <c r="F28" s="11">
        <f t="shared" si="0"/>
        <v>30</v>
      </c>
      <c r="G28" s="3">
        <v>235</v>
      </c>
      <c r="H28" s="13">
        <v>1</v>
      </c>
      <c r="I28" s="19">
        <f t="shared" si="1"/>
        <v>235</v>
      </c>
      <c r="J28" s="32" t="s">
        <v>316</v>
      </c>
      <c r="K28" s="13">
        <v>68587</v>
      </c>
    </row>
    <row r="29" spans="1:11" ht="13.5" customHeight="1" x14ac:dyDescent="0.2">
      <c r="A29" s="2" t="s">
        <v>23</v>
      </c>
      <c r="B29" s="76">
        <v>45512</v>
      </c>
      <c r="C29" s="163" t="s">
        <v>617</v>
      </c>
      <c r="D29" s="20">
        <v>45658</v>
      </c>
      <c r="E29" s="20">
        <v>45687</v>
      </c>
      <c r="F29" s="11">
        <f>(E29-D29)+1</f>
        <v>30</v>
      </c>
      <c r="G29" s="3">
        <v>235</v>
      </c>
      <c r="H29" s="13">
        <v>1</v>
      </c>
      <c r="I29" s="19">
        <f>G29/30*H29*F29</f>
        <v>235</v>
      </c>
      <c r="J29" s="32" t="s">
        <v>618</v>
      </c>
      <c r="K29" s="13" t="s">
        <v>629</v>
      </c>
    </row>
    <row r="30" spans="1:11" ht="13.5" customHeight="1" x14ac:dyDescent="0.2">
      <c r="A30" s="2" t="s">
        <v>23</v>
      </c>
      <c r="B30" s="76">
        <v>45512</v>
      </c>
      <c r="C30" s="163" t="s">
        <v>619</v>
      </c>
      <c r="D30" s="20">
        <v>45658</v>
      </c>
      <c r="E30" s="20">
        <v>45687</v>
      </c>
      <c r="F30" s="11">
        <f>(E30-D30)+1</f>
        <v>30</v>
      </c>
      <c r="G30" s="3">
        <v>235</v>
      </c>
      <c r="H30" s="13">
        <v>1</v>
      </c>
      <c r="I30" s="19">
        <f>G30/30*H30*F30</f>
        <v>235</v>
      </c>
      <c r="J30" s="32" t="s">
        <v>620</v>
      </c>
      <c r="K30" s="13" t="s">
        <v>629</v>
      </c>
    </row>
    <row r="31" spans="1:11" ht="13.5" customHeight="1" x14ac:dyDescent="0.2">
      <c r="A31" s="2" t="s">
        <v>23</v>
      </c>
      <c r="B31" s="76">
        <v>45614</v>
      </c>
      <c r="C31" s="163" t="s">
        <v>851</v>
      </c>
      <c r="D31" s="20">
        <v>45658</v>
      </c>
      <c r="E31" s="20">
        <v>45687</v>
      </c>
      <c r="F31" s="11">
        <f>(E31-D31)+1</f>
        <v>30</v>
      </c>
      <c r="G31" s="3">
        <v>235</v>
      </c>
      <c r="H31" s="13">
        <v>1</v>
      </c>
      <c r="I31" s="19">
        <f>G31/30*H31*F31</f>
        <v>235</v>
      </c>
      <c r="J31" s="32" t="s">
        <v>872</v>
      </c>
      <c r="K31" s="13">
        <v>71532</v>
      </c>
    </row>
    <row r="32" spans="1:11" ht="13.5" customHeight="1" x14ac:dyDescent="0.2">
      <c r="A32" s="2" t="s">
        <v>24</v>
      </c>
      <c r="B32" s="76">
        <v>45544</v>
      </c>
      <c r="C32" s="55">
        <v>15159</v>
      </c>
      <c r="D32" s="20">
        <v>45658</v>
      </c>
      <c r="E32" s="20">
        <v>45687</v>
      </c>
      <c r="F32" s="11">
        <f t="shared" si="0"/>
        <v>30</v>
      </c>
      <c r="G32" s="3">
        <v>238</v>
      </c>
      <c r="H32" s="13">
        <v>1</v>
      </c>
      <c r="I32" s="19">
        <f t="shared" si="1"/>
        <v>238</v>
      </c>
      <c r="J32" s="32" t="s">
        <v>277</v>
      </c>
      <c r="K32" s="13">
        <v>67778</v>
      </c>
    </row>
    <row r="33" spans="1:11" ht="13.5" customHeight="1" x14ac:dyDescent="0.2">
      <c r="A33" s="2" t="s">
        <v>24</v>
      </c>
      <c r="B33" s="76">
        <v>45558</v>
      </c>
      <c r="C33" s="55">
        <v>11524</v>
      </c>
      <c r="D33" s="20">
        <v>45658</v>
      </c>
      <c r="E33" s="20">
        <v>45687</v>
      </c>
      <c r="F33" s="11">
        <f t="shared" si="0"/>
        <v>30</v>
      </c>
      <c r="G33" s="3">
        <v>238</v>
      </c>
      <c r="H33" s="13">
        <v>1</v>
      </c>
      <c r="I33" s="19">
        <f t="shared" si="1"/>
        <v>238</v>
      </c>
      <c r="J33" s="32" t="s">
        <v>317</v>
      </c>
      <c r="K33" s="13">
        <v>68895</v>
      </c>
    </row>
    <row r="34" spans="1:11" ht="13.5" customHeight="1" x14ac:dyDescent="0.2">
      <c r="A34" s="2" t="s">
        <v>24</v>
      </c>
      <c r="B34" s="76">
        <v>45512</v>
      </c>
      <c r="C34" s="163" t="s">
        <v>621</v>
      </c>
      <c r="D34" s="20">
        <v>45658</v>
      </c>
      <c r="E34" s="20">
        <v>45687</v>
      </c>
      <c r="F34" s="11">
        <f t="shared" si="0"/>
        <v>30</v>
      </c>
      <c r="G34" s="3">
        <v>238</v>
      </c>
      <c r="H34" s="13">
        <v>1</v>
      </c>
      <c r="I34" s="19">
        <f t="shared" si="1"/>
        <v>238</v>
      </c>
      <c r="J34" s="32" t="s">
        <v>622</v>
      </c>
      <c r="K34" s="13" t="s">
        <v>629</v>
      </c>
    </row>
    <row r="35" spans="1:11" ht="13.5" customHeight="1" x14ac:dyDescent="0.2">
      <c r="A35" s="2" t="s">
        <v>24</v>
      </c>
      <c r="B35" s="76">
        <v>45512</v>
      </c>
      <c r="C35" s="163" t="s">
        <v>623</v>
      </c>
      <c r="D35" s="20">
        <v>45658</v>
      </c>
      <c r="E35" s="20">
        <v>45687</v>
      </c>
      <c r="F35" s="11">
        <f t="shared" si="0"/>
        <v>30</v>
      </c>
      <c r="G35" s="3">
        <v>238</v>
      </c>
      <c r="H35" s="13">
        <v>1</v>
      </c>
      <c r="I35" s="19">
        <f t="shared" si="1"/>
        <v>238</v>
      </c>
      <c r="J35" s="32" t="s">
        <v>274</v>
      </c>
      <c r="K35" s="13" t="s">
        <v>629</v>
      </c>
    </row>
    <row r="36" spans="1:11" ht="13.5" customHeight="1" x14ac:dyDescent="0.2">
      <c r="A36" s="2" t="s">
        <v>24</v>
      </c>
      <c r="B36" s="76">
        <v>45512</v>
      </c>
      <c r="C36" s="163" t="s">
        <v>624</v>
      </c>
      <c r="D36" s="20">
        <v>45658</v>
      </c>
      <c r="E36" s="20">
        <v>45687</v>
      </c>
      <c r="F36" s="11">
        <f t="shared" si="0"/>
        <v>30</v>
      </c>
      <c r="G36" s="3">
        <v>238</v>
      </c>
      <c r="H36" s="13">
        <v>1</v>
      </c>
      <c r="I36" s="19">
        <f t="shared" si="1"/>
        <v>238</v>
      </c>
      <c r="J36" s="32" t="s">
        <v>475</v>
      </c>
      <c r="K36" s="13" t="s">
        <v>629</v>
      </c>
    </row>
    <row r="37" spans="1:11" ht="13.5" customHeight="1" x14ac:dyDescent="0.2">
      <c r="A37" s="2" t="s">
        <v>24</v>
      </c>
      <c r="B37" s="76">
        <v>45574</v>
      </c>
      <c r="C37" s="219">
        <v>16022</v>
      </c>
      <c r="D37" s="20">
        <v>45658</v>
      </c>
      <c r="E37" s="20">
        <v>45687</v>
      </c>
      <c r="F37" s="11">
        <f>(E37-D37)+1</f>
        <v>30</v>
      </c>
      <c r="G37" s="3">
        <v>238</v>
      </c>
      <c r="H37" s="13">
        <v>1</v>
      </c>
      <c r="I37" s="19">
        <f t="shared" si="1"/>
        <v>238</v>
      </c>
      <c r="J37" s="32" t="s">
        <v>634</v>
      </c>
      <c r="K37" s="13" t="s">
        <v>633</v>
      </c>
    </row>
    <row r="38" spans="1:11" ht="13.5" customHeight="1" x14ac:dyDescent="0.2">
      <c r="A38" s="2" t="s">
        <v>24</v>
      </c>
      <c r="B38" s="76">
        <v>45574</v>
      </c>
      <c r="C38" s="219">
        <v>16023</v>
      </c>
      <c r="D38" s="20">
        <v>45658</v>
      </c>
      <c r="E38" s="20">
        <v>45687</v>
      </c>
      <c r="F38" s="11">
        <f>(E38-D38)+1</f>
        <v>30</v>
      </c>
      <c r="G38" s="3">
        <v>238</v>
      </c>
      <c r="H38" s="13">
        <v>1</v>
      </c>
      <c r="I38" s="19">
        <f t="shared" si="1"/>
        <v>238</v>
      </c>
      <c r="J38" s="32" t="s">
        <v>634</v>
      </c>
      <c r="K38" s="13" t="s">
        <v>704</v>
      </c>
    </row>
    <row r="39" spans="1:11" ht="13.5" customHeight="1" x14ac:dyDescent="0.2">
      <c r="A39" s="2" t="s">
        <v>24</v>
      </c>
      <c r="B39" s="76">
        <v>45595</v>
      </c>
      <c r="C39" s="219">
        <v>16497</v>
      </c>
      <c r="D39" s="20">
        <v>45658</v>
      </c>
      <c r="E39" s="20">
        <v>45687</v>
      </c>
      <c r="F39" s="11">
        <f>(E39-D39)+1</f>
        <v>30</v>
      </c>
      <c r="G39" s="3">
        <v>238</v>
      </c>
      <c r="H39" s="13">
        <v>1</v>
      </c>
      <c r="I39" s="19">
        <f t="shared" si="1"/>
        <v>238</v>
      </c>
      <c r="J39" s="32" t="s">
        <v>760</v>
      </c>
      <c r="K39" s="13">
        <v>70710</v>
      </c>
    </row>
    <row r="40" spans="1:11" ht="13.5" customHeight="1" x14ac:dyDescent="0.2">
      <c r="A40" s="2" t="s">
        <v>24</v>
      </c>
      <c r="B40" s="76">
        <v>45609</v>
      </c>
      <c r="C40" s="219">
        <v>16656</v>
      </c>
      <c r="D40" s="20">
        <v>45658</v>
      </c>
      <c r="E40" s="20">
        <v>45687</v>
      </c>
      <c r="F40" s="11">
        <f>(E40-D40)+1</f>
        <v>30</v>
      </c>
      <c r="G40" s="3">
        <v>238</v>
      </c>
      <c r="H40" s="13">
        <v>1</v>
      </c>
      <c r="I40" s="19">
        <f t="shared" si="1"/>
        <v>238</v>
      </c>
      <c r="J40" s="32" t="s">
        <v>143</v>
      </c>
      <c r="K40" s="13">
        <v>71517</v>
      </c>
    </row>
    <row r="41" spans="1:11" ht="13.5" customHeight="1" x14ac:dyDescent="0.2">
      <c r="A41" s="2" t="s">
        <v>24</v>
      </c>
      <c r="B41" s="76">
        <v>45610</v>
      </c>
      <c r="C41" s="163" t="s">
        <v>850</v>
      </c>
      <c r="D41" s="20">
        <v>45658</v>
      </c>
      <c r="E41" s="20">
        <v>45687</v>
      </c>
      <c r="F41" s="11">
        <f>(E41-D41)+1</f>
        <v>30</v>
      </c>
      <c r="G41" s="3">
        <v>238</v>
      </c>
      <c r="H41" s="13">
        <v>1</v>
      </c>
      <c r="I41" s="19">
        <f t="shared" si="1"/>
        <v>238</v>
      </c>
      <c r="J41" s="32" t="s">
        <v>873</v>
      </c>
      <c r="K41" s="13">
        <v>71535</v>
      </c>
    </row>
    <row r="42" spans="1:11" ht="13.5" customHeight="1" x14ac:dyDescent="0.2">
      <c r="A42" s="2" t="s">
        <v>27</v>
      </c>
      <c r="B42" s="76">
        <v>45595</v>
      </c>
      <c r="C42" s="219">
        <v>15988</v>
      </c>
      <c r="D42" s="20">
        <v>45658</v>
      </c>
      <c r="E42" s="20">
        <v>45687</v>
      </c>
      <c r="F42" s="11">
        <f t="shared" ref="F42:F43" si="2">(E42-D42)+1</f>
        <v>30</v>
      </c>
      <c r="G42" s="3">
        <v>347</v>
      </c>
      <c r="H42" s="13">
        <v>1</v>
      </c>
      <c r="I42" s="19">
        <f t="shared" si="1"/>
        <v>347</v>
      </c>
      <c r="J42" s="32" t="s">
        <v>758</v>
      </c>
      <c r="K42" s="13">
        <v>70703</v>
      </c>
    </row>
    <row r="43" spans="1:11" ht="13.5" customHeight="1" x14ac:dyDescent="0.2">
      <c r="A43" s="2" t="s">
        <v>27</v>
      </c>
      <c r="B43" s="76">
        <v>45595</v>
      </c>
      <c r="C43" s="219">
        <v>15986</v>
      </c>
      <c r="D43" s="20">
        <v>45658</v>
      </c>
      <c r="E43" s="20">
        <v>45687</v>
      </c>
      <c r="F43" s="11">
        <f t="shared" si="2"/>
        <v>30</v>
      </c>
      <c r="G43" s="3">
        <v>347</v>
      </c>
      <c r="H43" s="13">
        <v>1</v>
      </c>
      <c r="I43" s="19">
        <f t="shared" si="1"/>
        <v>347</v>
      </c>
      <c r="J43" s="32" t="s">
        <v>626</v>
      </c>
      <c r="K43" s="13">
        <v>70707</v>
      </c>
    </row>
    <row r="44" spans="1:11" ht="13.5" customHeight="1" x14ac:dyDescent="0.2">
      <c r="A44" s="2" t="s">
        <v>27</v>
      </c>
      <c r="B44" s="76">
        <v>45512</v>
      </c>
      <c r="C44" s="163">
        <v>3069</v>
      </c>
      <c r="D44" s="20">
        <v>45658</v>
      </c>
      <c r="E44" s="20">
        <v>45687</v>
      </c>
      <c r="F44" s="11">
        <f t="shared" si="0"/>
        <v>30</v>
      </c>
      <c r="G44" s="3">
        <v>347</v>
      </c>
      <c r="H44" s="13">
        <v>1</v>
      </c>
      <c r="I44" s="19">
        <f t="shared" si="1"/>
        <v>347</v>
      </c>
      <c r="J44" s="32" t="s">
        <v>622</v>
      </c>
      <c r="K44" s="13" t="s">
        <v>629</v>
      </c>
    </row>
    <row r="45" spans="1:11" ht="13.5" customHeight="1" x14ac:dyDescent="0.2">
      <c r="A45" s="2" t="s">
        <v>27</v>
      </c>
      <c r="B45" s="76">
        <v>45512</v>
      </c>
      <c r="C45" s="163">
        <v>2357</v>
      </c>
      <c r="D45" s="20">
        <v>45658</v>
      </c>
      <c r="E45" s="20">
        <v>45687</v>
      </c>
      <c r="F45" s="11">
        <f t="shared" si="0"/>
        <v>30</v>
      </c>
      <c r="G45" s="3">
        <v>347</v>
      </c>
      <c r="H45" s="13">
        <v>1</v>
      </c>
      <c r="I45" s="19">
        <f t="shared" si="1"/>
        <v>347</v>
      </c>
      <c r="J45" s="32" t="s">
        <v>625</v>
      </c>
      <c r="K45" s="13" t="s">
        <v>629</v>
      </c>
    </row>
    <row r="46" spans="1:11" ht="13.5" customHeight="1" x14ac:dyDescent="0.2">
      <c r="A46" s="2" t="s">
        <v>27</v>
      </c>
      <c r="B46" s="76">
        <v>45512</v>
      </c>
      <c r="C46" s="163" t="s">
        <v>627</v>
      </c>
      <c r="D46" s="20">
        <v>45658</v>
      </c>
      <c r="E46" s="20">
        <v>45687</v>
      </c>
      <c r="F46" s="11">
        <f t="shared" si="0"/>
        <v>30</v>
      </c>
      <c r="G46" s="3">
        <v>347</v>
      </c>
      <c r="H46" s="13">
        <v>1</v>
      </c>
      <c r="I46" s="19">
        <f t="shared" si="1"/>
        <v>347</v>
      </c>
      <c r="J46" s="32" t="s">
        <v>297</v>
      </c>
      <c r="K46" s="13" t="s">
        <v>629</v>
      </c>
    </row>
    <row r="47" spans="1:11" ht="13.5" customHeight="1" x14ac:dyDescent="0.2">
      <c r="A47" s="2" t="s">
        <v>27</v>
      </c>
      <c r="B47" s="76">
        <v>45562</v>
      </c>
      <c r="C47" s="55">
        <v>15984</v>
      </c>
      <c r="D47" s="20">
        <v>45658</v>
      </c>
      <c r="E47" s="20">
        <v>45687</v>
      </c>
      <c r="F47" s="11">
        <f>(E47-D47)+1</f>
        <v>30</v>
      </c>
      <c r="G47" s="3">
        <v>347</v>
      </c>
      <c r="H47" s="13">
        <v>1</v>
      </c>
      <c r="I47" s="19">
        <f>G47/30*H47*F47</f>
        <v>347</v>
      </c>
      <c r="J47" s="32" t="s">
        <v>315</v>
      </c>
      <c r="K47" s="13">
        <v>69174</v>
      </c>
    </row>
    <row r="48" spans="1:11" ht="13.5" customHeight="1" x14ac:dyDescent="0.2">
      <c r="A48" s="2" t="s">
        <v>27</v>
      </c>
      <c r="B48" s="76">
        <v>45597</v>
      </c>
      <c r="C48" s="55">
        <v>16339</v>
      </c>
      <c r="D48" s="20">
        <v>45658</v>
      </c>
      <c r="E48" s="20">
        <v>45687</v>
      </c>
      <c r="F48" s="11">
        <f>(E48-D48)+1</f>
        <v>30</v>
      </c>
      <c r="G48" s="3">
        <v>347</v>
      </c>
      <c r="H48" s="13">
        <v>1</v>
      </c>
      <c r="I48" s="19">
        <f>G48/30*H48*F48</f>
        <v>347</v>
      </c>
      <c r="J48" s="32" t="s">
        <v>874</v>
      </c>
      <c r="K48" s="13">
        <v>70714</v>
      </c>
    </row>
    <row r="49" spans="1:11" ht="13.5" customHeight="1" x14ac:dyDescent="0.2">
      <c r="A49" s="2" t="s">
        <v>27</v>
      </c>
      <c r="B49" s="76">
        <v>45610</v>
      </c>
      <c r="C49" s="55">
        <v>16548</v>
      </c>
      <c r="D49" s="20">
        <v>45658</v>
      </c>
      <c r="E49" s="20">
        <v>45687</v>
      </c>
      <c r="F49" s="11">
        <f>(E49-D49)+1</f>
        <v>30</v>
      </c>
      <c r="G49" s="3">
        <v>347</v>
      </c>
      <c r="H49" s="13">
        <v>1</v>
      </c>
      <c r="I49" s="19">
        <f>G49/30*H49*F49</f>
        <v>347</v>
      </c>
      <c r="J49" s="32" t="s">
        <v>873</v>
      </c>
      <c r="K49" s="13">
        <v>71535</v>
      </c>
    </row>
    <row r="50" spans="1:11" ht="13.5" customHeight="1" x14ac:dyDescent="0.2">
      <c r="A50" s="2" t="s">
        <v>34</v>
      </c>
      <c r="B50" s="76">
        <v>45512</v>
      </c>
      <c r="C50" s="163" t="s">
        <v>628</v>
      </c>
      <c r="D50" s="20">
        <v>45658</v>
      </c>
      <c r="E50" s="20">
        <v>45687</v>
      </c>
      <c r="F50" s="11">
        <f>(E50-D50)+1</f>
        <v>30</v>
      </c>
      <c r="G50" s="3">
        <v>597</v>
      </c>
      <c r="H50" s="13">
        <v>1</v>
      </c>
      <c r="I50" s="19">
        <f>G50/30*H50*F50</f>
        <v>597</v>
      </c>
      <c r="J50" s="32" t="s">
        <v>626</v>
      </c>
      <c r="K50" s="13" t="s">
        <v>629</v>
      </c>
    </row>
    <row r="51" spans="1:11" ht="13.5" customHeight="1" x14ac:dyDescent="0.25">
      <c r="A51" s="14"/>
      <c r="B51" s="20"/>
      <c r="C51" s="13"/>
      <c r="D51" s="20"/>
      <c r="E51" s="20"/>
      <c r="F51" s="11"/>
      <c r="G51" s="12"/>
      <c r="H51" s="13"/>
      <c r="I51" s="19">
        <f t="shared" ref="I51" si="3">G51/30*H51*F51</f>
        <v>0</v>
      </c>
      <c r="J51" s="32"/>
      <c r="K51" s="13"/>
    </row>
    <row r="52" spans="1:11" ht="13.5" customHeight="1" x14ac:dyDescent="0.25">
      <c r="A52" s="21" t="s">
        <v>181</v>
      </c>
      <c r="B52" s="26"/>
      <c r="C52" s="26"/>
      <c r="D52" s="23"/>
      <c r="E52" s="23"/>
      <c r="F52" s="24"/>
      <c r="G52" s="23"/>
      <c r="H52" s="22">
        <f>SUM(H15:H51)</f>
        <v>36</v>
      </c>
      <c r="I52" s="112">
        <f>SUM(I15:I51)</f>
        <v>9396</v>
      </c>
      <c r="J52" s="33"/>
      <c r="K52" s="116"/>
    </row>
    <row r="53" spans="1:11" ht="13.5" customHeight="1" x14ac:dyDescent="0.25">
      <c r="D53" s="8"/>
      <c r="E53" s="8"/>
      <c r="F53" s="9"/>
      <c r="G53" s="10"/>
      <c r="I53" s="10"/>
      <c r="J53" s="4"/>
    </row>
    <row r="54" spans="1:11" ht="13.5" customHeight="1" x14ac:dyDescent="0.2">
      <c r="A54" s="2" t="s">
        <v>24</v>
      </c>
      <c r="B54" s="76">
        <v>45568</v>
      </c>
      <c r="C54" s="55" t="s">
        <v>631</v>
      </c>
      <c r="D54" s="20">
        <v>45658</v>
      </c>
      <c r="E54" s="20">
        <v>45687</v>
      </c>
      <c r="F54" s="11">
        <f t="shared" ref="F54" si="4">(E54-D54)+1</f>
        <v>30</v>
      </c>
      <c r="G54" s="3">
        <v>238</v>
      </c>
      <c r="H54" s="13">
        <v>1</v>
      </c>
      <c r="I54" s="19">
        <f>G54/30*H54*F54</f>
        <v>238</v>
      </c>
      <c r="J54" s="32" t="s">
        <v>323</v>
      </c>
      <c r="K54" s="13" t="s">
        <v>632</v>
      </c>
    </row>
    <row r="55" spans="1:11" ht="13.5" customHeight="1" x14ac:dyDescent="0.25">
      <c r="A55" s="14"/>
      <c r="B55" s="13"/>
      <c r="C55" s="14"/>
      <c r="D55" s="76"/>
      <c r="E55" s="76"/>
      <c r="F55" s="11"/>
      <c r="G55" s="154"/>
      <c r="H55" s="14"/>
      <c r="I55" s="154"/>
      <c r="J55" s="32"/>
      <c r="K55" s="13"/>
    </row>
    <row r="56" spans="1:11" ht="13.5" customHeight="1" x14ac:dyDescent="0.25">
      <c r="A56" s="21" t="s">
        <v>630</v>
      </c>
      <c r="B56" s="26"/>
      <c r="C56" s="26"/>
      <c r="D56" s="23"/>
      <c r="E56" s="23"/>
      <c r="F56" s="24"/>
      <c r="G56" s="23"/>
      <c r="H56" s="22">
        <f>H54</f>
        <v>1</v>
      </c>
      <c r="I56" s="112">
        <f>I54</f>
        <v>238</v>
      </c>
      <c r="J56" s="33"/>
      <c r="K56" s="116"/>
    </row>
    <row r="57" spans="1:11" ht="13.5" customHeight="1" x14ac:dyDescent="0.25">
      <c r="D57" s="8"/>
      <c r="E57" s="8"/>
      <c r="F57" s="9"/>
      <c r="G57" s="10"/>
      <c r="I57" s="10"/>
      <c r="J57" s="4"/>
    </row>
    <row r="58" spans="1:11" ht="13.5" customHeight="1" x14ac:dyDescent="0.25">
      <c r="D58" s="8"/>
      <c r="E58" s="8"/>
      <c r="F58" s="9"/>
      <c r="G58" s="10"/>
      <c r="H58" s="50">
        <f>H52+H56</f>
        <v>37</v>
      </c>
      <c r="I58" s="25">
        <f>I52+I56</f>
        <v>9634</v>
      </c>
      <c r="J58" s="16"/>
    </row>
    <row r="59" spans="1:11" ht="13.5" customHeight="1" x14ac:dyDescent="0.25">
      <c r="D59" s="8"/>
      <c r="E59" s="8"/>
      <c r="F59" s="9"/>
      <c r="G59" s="10"/>
      <c r="I59" s="10"/>
      <c r="J59" s="16"/>
    </row>
    <row r="60" spans="1:11" ht="13.5" customHeight="1" x14ac:dyDescent="0.25">
      <c r="D60" s="8"/>
      <c r="E60" s="8"/>
      <c r="F60" s="9"/>
      <c r="G60" s="10"/>
      <c r="I60" s="10"/>
      <c r="J60" s="7"/>
    </row>
    <row r="61" spans="1:11" ht="13.5" customHeight="1" x14ac:dyDescent="0.25">
      <c r="A61" s="289" t="s">
        <v>124</v>
      </c>
      <c r="B61" s="289"/>
      <c r="C61" s="289"/>
      <c r="D61" s="289"/>
      <c r="E61" s="289"/>
      <c r="F61" s="289"/>
      <c r="G61" s="289"/>
      <c r="H61" s="289"/>
      <c r="I61" s="289"/>
      <c r="J61" s="7"/>
    </row>
    <row r="62" spans="1:11" ht="13.5" customHeight="1" x14ac:dyDescent="0.25">
      <c r="J62" s="7"/>
    </row>
    <row r="63" spans="1:11" ht="13.5" customHeight="1" x14ac:dyDescent="0.2">
      <c r="A63" s="27" t="s">
        <v>125</v>
      </c>
      <c r="B63" s="7"/>
      <c r="F63" s="71"/>
      <c r="G63" s="10"/>
      <c r="I63" s="72"/>
      <c r="J63" s="7"/>
    </row>
    <row r="64" spans="1:11" ht="60" customHeight="1" x14ac:dyDescent="0.25">
      <c r="A64" s="291"/>
      <c r="B64" s="275"/>
      <c r="C64" s="292"/>
      <c r="D64" s="290"/>
      <c r="E64" s="290"/>
      <c r="F64" s="290"/>
      <c r="G64" s="290"/>
      <c r="H64" s="290"/>
      <c r="I64" s="290"/>
      <c r="J64" s="7"/>
    </row>
    <row r="65" spans="1:11" ht="13.5" customHeight="1" x14ac:dyDescent="0.25">
      <c r="A65" s="274" t="s">
        <v>126</v>
      </c>
      <c r="B65" s="274"/>
      <c r="C65" s="274"/>
      <c r="D65" s="274" t="s">
        <v>127</v>
      </c>
      <c r="E65" s="274"/>
      <c r="F65" s="274"/>
      <c r="G65" s="274"/>
      <c r="H65" s="274"/>
      <c r="I65" s="274"/>
      <c r="J65" s="7"/>
    </row>
    <row r="66" spans="1:11" ht="13.5" customHeight="1" x14ac:dyDescent="0.25">
      <c r="D66" s="8"/>
      <c r="E66" s="8"/>
      <c r="F66" s="9"/>
      <c r="G66" s="10"/>
      <c r="I66" s="10"/>
      <c r="J66" s="7"/>
    </row>
    <row r="67" spans="1:11" ht="13.5" customHeight="1" x14ac:dyDescent="0.25">
      <c r="D67" s="8"/>
      <c r="E67" s="8"/>
      <c r="F67" s="9"/>
      <c r="G67" s="10"/>
      <c r="I67" s="10"/>
      <c r="J67" s="7"/>
    </row>
    <row r="68" spans="1:11" ht="13.5" customHeight="1" x14ac:dyDescent="0.25">
      <c r="D68" s="8"/>
      <c r="E68" s="8"/>
      <c r="F68" s="9"/>
      <c r="G68" s="10"/>
      <c r="I68" s="10"/>
      <c r="J68" s="7"/>
    </row>
    <row r="69" spans="1:11" ht="13.5" customHeight="1" x14ac:dyDescent="0.2">
      <c r="A69" s="266" t="s">
        <v>29</v>
      </c>
      <c r="B69" s="266"/>
      <c r="C69" s="266"/>
      <c r="D69" s="266"/>
      <c r="E69" s="266"/>
      <c r="F69" s="266"/>
      <c r="G69" s="51"/>
      <c r="I69" s="10"/>
      <c r="J69" s="16"/>
    </row>
    <row r="70" spans="1:11" ht="13.5" customHeight="1" x14ac:dyDescent="0.2">
      <c r="A70" s="267" t="s">
        <v>45</v>
      </c>
      <c r="B70" s="267"/>
      <c r="C70" s="267"/>
      <c r="D70" s="267"/>
      <c r="E70" s="283" t="s">
        <v>5</v>
      </c>
      <c r="F70" s="282" t="s">
        <v>6</v>
      </c>
      <c r="G70" s="52"/>
      <c r="I70" s="10"/>
      <c r="J70" s="16"/>
    </row>
    <row r="71" spans="1:11" ht="13.5" customHeight="1" x14ac:dyDescent="0.2">
      <c r="A71" s="34" t="s">
        <v>0</v>
      </c>
      <c r="B71" s="34" t="s">
        <v>3</v>
      </c>
      <c r="C71" s="34" t="s">
        <v>2</v>
      </c>
      <c r="D71" s="34" t="s">
        <v>4</v>
      </c>
      <c r="E71" s="284"/>
      <c r="F71" s="282"/>
      <c r="G71" s="53"/>
      <c r="J71" s="7"/>
      <c r="K71" s="7"/>
    </row>
    <row r="72" spans="1:11" ht="13.5" customHeight="1" x14ac:dyDescent="0.2">
      <c r="A72" s="2" t="s">
        <v>18</v>
      </c>
      <c r="B72" s="39"/>
      <c r="C72" s="35">
        <v>37</v>
      </c>
      <c r="D72" s="35">
        <v>0</v>
      </c>
      <c r="E72" s="13">
        <f>COUNTIFS($A$13:$A$60,"Cond Ar Janela 7.500 BTU/h")</f>
        <v>0</v>
      </c>
      <c r="F72" s="40">
        <f>B72-E72</f>
        <v>0</v>
      </c>
      <c r="G72" s="1"/>
      <c r="J72" s="7"/>
      <c r="K72" s="7"/>
    </row>
    <row r="73" spans="1:11" ht="13.5" customHeight="1" x14ac:dyDescent="0.2">
      <c r="A73" s="2" t="s">
        <v>19</v>
      </c>
      <c r="B73" s="39"/>
      <c r="C73" s="3">
        <v>210</v>
      </c>
      <c r="D73" s="3">
        <f t="shared" ref="D73:D82" si="5">B73*C73</f>
        <v>0</v>
      </c>
      <c r="E73" s="13">
        <f>COUNTIFS($A$13:$A$60,"Cond Ar Janela 10.000 BTU/h")</f>
        <v>0</v>
      </c>
      <c r="F73" s="40">
        <f t="shared" ref="F73:F94" si="6">B73-E73</f>
        <v>0</v>
      </c>
      <c r="G73" s="1"/>
      <c r="J73" s="7"/>
      <c r="K73" s="7"/>
    </row>
    <row r="74" spans="1:11" ht="13.5" customHeight="1" x14ac:dyDescent="0.2">
      <c r="A74" s="2" t="s">
        <v>20</v>
      </c>
      <c r="B74" s="39"/>
      <c r="C74" s="3">
        <v>208</v>
      </c>
      <c r="D74" s="3">
        <f t="shared" si="5"/>
        <v>0</v>
      </c>
      <c r="E74" s="13">
        <f>COUNTIFS($A$13:$A$60,"Cond Ar Janela 18.000 BTU/h")</f>
        <v>0</v>
      </c>
      <c r="F74" s="40">
        <f t="shared" si="6"/>
        <v>0</v>
      </c>
      <c r="G74" s="1"/>
      <c r="J74" s="7"/>
      <c r="K74" s="7"/>
    </row>
    <row r="75" spans="1:11" ht="13.5" customHeight="1" x14ac:dyDescent="0.2">
      <c r="A75" s="2" t="s">
        <v>21</v>
      </c>
      <c r="B75" s="39"/>
      <c r="C75" s="3">
        <v>57</v>
      </c>
      <c r="D75" s="3">
        <f t="shared" si="5"/>
        <v>0</v>
      </c>
      <c r="E75" s="13">
        <f>COUNTIFS($A$13:$A$60,"Cond Ar Janela 21.000 BTU/h")</f>
        <v>0</v>
      </c>
      <c r="F75" s="40">
        <f t="shared" si="6"/>
        <v>0</v>
      </c>
      <c r="G75" s="1"/>
      <c r="J75" s="7"/>
      <c r="K75" s="7"/>
    </row>
    <row r="76" spans="1:11" ht="13.5" customHeight="1" x14ac:dyDescent="0.2">
      <c r="A76" s="2" t="s">
        <v>22</v>
      </c>
      <c r="B76" s="39">
        <v>5</v>
      </c>
      <c r="C76" s="3">
        <v>147</v>
      </c>
      <c r="D76" s="3">
        <f t="shared" si="5"/>
        <v>735</v>
      </c>
      <c r="E76" s="13">
        <f>COUNTIFS($A$13:$A$60,"Cond Ar Split 9.000 BTU/h Hi Wall")</f>
        <v>4</v>
      </c>
      <c r="F76" s="40">
        <f t="shared" si="6"/>
        <v>1</v>
      </c>
      <c r="G76" s="1"/>
      <c r="J76" s="7"/>
      <c r="K76" s="7"/>
    </row>
    <row r="77" spans="1:11" ht="13.5" customHeight="1" x14ac:dyDescent="0.2">
      <c r="A77" s="2" t="s">
        <v>23</v>
      </c>
      <c r="B77" s="39">
        <v>15</v>
      </c>
      <c r="C77" s="3">
        <v>235</v>
      </c>
      <c r="D77" s="3">
        <f t="shared" si="5"/>
        <v>3525</v>
      </c>
      <c r="E77" s="13">
        <f>COUNTIFS($A$13:$A$60,"Cond Ar Split 12.000 BTU/h Hi Wall")</f>
        <v>13</v>
      </c>
      <c r="F77" s="40">
        <f t="shared" si="6"/>
        <v>2</v>
      </c>
      <c r="G77" s="1"/>
      <c r="J77" s="7"/>
      <c r="K77" s="7"/>
    </row>
    <row r="78" spans="1:11" ht="13.5" customHeight="1" x14ac:dyDescent="0.2">
      <c r="A78" s="2" t="s">
        <v>24</v>
      </c>
      <c r="B78" s="39">
        <v>18</v>
      </c>
      <c r="C78" s="3">
        <v>238</v>
      </c>
      <c r="D78" s="3">
        <f t="shared" si="5"/>
        <v>4284</v>
      </c>
      <c r="E78" s="13">
        <f>COUNTIFS($A$13:$A$60,"Cond Ar Split 18.000 BTU/h Hi Wall")</f>
        <v>11</v>
      </c>
      <c r="F78" s="40">
        <f t="shared" si="6"/>
        <v>7</v>
      </c>
      <c r="G78" s="1"/>
      <c r="J78" s="7"/>
      <c r="K78" s="7"/>
    </row>
    <row r="79" spans="1:11" ht="13.5" customHeight="1" x14ac:dyDescent="0.2">
      <c r="A79" s="2" t="s">
        <v>25</v>
      </c>
      <c r="B79" s="39"/>
      <c r="C79" s="3">
        <v>242</v>
      </c>
      <c r="D79" s="3">
        <f t="shared" si="5"/>
        <v>0</v>
      </c>
      <c r="E79" s="13">
        <f>COUNTIFS($A$13:$A$60,"Cond Ar Split 22.000 BTU/h Hi Wall")</f>
        <v>0</v>
      </c>
      <c r="F79" s="40">
        <f t="shared" si="6"/>
        <v>0</v>
      </c>
      <c r="G79" s="1"/>
      <c r="J79" s="7"/>
      <c r="K79" s="7"/>
    </row>
    <row r="80" spans="1:11" ht="13.5" customHeight="1" x14ac:dyDescent="0.2">
      <c r="A80" s="2" t="s">
        <v>26</v>
      </c>
      <c r="B80" s="39"/>
      <c r="C80" s="3">
        <v>260</v>
      </c>
      <c r="D80" s="3">
        <f t="shared" si="5"/>
        <v>0</v>
      </c>
      <c r="E80" s="13">
        <f>COUNTIFS($A$13:$A$60,"Cond Ar Split 24.000 BTU/h Hi Wall")</f>
        <v>0</v>
      </c>
      <c r="F80" s="40">
        <f t="shared" si="6"/>
        <v>0</v>
      </c>
      <c r="G80" s="1"/>
      <c r="J80" s="7"/>
      <c r="K80" s="7"/>
    </row>
    <row r="81" spans="1:11" ht="13.5" customHeight="1" x14ac:dyDescent="0.2">
      <c r="A81" s="2" t="s">
        <v>27</v>
      </c>
      <c r="B81" s="39">
        <v>10</v>
      </c>
      <c r="C81" s="3">
        <v>347</v>
      </c>
      <c r="D81" s="3">
        <f t="shared" si="5"/>
        <v>3470</v>
      </c>
      <c r="E81" s="13">
        <f>COUNTIFS($A$13:$A$60,"Cond Ar Split 30.000 BTU/h Hi Wall")</f>
        <v>8</v>
      </c>
      <c r="F81" s="40">
        <f t="shared" si="6"/>
        <v>2</v>
      </c>
      <c r="G81" s="1"/>
      <c r="J81" s="7"/>
      <c r="K81" s="7"/>
    </row>
    <row r="82" spans="1:11" ht="13.5" customHeight="1" x14ac:dyDescent="0.2">
      <c r="A82" s="2" t="s">
        <v>30</v>
      </c>
      <c r="B82" s="39"/>
      <c r="C82" s="3">
        <v>367</v>
      </c>
      <c r="D82" s="3">
        <f t="shared" si="5"/>
        <v>0</v>
      </c>
      <c r="E82" s="13">
        <f>COUNTIFS($A$13:$A$60,"Cond Ar Split 24.000 BTU/h Piso/Teto")</f>
        <v>0</v>
      </c>
      <c r="F82" s="40">
        <f t="shared" si="6"/>
        <v>0</v>
      </c>
      <c r="G82" s="1"/>
      <c r="J82" s="7"/>
      <c r="K82" s="7"/>
    </row>
    <row r="83" spans="1:11" ht="13.5" customHeight="1" x14ac:dyDescent="0.2">
      <c r="A83" s="2" t="s">
        <v>31</v>
      </c>
      <c r="B83" s="39"/>
      <c r="C83" s="3">
        <v>367</v>
      </c>
      <c r="D83" s="3">
        <f>B83*C83</f>
        <v>0</v>
      </c>
      <c r="E83" s="13">
        <f>COUNTIFS($A$13:$A$60,"Cond Ar Split 30.000 BTU/h Piso/Teto")</f>
        <v>0</v>
      </c>
      <c r="F83" s="40">
        <f t="shared" si="6"/>
        <v>0</v>
      </c>
      <c r="G83" s="1"/>
      <c r="J83" s="7"/>
      <c r="K83" s="7"/>
    </row>
    <row r="84" spans="1:11" ht="13.5" customHeight="1" x14ac:dyDescent="0.2">
      <c r="A84" s="2" t="s">
        <v>32</v>
      </c>
      <c r="B84" s="39"/>
      <c r="C84" s="3">
        <v>447</v>
      </c>
      <c r="D84" s="3">
        <f>B84*C84</f>
        <v>0</v>
      </c>
      <c r="E84" s="13">
        <f>COUNTIFS($A$13:$A$60,"Cond Ar Split 36.000 BTU/h Piso/Teto")</f>
        <v>0</v>
      </c>
      <c r="F84" s="40">
        <f t="shared" si="6"/>
        <v>0</v>
      </c>
      <c r="G84" s="1"/>
      <c r="J84" s="7"/>
      <c r="K84" s="7"/>
    </row>
    <row r="85" spans="1:11" ht="13.5" customHeight="1" x14ac:dyDescent="0.2">
      <c r="A85" s="2" t="s">
        <v>33</v>
      </c>
      <c r="B85" s="39"/>
      <c r="C85" s="3">
        <v>497</v>
      </c>
      <c r="D85" s="3">
        <f>B85*C85</f>
        <v>0</v>
      </c>
      <c r="E85" s="13">
        <f>COUNTIFS($A$13:$A$60,"Cond Ar Split 48.000 BTU/h Piso/Teto")</f>
        <v>0</v>
      </c>
      <c r="F85" s="40">
        <f t="shared" si="6"/>
        <v>0</v>
      </c>
      <c r="G85" s="1"/>
      <c r="J85" s="7"/>
      <c r="K85" s="7"/>
    </row>
    <row r="86" spans="1:11" ht="13.5" customHeight="1" x14ac:dyDescent="0.2">
      <c r="A86" s="2" t="s">
        <v>34</v>
      </c>
      <c r="B86" s="39">
        <v>1</v>
      </c>
      <c r="C86" s="3">
        <v>597</v>
      </c>
      <c r="D86" s="3">
        <f t="shared" ref="D86:D94" si="7">B86*C86</f>
        <v>597</v>
      </c>
      <c r="E86" s="13">
        <f>COUNTIFS($A$13:$A$60,"Cond Ar Split 60.000 BTU/h Piso/Teto")</f>
        <v>1</v>
      </c>
      <c r="F86" s="40">
        <f t="shared" si="6"/>
        <v>0</v>
      </c>
      <c r="G86" s="1"/>
      <c r="J86" s="7"/>
      <c r="K86" s="7"/>
    </row>
    <row r="87" spans="1:11" ht="13.5" customHeight="1" x14ac:dyDescent="0.2">
      <c r="A87" s="2" t="s">
        <v>35</v>
      </c>
      <c r="B87" s="39"/>
      <c r="C87" s="3">
        <v>395</v>
      </c>
      <c r="D87" s="3">
        <f t="shared" si="7"/>
        <v>0</v>
      </c>
      <c r="E87" s="13">
        <f>COUNTIFS($A$13:$A$60,"Cond Ar Split 18.000 BTU/h Cassete")</f>
        <v>0</v>
      </c>
      <c r="F87" s="40">
        <f t="shared" si="6"/>
        <v>0</v>
      </c>
      <c r="G87" s="1"/>
      <c r="K87" s="7"/>
    </row>
    <row r="88" spans="1:11" ht="13.5" customHeight="1" x14ac:dyDescent="0.2">
      <c r="A88" s="2" t="s">
        <v>36</v>
      </c>
      <c r="B88" s="39"/>
      <c r="C88" s="3">
        <v>442.75</v>
      </c>
      <c r="D88" s="3">
        <f t="shared" si="7"/>
        <v>0</v>
      </c>
      <c r="E88" s="13">
        <f>COUNTIFS($A$13:$A$60,"Cond Ar Split 24.000 BTU/h Cassete")</f>
        <v>0</v>
      </c>
      <c r="F88" s="40">
        <f t="shared" si="6"/>
        <v>0</v>
      </c>
      <c r="G88" s="1"/>
      <c r="K88" s="7"/>
    </row>
    <row r="89" spans="1:11" ht="13.5" customHeight="1" x14ac:dyDescent="0.2">
      <c r="A89" s="2" t="s">
        <v>37</v>
      </c>
      <c r="B89" s="39"/>
      <c r="C89" s="3">
        <v>430</v>
      </c>
      <c r="D89" s="3">
        <f t="shared" si="7"/>
        <v>0</v>
      </c>
      <c r="E89" s="13">
        <f>COUNTIFS($A$13:$A$60,"Cond Ar Split 30.000 BTU/h Cassete")</f>
        <v>0</v>
      </c>
      <c r="F89" s="40">
        <f t="shared" si="6"/>
        <v>0</v>
      </c>
      <c r="G89" s="1"/>
      <c r="K89" s="7"/>
    </row>
    <row r="90" spans="1:11" ht="13.5" customHeight="1" x14ac:dyDescent="0.2">
      <c r="A90" s="2" t="s">
        <v>38</v>
      </c>
      <c r="B90" s="39"/>
      <c r="C90" s="3">
        <v>478</v>
      </c>
      <c r="D90" s="3">
        <f t="shared" si="7"/>
        <v>0</v>
      </c>
      <c r="E90" s="13">
        <f>COUNTIFS($A$13:$A$60,"Cond Ar Split 36.000 BTU/h Cassete")</f>
        <v>0</v>
      </c>
      <c r="F90" s="40">
        <f t="shared" si="6"/>
        <v>0</v>
      </c>
      <c r="G90" s="1"/>
      <c r="K90" s="7"/>
    </row>
    <row r="91" spans="1:11" ht="13.5" customHeight="1" x14ac:dyDescent="0.2">
      <c r="A91" s="2" t="s">
        <v>39</v>
      </c>
      <c r="B91" s="39"/>
      <c r="C91" s="3">
        <v>577</v>
      </c>
      <c r="D91" s="3">
        <f t="shared" si="7"/>
        <v>0</v>
      </c>
      <c r="E91" s="13">
        <f>COUNTIFS($A$13:$A$60,"Cond Ar Split 48.000 BTU/h Cassete")</f>
        <v>0</v>
      </c>
      <c r="F91" s="40">
        <f t="shared" si="6"/>
        <v>0</v>
      </c>
      <c r="G91" s="1"/>
      <c r="K91" s="7"/>
    </row>
    <row r="92" spans="1:11" ht="13.5" customHeight="1" x14ac:dyDescent="0.2">
      <c r="A92" s="2" t="s">
        <v>40</v>
      </c>
      <c r="B92" s="39"/>
      <c r="C92" s="3">
        <v>645</v>
      </c>
      <c r="D92" s="3">
        <f t="shared" si="7"/>
        <v>0</v>
      </c>
      <c r="E92" s="13">
        <f>COUNTIFS($A$13:$A$60,"Cond Ar Split 60.000 BTU/h Cassete")</f>
        <v>0</v>
      </c>
      <c r="F92" s="40">
        <f t="shared" si="6"/>
        <v>0</v>
      </c>
      <c r="G92" s="1"/>
      <c r="K92" s="7"/>
    </row>
    <row r="93" spans="1:11" ht="13.5" customHeight="1" x14ac:dyDescent="0.2">
      <c r="A93" s="2" t="s">
        <v>41</v>
      </c>
      <c r="B93" s="39">
        <v>1</v>
      </c>
      <c r="C93" s="3">
        <v>147</v>
      </c>
      <c r="D93" s="3">
        <f t="shared" si="7"/>
        <v>147</v>
      </c>
      <c r="E93" s="13">
        <f>COUNTIFS($A$13:$A$60,"Cond Ar Tri Split 36.000 BTU/h (3x12.000)")</f>
        <v>0</v>
      </c>
      <c r="F93" s="40">
        <f t="shared" si="6"/>
        <v>1</v>
      </c>
      <c r="G93" s="1"/>
      <c r="K93" s="7"/>
    </row>
    <row r="94" spans="1:11" ht="13.5" customHeight="1" x14ac:dyDescent="0.2">
      <c r="A94" s="2" t="s">
        <v>42</v>
      </c>
      <c r="B94" s="39"/>
      <c r="C94" s="3">
        <v>100</v>
      </c>
      <c r="D94" s="3">
        <f t="shared" si="7"/>
        <v>0</v>
      </c>
      <c r="E94" s="13">
        <f>COUNTIFS($A$13:$A$60,"Cond Ar Portátil 12.000 BTU/h")</f>
        <v>0</v>
      </c>
      <c r="F94" s="40">
        <f t="shared" si="6"/>
        <v>0</v>
      </c>
      <c r="G94" s="1"/>
      <c r="K94" s="7"/>
    </row>
    <row r="95" spans="1:11" ht="13.5" customHeight="1" x14ac:dyDescent="0.2">
      <c r="A95" s="36" t="s">
        <v>7</v>
      </c>
      <c r="B95" s="22">
        <f>SUM(B72:B94)</f>
        <v>50</v>
      </c>
      <c r="C95" s="38"/>
      <c r="D95" s="37">
        <f>SUM(D72:D94)</f>
        <v>12758</v>
      </c>
      <c r="E95" s="22">
        <f>SUM(E72:E94)</f>
        <v>37</v>
      </c>
      <c r="F95" s="41">
        <f>SUM(F72:F94)</f>
        <v>13</v>
      </c>
      <c r="G95" s="54"/>
      <c r="K95" s="7"/>
    </row>
    <row r="99" spans="6:11" ht="13.5" customHeight="1" x14ac:dyDescent="0.25">
      <c r="F99" s="17"/>
      <c r="J99" s="16"/>
      <c r="K99" s="7"/>
    </row>
  </sheetData>
  <mergeCells count="27">
    <mergeCell ref="A65:C65"/>
    <mergeCell ref="D65:I65"/>
    <mergeCell ref="A69:F69"/>
    <mergeCell ref="A70:D70"/>
    <mergeCell ref="E70:E71"/>
    <mergeCell ref="F70:F71"/>
    <mergeCell ref="A64:C64"/>
    <mergeCell ref="D64:I64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61:I61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A1:I26"/>
  <sheetViews>
    <sheetView showGridLines="0" workbookViewId="0">
      <pane ySplit="11" topLeftCell="A12" activePane="bottomLeft" state="frozen"/>
      <selection activeCell="G9" sqref="G9:I9"/>
      <selection pane="bottomLeft" activeCell="K17" sqref="K17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137</v>
      </c>
      <c r="B8" s="297"/>
      <c r="C8" s="297"/>
      <c r="D8" s="297"/>
      <c r="E8" s="297"/>
      <c r="F8" s="298"/>
    </row>
    <row r="9" spans="1:6" ht="13.5" customHeight="1" x14ac:dyDescent="0.25">
      <c r="A9" s="60" t="s">
        <v>144</v>
      </c>
      <c r="B9" s="270" t="s">
        <v>145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304"/>
      <c r="B12" s="305"/>
      <c r="C12" s="177"/>
      <c r="D12" s="229"/>
      <c r="E12" s="62"/>
      <c r="F12" s="109">
        <f t="shared" ref="F12" si="0">D12/30*C12*E12</f>
        <v>0</v>
      </c>
    </row>
    <row r="13" spans="1:6" ht="13.5" customHeight="1" x14ac:dyDescent="0.2">
      <c r="A13" s="304"/>
      <c r="B13" s="305"/>
      <c r="C13" s="101"/>
      <c r="D13" s="229"/>
      <c r="E13" s="62"/>
      <c r="F13" s="109"/>
    </row>
    <row r="14" spans="1:6" ht="13.5" customHeight="1" x14ac:dyDescent="0.2">
      <c r="A14" s="304"/>
      <c r="B14" s="305"/>
      <c r="C14" s="155"/>
      <c r="D14" s="230"/>
      <c r="E14" s="231"/>
      <c r="F14" s="109"/>
    </row>
    <row r="15" spans="1:6" ht="13.5" customHeight="1" x14ac:dyDescent="0.2">
      <c r="A15" s="304"/>
      <c r="B15" s="305"/>
      <c r="C15" s="155"/>
      <c r="D15" s="230"/>
      <c r="E15" s="231"/>
      <c r="F15" s="109"/>
    </row>
    <row r="16" spans="1:6" ht="13.5" customHeight="1" x14ac:dyDescent="0.2">
      <c r="A16" s="304"/>
      <c r="B16" s="305"/>
      <c r="C16" s="155"/>
      <c r="D16" s="230"/>
      <c r="E16" s="231"/>
      <c r="F16" s="109"/>
    </row>
    <row r="17" spans="1:9" ht="13.5" customHeight="1" x14ac:dyDescent="0.2">
      <c r="A17" s="304"/>
      <c r="B17" s="305"/>
      <c r="C17" s="155"/>
      <c r="D17" s="230"/>
      <c r="E17" s="231"/>
      <c r="F17" s="109"/>
    </row>
    <row r="18" spans="1:9" ht="13.5" customHeight="1" x14ac:dyDescent="0.2">
      <c r="A18" s="299"/>
      <c r="B18" s="300"/>
      <c r="C18" s="102"/>
      <c r="D18" s="104"/>
      <c r="E18" s="82"/>
      <c r="F18" s="109"/>
    </row>
    <row r="19" spans="1:9" ht="13.5" customHeight="1" x14ac:dyDescent="0.25">
      <c r="A19" s="271" t="s">
        <v>679</v>
      </c>
      <c r="B19" s="273"/>
      <c r="C19" s="58">
        <f>SUM(C12:C18)</f>
        <v>0</v>
      </c>
      <c r="D19" s="57"/>
      <c r="E19" s="57"/>
      <c r="F19" s="73">
        <f>SUM(F12:F18)</f>
        <v>0</v>
      </c>
    </row>
    <row r="20" spans="1:9" ht="13.5" customHeight="1" x14ac:dyDescent="0.25">
      <c r="A20" s="105"/>
      <c r="B20" s="105"/>
      <c r="C20" s="105"/>
      <c r="D20" s="106"/>
      <c r="E20" s="107"/>
      <c r="F20" s="108"/>
    </row>
    <row r="22" spans="1:9" ht="13.5" customHeight="1" x14ac:dyDescent="0.25">
      <c r="A22" s="289" t="s">
        <v>124</v>
      </c>
      <c r="B22" s="289"/>
      <c r="C22" s="289"/>
      <c r="D22" s="289"/>
      <c r="E22" s="289"/>
      <c r="F22" s="289"/>
      <c r="G22" s="74"/>
      <c r="H22" s="74"/>
      <c r="I22" s="74"/>
    </row>
    <row r="24" spans="1:9" ht="13.5" customHeight="1" x14ac:dyDescent="0.2">
      <c r="A24" s="27" t="s">
        <v>125</v>
      </c>
      <c r="B24" s="27"/>
      <c r="F24" s="110"/>
      <c r="G24" s="10"/>
      <c r="I24" s="111"/>
    </row>
    <row r="25" spans="1:9" ht="60" customHeight="1" x14ac:dyDescent="0.25">
      <c r="A25" s="291"/>
      <c r="B25" s="275"/>
      <c r="C25" s="292"/>
      <c r="D25" s="290"/>
      <c r="E25" s="290"/>
      <c r="F25" s="290"/>
    </row>
    <row r="26" spans="1:9" ht="13.5" customHeight="1" x14ac:dyDescent="0.25">
      <c r="A26" s="274" t="s">
        <v>126</v>
      </c>
      <c r="B26" s="274"/>
      <c r="C26" s="274"/>
      <c r="D26" s="75"/>
      <c r="E26" s="75" t="s">
        <v>127</v>
      </c>
      <c r="F26" s="75"/>
      <c r="G26" s="27"/>
      <c r="H26" s="27"/>
      <c r="I26" s="27"/>
    </row>
  </sheetData>
  <mergeCells count="23">
    <mergeCell ref="A19:B19"/>
    <mergeCell ref="A22:F22"/>
    <mergeCell ref="A25:C25"/>
    <mergeCell ref="D25:F25"/>
    <mergeCell ref="A26:C26"/>
    <mergeCell ref="A18:B18"/>
    <mergeCell ref="A7:F7"/>
    <mergeCell ref="A8:F8"/>
    <mergeCell ref="B9:D9"/>
    <mergeCell ref="E9:F9"/>
    <mergeCell ref="A11:B11"/>
    <mergeCell ref="A12:B12"/>
    <mergeCell ref="A13:B13"/>
    <mergeCell ref="A14:B14"/>
    <mergeCell ref="A15:B15"/>
    <mergeCell ref="A16:B16"/>
    <mergeCell ref="A17:B17"/>
    <mergeCell ref="A1:F1"/>
    <mergeCell ref="A3:F3"/>
    <mergeCell ref="A4:C4"/>
    <mergeCell ref="D4:E4"/>
    <mergeCell ref="A5:C5"/>
    <mergeCell ref="D5:E5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A1:K79"/>
  <sheetViews>
    <sheetView showGridLines="0" workbookViewId="0">
      <pane ySplit="13" topLeftCell="A35" activePane="bottomLeft" state="frozen"/>
      <selection activeCell="M10" sqref="M10"/>
      <selection pane="bottomLeft" activeCell="G9" sqref="G9:I9"/>
    </sheetView>
  </sheetViews>
  <sheetFormatPr defaultRowHeight="13.5" customHeight="1" x14ac:dyDescent="0.25"/>
  <cols>
    <col min="1" max="1" width="37.28515625" style="7" customWidth="1"/>
    <col min="2" max="2" width="12.42578125" style="15" bestFit="1" customWidth="1"/>
    <col min="3" max="3" width="11" style="7" bestFit="1" customWidth="1"/>
    <col min="4" max="5" width="12.5703125" style="7" bestFit="1" customWidth="1"/>
    <col min="6" max="6" width="10" style="7" bestFit="1" customWidth="1"/>
    <col min="7" max="7" width="11.140625" style="7" bestFit="1" customWidth="1"/>
    <col min="8" max="8" width="11.7109375" style="7" bestFit="1" customWidth="1"/>
    <col min="9" max="9" width="17.7109375" style="7" bestFit="1" customWidth="1"/>
    <col min="10" max="10" width="24.7109375" style="15" customWidth="1"/>
    <col min="11" max="11" width="10.42578125" style="15" bestFit="1" customWidth="1"/>
    <col min="12" max="12" width="10" style="7" bestFit="1" customWidth="1"/>
    <col min="13" max="14" width="21.140625" style="7" customWidth="1"/>
    <col min="15" max="16384" width="9.140625" style="7"/>
  </cols>
  <sheetData>
    <row r="1" spans="1:11" ht="23.25" customHeight="1" x14ac:dyDescent="0.25">
      <c r="A1" s="285" t="s">
        <v>224</v>
      </c>
      <c r="B1" s="285"/>
      <c r="C1" s="285"/>
      <c r="D1" s="285"/>
      <c r="E1" s="285"/>
      <c r="F1" s="285"/>
      <c r="G1" s="285"/>
      <c r="H1" s="285"/>
      <c r="I1" s="285"/>
      <c r="J1" s="4"/>
    </row>
    <row r="2" spans="1:11" ht="13.5" customHeight="1" x14ac:dyDescent="0.25">
      <c r="J2" s="4"/>
    </row>
    <row r="3" spans="1:11" ht="15" customHeight="1" thickBot="1" x14ac:dyDescent="0.3">
      <c r="A3" s="268" t="s">
        <v>11</v>
      </c>
      <c r="B3" s="268"/>
      <c r="C3" s="268"/>
      <c r="D3" s="268"/>
      <c r="E3" s="268"/>
      <c r="F3" s="268"/>
      <c r="G3" s="268"/>
      <c r="H3" s="268"/>
      <c r="I3" s="268"/>
      <c r="J3" s="27"/>
    </row>
    <row r="4" spans="1:11" ht="13.5" customHeight="1" thickTop="1" x14ac:dyDescent="0.25">
      <c r="A4" s="269" t="s">
        <v>116</v>
      </c>
      <c r="B4" s="269"/>
      <c r="C4" s="269"/>
      <c r="D4" s="286" t="s">
        <v>12</v>
      </c>
      <c r="E4" s="287"/>
      <c r="F4" s="288"/>
      <c r="G4" s="269" t="s">
        <v>681</v>
      </c>
      <c r="H4" s="269"/>
      <c r="I4" s="269"/>
      <c r="J4" s="27"/>
    </row>
    <row r="5" spans="1:11" ht="13.5" customHeight="1" x14ac:dyDescent="0.25">
      <c r="A5" s="271" t="s">
        <v>117</v>
      </c>
      <c r="B5" s="272"/>
      <c r="C5" s="273"/>
      <c r="D5" s="271" t="s">
        <v>13</v>
      </c>
      <c r="E5" s="272"/>
      <c r="F5" s="273"/>
      <c r="G5" s="270" t="s">
        <v>122</v>
      </c>
      <c r="H5" s="270"/>
      <c r="I5" s="270"/>
      <c r="J5" s="27"/>
    </row>
    <row r="6" spans="1:11" ht="13.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4"/>
    </row>
    <row r="7" spans="1:11" ht="15" customHeight="1" thickBot="1" x14ac:dyDescent="0.3">
      <c r="A7" s="268" t="s">
        <v>14</v>
      </c>
      <c r="B7" s="268"/>
      <c r="C7" s="268"/>
      <c r="D7" s="268"/>
      <c r="E7" s="268"/>
      <c r="F7" s="268"/>
      <c r="G7" s="268"/>
      <c r="H7" s="268"/>
      <c r="I7" s="268"/>
      <c r="J7" s="28"/>
    </row>
    <row r="8" spans="1:11" s="18" customFormat="1" ht="13.5" customHeight="1" thickTop="1" x14ac:dyDescent="0.25">
      <c r="A8" s="269" t="s">
        <v>682</v>
      </c>
      <c r="B8" s="269"/>
      <c r="C8" s="269"/>
      <c r="D8" s="269"/>
      <c r="E8" s="269"/>
      <c r="F8" s="269"/>
      <c r="G8" s="269"/>
      <c r="H8" s="269"/>
      <c r="I8" s="269"/>
      <c r="J8" s="29"/>
      <c r="K8" s="15"/>
    </row>
    <row r="9" spans="1:11" s="18" customFormat="1" ht="13.5" customHeight="1" x14ac:dyDescent="0.25">
      <c r="A9" s="270" t="s">
        <v>683</v>
      </c>
      <c r="B9" s="270"/>
      <c r="C9" s="271" t="s">
        <v>684</v>
      </c>
      <c r="D9" s="272"/>
      <c r="E9" s="272"/>
      <c r="F9" s="273"/>
      <c r="G9" s="271" t="s">
        <v>989</v>
      </c>
      <c r="H9" s="272"/>
      <c r="I9" s="273"/>
      <c r="J9" s="29"/>
      <c r="K9" s="115"/>
    </row>
    <row r="10" spans="1:11" ht="13.5" customHeight="1" x14ac:dyDescent="0.25">
      <c r="A10" s="275"/>
      <c r="B10" s="275"/>
      <c r="C10" s="275"/>
      <c r="D10" s="275"/>
      <c r="E10" s="275"/>
      <c r="F10" s="275"/>
      <c r="G10" s="275"/>
      <c r="H10" s="275"/>
      <c r="I10" s="275"/>
      <c r="J10" s="4"/>
    </row>
    <row r="11" spans="1:11" ht="13.5" customHeight="1" x14ac:dyDescent="0.25">
      <c r="A11" s="21" t="s">
        <v>120</v>
      </c>
      <c r="B11" s="31"/>
      <c r="C11" s="279" t="s">
        <v>15</v>
      </c>
      <c r="D11" s="280"/>
      <c r="E11" s="281"/>
      <c r="F11" s="30"/>
      <c r="G11" s="276" t="s">
        <v>16</v>
      </c>
      <c r="H11" s="277"/>
      <c r="I11" s="278"/>
      <c r="J11" s="7"/>
    </row>
    <row r="12" spans="1:11" ht="13.5" customHeight="1" x14ac:dyDescent="0.25">
      <c r="J12" s="4"/>
    </row>
    <row r="13" spans="1:11" s="6" customFormat="1" ht="13.5" customHeight="1" x14ac:dyDescent="0.25">
      <c r="A13" s="22" t="s">
        <v>0</v>
      </c>
      <c r="B13" s="22" t="s">
        <v>17</v>
      </c>
      <c r="C13" s="22" t="s">
        <v>8</v>
      </c>
      <c r="D13" s="282" t="s">
        <v>9</v>
      </c>
      <c r="E13" s="282"/>
      <c r="F13" s="22" t="s">
        <v>1</v>
      </c>
      <c r="G13" s="22" t="s">
        <v>2</v>
      </c>
      <c r="H13" s="22" t="s">
        <v>3</v>
      </c>
      <c r="I13" s="22" t="s">
        <v>4</v>
      </c>
      <c r="J13" s="22" t="s">
        <v>28</v>
      </c>
      <c r="K13" s="22" t="s">
        <v>69</v>
      </c>
    </row>
    <row r="14" spans="1:11" ht="13.5" customHeight="1" x14ac:dyDescent="0.25">
      <c r="C14" s="195"/>
      <c r="D14" s="8"/>
      <c r="E14" s="8"/>
      <c r="F14" s="9"/>
      <c r="G14" s="10"/>
      <c r="I14" s="10"/>
      <c r="J14" s="4"/>
    </row>
    <row r="15" spans="1:11" ht="13.5" customHeight="1" x14ac:dyDescent="0.2">
      <c r="A15" s="2" t="s">
        <v>34</v>
      </c>
      <c r="B15" s="76">
        <v>45512</v>
      </c>
      <c r="C15" s="55">
        <v>16716</v>
      </c>
      <c r="D15" s="20">
        <v>45658</v>
      </c>
      <c r="E15" s="20">
        <v>45687</v>
      </c>
      <c r="F15" s="11">
        <f t="shared" ref="F15:F34" si="0">(E15-D15)+1</f>
        <v>30</v>
      </c>
      <c r="G15" s="3">
        <v>597</v>
      </c>
      <c r="H15" s="13">
        <v>1</v>
      </c>
      <c r="I15" s="19">
        <f t="shared" ref="I15:I35" si="1">G15/30*H15*F15</f>
        <v>597</v>
      </c>
      <c r="J15" s="32" t="s">
        <v>685</v>
      </c>
      <c r="K15" s="13"/>
    </row>
    <row r="16" spans="1:11" ht="13.5" customHeight="1" x14ac:dyDescent="0.2">
      <c r="A16" s="2" t="s">
        <v>34</v>
      </c>
      <c r="B16" s="76">
        <v>45512</v>
      </c>
      <c r="C16" s="55">
        <v>216717</v>
      </c>
      <c r="D16" s="20">
        <v>45658</v>
      </c>
      <c r="E16" s="20">
        <v>45687</v>
      </c>
      <c r="F16" s="11">
        <f t="shared" si="0"/>
        <v>30</v>
      </c>
      <c r="G16" s="3">
        <v>597</v>
      </c>
      <c r="H16" s="13">
        <v>1</v>
      </c>
      <c r="I16" s="19">
        <f t="shared" si="1"/>
        <v>597</v>
      </c>
      <c r="J16" s="32" t="s">
        <v>685</v>
      </c>
      <c r="K16" s="13"/>
    </row>
    <row r="17" spans="1:11" ht="13.5" customHeight="1" x14ac:dyDescent="0.2">
      <c r="A17" s="2" t="s">
        <v>34</v>
      </c>
      <c r="B17" s="76">
        <v>45512</v>
      </c>
      <c r="C17" s="55">
        <v>16718</v>
      </c>
      <c r="D17" s="20">
        <v>45658</v>
      </c>
      <c r="E17" s="20">
        <v>45687</v>
      </c>
      <c r="F17" s="11">
        <f t="shared" si="0"/>
        <v>30</v>
      </c>
      <c r="G17" s="3">
        <v>597</v>
      </c>
      <c r="H17" s="13">
        <v>1</v>
      </c>
      <c r="I17" s="19">
        <f t="shared" si="1"/>
        <v>597</v>
      </c>
      <c r="J17" s="32" t="s">
        <v>685</v>
      </c>
      <c r="K17" s="13"/>
    </row>
    <row r="18" spans="1:11" ht="13.5" customHeight="1" x14ac:dyDescent="0.2">
      <c r="A18" s="2" t="s">
        <v>34</v>
      </c>
      <c r="B18" s="76">
        <v>45512</v>
      </c>
      <c r="C18" s="55">
        <v>16719</v>
      </c>
      <c r="D18" s="20">
        <v>45658</v>
      </c>
      <c r="E18" s="20">
        <v>45687</v>
      </c>
      <c r="F18" s="11">
        <f t="shared" si="0"/>
        <v>30</v>
      </c>
      <c r="G18" s="3">
        <v>597</v>
      </c>
      <c r="H18" s="13">
        <v>1</v>
      </c>
      <c r="I18" s="19">
        <f t="shared" si="1"/>
        <v>597</v>
      </c>
      <c r="J18" s="32" t="s">
        <v>685</v>
      </c>
      <c r="K18" s="13"/>
    </row>
    <row r="19" spans="1:11" ht="13.5" customHeight="1" x14ac:dyDescent="0.2">
      <c r="A19" s="2"/>
      <c r="B19" s="76"/>
      <c r="C19" s="55"/>
      <c r="D19" s="20"/>
      <c r="E19" s="20"/>
      <c r="F19" s="11"/>
      <c r="G19" s="3"/>
      <c r="H19" s="13"/>
      <c r="I19" s="19">
        <f t="shared" si="1"/>
        <v>0</v>
      </c>
      <c r="J19" s="32"/>
      <c r="K19" s="13"/>
    </row>
    <row r="20" spans="1:11" ht="13.5" customHeight="1" x14ac:dyDescent="0.25">
      <c r="A20" s="21" t="s">
        <v>686</v>
      </c>
      <c r="B20" s="26"/>
      <c r="C20" s="196"/>
      <c r="D20" s="23"/>
      <c r="E20" s="23"/>
      <c r="F20" s="24"/>
      <c r="G20" s="23"/>
      <c r="H20" s="22">
        <f>SUM(H15:H19)</f>
        <v>4</v>
      </c>
      <c r="I20" s="112">
        <f>SUM(I15:I19)</f>
        <v>2388</v>
      </c>
      <c r="J20" s="33"/>
      <c r="K20" s="116"/>
    </row>
    <row r="21" spans="1:11" ht="13.5" customHeight="1" x14ac:dyDescent="0.25">
      <c r="A21" s="197"/>
      <c r="B21" s="178"/>
      <c r="C21" s="180"/>
      <c r="D21" s="198"/>
      <c r="E21" s="198"/>
      <c r="F21" s="199"/>
      <c r="G21" s="198"/>
      <c r="H21" s="178"/>
      <c r="I21" s="179"/>
      <c r="J21" s="172"/>
      <c r="K21" s="170"/>
    </row>
    <row r="22" spans="1:11" ht="13.5" customHeight="1" x14ac:dyDescent="0.2">
      <c r="A22" s="2" t="s">
        <v>24</v>
      </c>
      <c r="B22" s="76">
        <v>45512</v>
      </c>
      <c r="C22" s="55">
        <v>16774</v>
      </c>
      <c r="D22" s="20">
        <v>45658</v>
      </c>
      <c r="E22" s="20">
        <v>45687</v>
      </c>
      <c r="F22" s="11">
        <f t="shared" si="0"/>
        <v>30</v>
      </c>
      <c r="G22" s="3">
        <v>238</v>
      </c>
      <c r="H22" s="13">
        <v>1</v>
      </c>
      <c r="I22" s="19">
        <f t="shared" si="1"/>
        <v>238</v>
      </c>
      <c r="J22" s="32" t="s">
        <v>687</v>
      </c>
      <c r="K22" s="13"/>
    </row>
    <row r="23" spans="1:11" ht="13.5" customHeight="1" x14ac:dyDescent="0.2">
      <c r="A23" s="2" t="s">
        <v>24</v>
      </c>
      <c r="B23" s="76">
        <v>45512</v>
      </c>
      <c r="C23" s="55">
        <v>16890</v>
      </c>
      <c r="D23" s="20">
        <v>45658</v>
      </c>
      <c r="E23" s="20">
        <v>45687</v>
      </c>
      <c r="F23" s="11">
        <f t="shared" si="0"/>
        <v>30</v>
      </c>
      <c r="G23" s="3">
        <v>238</v>
      </c>
      <c r="H23" s="13">
        <v>1</v>
      </c>
      <c r="I23" s="19">
        <f t="shared" si="1"/>
        <v>238</v>
      </c>
      <c r="J23" s="32" t="s">
        <v>688</v>
      </c>
      <c r="K23" s="13"/>
    </row>
    <row r="24" spans="1:11" ht="13.5" customHeight="1" x14ac:dyDescent="0.2">
      <c r="A24" s="2"/>
      <c r="B24" s="76"/>
      <c r="C24" s="55"/>
      <c r="D24" s="20"/>
      <c r="E24" s="20"/>
      <c r="F24" s="11"/>
      <c r="G24" s="3"/>
      <c r="H24" s="13"/>
      <c r="I24" s="19"/>
      <c r="J24" s="32"/>
      <c r="K24" s="13"/>
    </row>
    <row r="25" spans="1:11" ht="13.5" customHeight="1" x14ac:dyDescent="0.25">
      <c r="A25" s="21" t="s">
        <v>689</v>
      </c>
      <c r="B25" s="26"/>
      <c r="C25" s="196"/>
      <c r="D25" s="23"/>
      <c r="E25" s="23"/>
      <c r="F25" s="24"/>
      <c r="G25" s="23"/>
      <c r="H25" s="22">
        <f>SUM(H22:H24)</f>
        <v>2</v>
      </c>
      <c r="I25" s="112">
        <f>SUM(I22:I24)</f>
        <v>476</v>
      </c>
      <c r="J25" s="33"/>
      <c r="K25" s="116"/>
    </row>
    <row r="26" spans="1:11" ht="13.5" customHeight="1" x14ac:dyDescent="0.2">
      <c r="A26" s="2"/>
      <c r="B26" s="76"/>
      <c r="C26" s="55"/>
      <c r="D26" s="20"/>
      <c r="E26" s="20"/>
      <c r="F26" s="11"/>
      <c r="G26" s="3"/>
      <c r="H26" s="13"/>
      <c r="I26" s="19"/>
      <c r="J26" s="32"/>
      <c r="K26" s="13"/>
    </row>
    <row r="27" spans="1:11" ht="13.5" customHeight="1" x14ac:dyDescent="0.2">
      <c r="A27" s="2" t="s">
        <v>25</v>
      </c>
      <c r="B27" s="76">
        <v>45512</v>
      </c>
      <c r="C27" s="55">
        <v>16930</v>
      </c>
      <c r="D27" s="20">
        <v>45658</v>
      </c>
      <c r="E27" s="20">
        <v>45687</v>
      </c>
      <c r="F27" s="11">
        <f t="shared" si="0"/>
        <v>30</v>
      </c>
      <c r="G27" s="3">
        <v>242</v>
      </c>
      <c r="H27" s="13">
        <v>1</v>
      </c>
      <c r="I27" s="19">
        <f t="shared" si="1"/>
        <v>242</v>
      </c>
      <c r="J27" s="32" t="s">
        <v>690</v>
      </c>
      <c r="K27" s="13"/>
    </row>
    <row r="28" spans="1:11" ht="13.5" customHeight="1" x14ac:dyDescent="0.2">
      <c r="A28" s="2" t="s">
        <v>22</v>
      </c>
      <c r="B28" s="76">
        <v>45512</v>
      </c>
      <c r="C28" s="55">
        <v>16931</v>
      </c>
      <c r="D28" s="20">
        <v>45658</v>
      </c>
      <c r="E28" s="20">
        <v>45687</v>
      </c>
      <c r="F28" s="11">
        <f t="shared" si="0"/>
        <v>30</v>
      </c>
      <c r="G28" s="3">
        <v>147</v>
      </c>
      <c r="H28" s="13">
        <v>1</v>
      </c>
      <c r="I28" s="19">
        <f t="shared" si="1"/>
        <v>147</v>
      </c>
      <c r="J28" s="32" t="s">
        <v>691</v>
      </c>
      <c r="K28" s="13"/>
    </row>
    <row r="29" spans="1:11" ht="13.5" customHeight="1" x14ac:dyDescent="0.2">
      <c r="A29" s="2" t="s">
        <v>22</v>
      </c>
      <c r="B29" s="76">
        <v>45512</v>
      </c>
      <c r="C29" s="55">
        <v>16932</v>
      </c>
      <c r="D29" s="20">
        <v>45658</v>
      </c>
      <c r="E29" s="20">
        <v>45687</v>
      </c>
      <c r="F29" s="11">
        <f t="shared" si="0"/>
        <v>30</v>
      </c>
      <c r="G29" s="3">
        <v>147</v>
      </c>
      <c r="H29" s="13">
        <v>1</v>
      </c>
      <c r="I29" s="19">
        <f t="shared" si="1"/>
        <v>147</v>
      </c>
      <c r="J29" s="32" t="s">
        <v>692</v>
      </c>
      <c r="K29" s="13"/>
    </row>
    <row r="30" spans="1:11" ht="13.5" customHeight="1" x14ac:dyDescent="0.2">
      <c r="A30" s="2" t="s">
        <v>23</v>
      </c>
      <c r="B30" s="76">
        <v>45512</v>
      </c>
      <c r="C30" s="55">
        <v>16934</v>
      </c>
      <c r="D30" s="20">
        <v>45658</v>
      </c>
      <c r="E30" s="20">
        <v>45687</v>
      </c>
      <c r="F30" s="11">
        <f t="shared" si="0"/>
        <v>30</v>
      </c>
      <c r="G30" s="3">
        <v>235</v>
      </c>
      <c r="H30" s="13">
        <v>1</v>
      </c>
      <c r="I30" s="19">
        <f t="shared" si="1"/>
        <v>235</v>
      </c>
      <c r="J30" s="32" t="s">
        <v>693</v>
      </c>
      <c r="K30" s="13"/>
    </row>
    <row r="31" spans="1:11" ht="13.5" customHeight="1" x14ac:dyDescent="0.2">
      <c r="A31" s="2" t="s">
        <v>22</v>
      </c>
      <c r="B31" s="76">
        <v>45512</v>
      </c>
      <c r="C31" s="55">
        <v>16935</v>
      </c>
      <c r="D31" s="20">
        <v>45658</v>
      </c>
      <c r="E31" s="20">
        <v>45687</v>
      </c>
      <c r="F31" s="11">
        <f t="shared" si="0"/>
        <v>30</v>
      </c>
      <c r="G31" s="3">
        <v>147</v>
      </c>
      <c r="H31" s="13">
        <v>1</v>
      </c>
      <c r="I31" s="19">
        <f t="shared" si="1"/>
        <v>147</v>
      </c>
      <c r="J31" s="32" t="s">
        <v>694</v>
      </c>
      <c r="K31" s="13"/>
    </row>
    <row r="32" spans="1:11" ht="13.5" customHeight="1" x14ac:dyDescent="0.2">
      <c r="A32" s="2" t="s">
        <v>25</v>
      </c>
      <c r="B32" s="76">
        <v>45512</v>
      </c>
      <c r="C32" s="55">
        <v>16933</v>
      </c>
      <c r="D32" s="20">
        <v>45658</v>
      </c>
      <c r="E32" s="20">
        <v>45687</v>
      </c>
      <c r="F32" s="11">
        <f t="shared" si="0"/>
        <v>30</v>
      </c>
      <c r="G32" s="3">
        <v>242</v>
      </c>
      <c r="H32" s="13">
        <v>1</v>
      </c>
      <c r="I32" s="19">
        <f t="shared" si="1"/>
        <v>242</v>
      </c>
      <c r="J32" s="32" t="s">
        <v>695</v>
      </c>
      <c r="K32" s="13"/>
    </row>
    <row r="33" spans="1:11" ht="13.5" customHeight="1" x14ac:dyDescent="0.2">
      <c r="A33" s="2" t="s">
        <v>23</v>
      </c>
      <c r="B33" s="76">
        <v>45512</v>
      </c>
      <c r="C33" s="55">
        <v>16938</v>
      </c>
      <c r="D33" s="20">
        <v>45658</v>
      </c>
      <c r="E33" s="20">
        <v>45687</v>
      </c>
      <c r="F33" s="11">
        <f t="shared" si="0"/>
        <v>30</v>
      </c>
      <c r="G33" s="3">
        <v>235</v>
      </c>
      <c r="H33" s="13">
        <v>1</v>
      </c>
      <c r="I33" s="19">
        <f t="shared" si="1"/>
        <v>235</v>
      </c>
      <c r="J33" s="32" t="s">
        <v>696</v>
      </c>
      <c r="K33" s="13"/>
    </row>
    <row r="34" spans="1:11" ht="13.5" customHeight="1" x14ac:dyDescent="0.2">
      <c r="A34" s="2" t="s">
        <v>22</v>
      </c>
      <c r="B34" s="76">
        <v>45512</v>
      </c>
      <c r="C34" s="55">
        <v>16939</v>
      </c>
      <c r="D34" s="20">
        <v>45658</v>
      </c>
      <c r="E34" s="20">
        <v>45687</v>
      </c>
      <c r="F34" s="11">
        <f t="shared" si="0"/>
        <v>30</v>
      </c>
      <c r="G34" s="3">
        <v>147</v>
      </c>
      <c r="H34" s="13">
        <v>1</v>
      </c>
      <c r="I34" s="19">
        <f t="shared" si="1"/>
        <v>147</v>
      </c>
      <c r="J34" s="32" t="s">
        <v>697</v>
      </c>
      <c r="K34" s="13"/>
    </row>
    <row r="35" spans="1:11" ht="13.5" customHeight="1" x14ac:dyDescent="0.25">
      <c r="A35" s="14"/>
      <c r="B35" s="20"/>
      <c r="C35" s="13"/>
      <c r="D35" s="20"/>
      <c r="E35" s="20"/>
      <c r="F35" s="11"/>
      <c r="G35" s="12"/>
      <c r="H35" s="13"/>
      <c r="I35" s="19">
        <f t="shared" si="1"/>
        <v>0</v>
      </c>
      <c r="J35" s="32"/>
      <c r="K35" s="13"/>
    </row>
    <row r="36" spans="1:11" ht="13.5" customHeight="1" x14ac:dyDescent="0.25">
      <c r="A36" s="21" t="s">
        <v>698</v>
      </c>
      <c r="B36" s="26"/>
      <c r="C36" s="26"/>
      <c r="D36" s="23"/>
      <c r="E36" s="23"/>
      <c r="F36" s="24"/>
      <c r="G36" s="23"/>
      <c r="H36" s="22">
        <f>SUM(H27:H35)</f>
        <v>8</v>
      </c>
      <c r="I36" s="112">
        <f>SUM(I27:I35)</f>
        <v>1542</v>
      </c>
      <c r="J36" s="33"/>
      <c r="K36" s="116"/>
    </row>
    <row r="37" spans="1:11" ht="13.5" customHeight="1" x14ac:dyDescent="0.25">
      <c r="D37" s="8"/>
      <c r="E37" s="8"/>
      <c r="F37" s="9"/>
      <c r="G37" s="10"/>
      <c r="I37" s="10"/>
      <c r="J37" s="4"/>
    </row>
    <row r="38" spans="1:11" ht="13.5" customHeight="1" x14ac:dyDescent="0.25">
      <c r="D38" s="8"/>
      <c r="E38" s="8"/>
      <c r="F38" s="9"/>
      <c r="G38" s="10"/>
      <c r="H38" s="50">
        <f>H20+H25+H36</f>
        <v>14</v>
      </c>
      <c r="I38" s="25">
        <f>I20+I25+I36</f>
        <v>4406</v>
      </c>
      <c r="J38" s="16"/>
    </row>
    <row r="39" spans="1:11" ht="13.5" customHeight="1" x14ac:dyDescent="0.25">
      <c r="D39" s="8"/>
      <c r="E39" s="8"/>
      <c r="F39" s="9"/>
      <c r="G39" s="10"/>
      <c r="I39" s="10"/>
      <c r="J39" s="16"/>
    </row>
    <row r="40" spans="1:11" ht="13.5" customHeight="1" x14ac:dyDescent="0.25">
      <c r="D40" s="8"/>
      <c r="E40" s="8"/>
      <c r="F40" s="9"/>
      <c r="G40" s="10"/>
      <c r="I40" s="10"/>
      <c r="J40" s="7"/>
    </row>
    <row r="41" spans="1:11" ht="13.5" customHeight="1" x14ac:dyDescent="0.25">
      <c r="A41" s="289" t="s">
        <v>124</v>
      </c>
      <c r="B41" s="289"/>
      <c r="C41" s="289"/>
      <c r="D41" s="289"/>
      <c r="E41" s="289"/>
      <c r="F41" s="289"/>
      <c r="G41" s="289"/>
      <c r="H41" s="289"/>
      <c r="I41" s="289"/>
      <c r="J41" s="7"/>
    </row>
    <row r="42" spans="1:11" ht="13.5" customHeight="1" x14ac:dyDescent="0.25">
      <c r="J42" s="7"/>
    </row>
    <row r="43" spans="1:11" ht="13.5" customHeight="1" x14ac:dyDescent="0.2">
      <c r="A43" s="27" t="s">
        <v>125</v>
      </c>
      <c r="B43" s="7"/>
      <c r="F43" s="71"/>
      <c r="G43" s="10"/>
      <c r="I43" s="72"/>
      <c r="J43" s="7"/>
    </row>
    <row r="44" spans="1:11" ht="60" customHeight="1" x14ac:dyDescent="0.25">
      <c r="A44" s="291"/>
      <c r="B44" s="275"/>
      <c r="C44" s="292"/>
      <c r="D44" s="290"/>
      <c r="E44" s="290"/>
      <c r="F44" s="290"/>
      <c r="G44" s="290"/>
      <c r="H44" s="290"/>
      <c r="I44" s="290"/>
      <c r="J44" s="7"/>
    </row>
    <row r="45" spans="1:11" ht="13.5" customHeight="1" x14ac:dyDescent="0.25">
      <c r="A45" s="274" t="s">
        <v>126</v>
      </c>
      <c r="B45" s="274"/>
      <c r="C45" s="274"/>
      <c r="D45" s="274" t="s">
        <v>127</v>
      </c>
      <c r="E45" s="274"/>
      <c r="F45" s="274"/>
      <c r="G45" s="274"/>
      <c r="H45" s="274"/>
      <c r="I45" s="274"/>
      <c r="J45" s="7"/>
    </row>
    <row r="46" spans="1:11" s="15" customFormat="1" ht="13.5" customHeight="1" x14ac:dyDescent="0.25">
      <c r="A46" s="7"/>
      <c r="C46" s="7"/>
      <c r="D46" s="8"/>
      <c r="E46" s="8"/>
      <c r="F46" s="9"/>
      <c r="G46" s="10"/>
      <c r="H46" s="7"/>
      <c r="I46" s="10"/>
      <c r="J46" s="7"/>
    </row>
    <row r="47" spans="1:11" s="15" customFormat="1" ht="13.5" customHeight="1" x14ac:dyDescent="0.25">
      <c r="A47" s="7"/>
      <c r="C47" s="7"/>
      <c r="D47" s="8"/>
      <c r="E47" s="8"/>
      <c r="F47" s="9"/>
      <c r="G47" s="10"/>
      <c r="H47" s="7"/>
      <c r="I47" s="10"/>
      <c r="J47" s="7"/>
    </row>
    <row r="48" spans="1:11" s="15" customFormat="1" ht="13.5" customHeight="1" x14ac:dyDescent="0.25">
      <c r="A48" s="7"/>
      <c r="C48" s="7"/>
      <c r="D48" s="8"/>
      <c r="E48" s="8"/>
      <c r="F48" s="9"/>
      <c r="G48" s="10"/>
      <c r="H48" s="7"/>
      <c r="I48" s="10"/>
      <c r="J48" s="7"/>
    </row>
    <row r="49" spans="1:10" s="15" customFormat="1" ht="13.5" customHeight="1" x14ac:dyDescent="0.2">
      <c r="A49" s="266" t="s">
        <v>29</v>
      </c>
      <c r="B49" s="266"/>
      <c r="C49" s="266"/>
      <c r="D49" s="266"/>
      <c r="E49" s="266"/>
      <c r="F49" s="266"/>
      <c r="G49" s="51"/>
      <c r="H49" s="7"/>
      <c r="I49" s="10"/>
      <c r="J49" s="16"/>
    </row>
    <row r="50" spans="1:10" s="15" customFormat="1" ht="13.5" customHeight="1" x14ac:dyDescent="0.2">
      <c r="A50" s="267" t="s">
        <v>45</v>
      </c>
      <c r="B50" s="267"/>
      <c r="C50" s="267"/>
      <c r="D50" s="267"/>
      <c r="E50" s="283" t="s">
        <v>5</v>
      </c>
      <c r="F50" s="282" t="s">
        <v>6</v>
      </c>
      <c r="G50" s="52"/>
      <c r="H50" s="7"/>
      <c r="I50" s="10"/>
      <c r="J50" s="16"/>
    </row>
    <row r="51" spans="1:10" s="15" customFormat="1" ht="13.5" customHeight="1" x14ac:dyDescent="0.2">
      <c r="A51" s="34" t="s">
        <v>0</v>
      </c>
      <c r="B51" s="34" t="s">
        <v>3</v>
      </c>
      <c r="C51" s="34" t="s">
        <v>2</v>
      </c>
      <c r="D51" s="34" t="s">
        <v>4</v>
      </c>
      <c r="E51" s="284"/>
      <c r="F51" s="282"/>
      <c r="G51" s="53"/>
      <c r="H51" s="7"/>
      <c r="I51" s="7"/>
    </row>
    <row r="52" spans="1:10" s="15" customFormat="1" ht="13.5" customHeight="1" x14ac:dyDescent="0.2">
      <c r="A52" s="2" t="s">
        <v>18</v>
      </c>
      <c r="B52" s="39"/>
      <c r="C52" s="35">
        <v>37</v>
      </c>
      <c r="D52" s="35">
        <v>0</v>
      </c>
      <c r="E52" s="13">
        <f>COUNTIFS($A$12:$A$40,"Cond Ar Janela 7.500 BTU/h")</f>
        <v>0</v>
      </c>
      <c r="F52" s="40">
        <f>B52-E52</f>
        <v>0</v>
      </c>
      <c r="G52" s="1"/>
      <c r="H52" s="7"/>
      <c r="I52" s="7"/>
    </row>
    <row r="53" spans="1:10" s="15" customFormat="1" ht="13.5" customHeight="1" x14ac:dyDescent="0.2">
      <c r="A53" s="2" t="s">
        <v>19</v>
      </c>
      <c r="B53" s="39"/>
      <c r="C53" s="3">
        <v>210</v>
      </c>
      <c r="D53" s="3">
        <f t="shared" ref="D53:D62" si="2">B53*C53</f>
        <v>0</v>
      </c>
      <c r="E53" s="13">
        <f>COUNTIFS($A$12:$A$40,"Cond Ar Janela 10.000 BTU/h")</f>
        <v>0</v>
      </c>
      <c r="F53" s="40">
        <f t="shared" ref="F53:F74" si="3">B53-E53</f>
        <v>0</v>
      </c>
      <c r="G53" s="1"/>
      <c r="H53" s="7"/>
      <c r="I53" s="7"/>
    </row>
    <row r="54" spans="1:10" s="15" customFormat="1" ht="13.5" customHeight="1" x14ac:dyDescent="0.2">
      <c r="A54" s="2" t="s">
        <v>20</v>
      </c>
      <c r="B54" s="39"/>
      <c r="C54" s="3">
        <v>208</v>
      </c>
      <c r="D54" s="3">
        <f t="shared" si="2"/>
        <v>0</v>
      </c>
      <c r="E54" s="13">
        <f>COUNTIFS($A$12:$A$40,"Cond Ar Janela 18.000 BTU/h")</f>
        <v>0</v>
      </c>
      <c r="F54" s="40">
        <f t="shared" si="3"/>
        <v>0</v>
      </c>
      <c r="G54" s="1"/>
      <c r="H54" s="7"/>
      <c r="I54" s="7"/>
    </row>
    <row r="55" spans="1:10" s="15" customFormat="1" ht="13.5" customHeight="1" x14ac:dyDescent="0.2">
      <c r="A55" s="2" t="s">
        <v>21</v>
      </c>
      <c r="B55" s="39"/>
      <c r="C55" s="3">
        <v>57</v>
      </c>
      <c r="D55" s="3">
        <f t="shared" si="2"/>
        <v>0</v>
      </c>
      <c r="E55" s="13">
        <f>COUNTIFS($A$12:$A$40,"Cond Ar Janela 21.000 BTU/h")</f>
        <v>0</v>
      </c>
      <c r="F55" s="40">
        <f t="shared" si="3"/>
        <v>0</v>
      </c>
      <c r="G55" s="1"/>
      <c r="H55" s="7"/>
      <c r="I55" s="7"/>
    </row>
    <row r="56" spans="1:10" s="15" customFormat="1" ht="13.5" customHeight="1" x14ac:dyDescent="0.2">
      <c r="A56" s="2" t="s">
        <v>22</v>
      </c>
      <c r="B56" s="39">
        <v>4</v>
      </c>
      <c r="C56" s="3">
        <v>147</v>
      </c>
      <c r="D56" s="3">
        <f t="shared" si="2"/>
        <v>588</v>
      </c>
      <c r="E56" s="13">
        <f>COUNTIFS($A$12:$A$40,"Cond Ar Split 9.000 BTU/h Hi Wall")</f>
        <v>4</v>
      </c>
      <c r="F56" s="40">
        <f t="shared" si="3"/>
        <v>0</v>
      </c>
      <c r="G56" s="1"/>
      <c r="H56" s="7"/>
      <c r="I56" s="7"/>
    </row>
    <row r="57" spans="1:10" s="15" customFormat="1" ht="13.5" customHeight="1" x14ac:dyDescent="0.2">
      <c r="A57" s="2" t="s">
        <v>23</v>
      </c>
      <c r="B57" s="39"/>
      <c r="C57" s="3">
        <v>235</v>
      </c>
      <c r="D57" s="3">
        <f t="shared" si="2"/>
        <v>0</v>
      </c>
      <c r="E57" s="13">
        <f>COUNTIFS($A$12:$A$40,"Cond Ar Split 12.000 BTU/h Hi Wall")</f>
        <v>2</v>
      </c>
      <c r="F57" s="40">
        <f t="shared" si="3"/>
        <v>-2</v>
      </c>
      <c r="G57" s="1"/>
      <c r="H57" s="7"/>
      <c r="I57" s="7"/>
    </row>
    <row r="58" spans="1:10" s="15" customFormat="1" ht="13.5" customHeight="1" x14ac:dyDescent="0.2">
      <c r="A58" s="2" t="s">
        <v>24</v>
      </c>
      <c r="B58" s="39">
        <v>2</v>
      </c>
      <c r="C58" s="3">
        <v>238</v>
      </c>
      <c r="D58" s="3">
        <f t="shared" si="2"/>
        <v>476</v>
      </c>
      <c r="E58" s="13">
        <f>COUNTIFS($A$12:$A$40,"Cond Ar Split 18.000 BTU/h Hi Wall")</f>
        <v>2</v>
      </c>
      <c r="F58" s="40">
        <f t="shared" si="3"/>
        <v>0</v>
      </c>
      <c r="G58" s="1"/>
      <c r="H58" s="7"/>
      <c r="I58" s="7"/>
    </row>
    <row r="59" spans="1:10" s="15" customFormat="1" ht="13.5" customHeight="1" x14ac:dyDescent="0.2">
      <c r="A59" s="2" t="s">
        <v>25</v>
      </c>
      <c r="B59" s="39">
        <v>5</v>
      </c>
      <c r="C59" s="3">
        <v>242</v>
      </c>
      <c r="D59" s="3">
        <f t="shared" si="2"/>
        <v>1210</v>
      </c>
      <c r="E59" s="13">
        <f>COUNTIFS($A$12:$A$40,"Cond Ar Split 22.000 BTU/h Hi Wall")</f>
        <v>2</v>
      </c>
      <c r="F59" s="40">
        <f t="shared" si="3"/>
        <v>3</v>
      </c>
      <c r="G59" s="1"/>
      <c r="H59" s="7"/>
      <c r="I59" s="7"/>
    </row>
    <row r="60" spans="1:10" s="15" customFormat="1" ht="13.5" customHeight="1" x14ac:dyDescent="0.2">
      <c r="A60" s="2" t="s">
        <v>26</v>
      </c>
      <c r="B60" s="39"/>
      <c r="C60" s="3">
        <v>260</v>
      </c>
      <c r="D60" s="3">
        <f t="shared" si="2"/>
        <v>0</v>
      </c>
      <c r="E60" s="13">
        <f>COUNTIFS($A$12:$A$40,"Cond Ar Split 24.000 BTU/h Hi Wall")</f>
        <v>0</v>
      </c>
      <c r="F60" s="40">
        <f t="shared" si="3"/>
        <v>0</v>
      </c>
      <c r="G60" s="1"/>
      <c r="H60" s="7"/>
      <c r="I60" s="7"/>
    </row>
    <row r="61" spans="1:10" s="15" customFormat="1" ht="13.5" customHeight="1" x14ac:dyDescent="0.2">
      <c r="A61" s="2" t="s">
        <v>27</v>
      </c>
      <c r="B61" s="39"/>
      <c r="C61" s="3">
        <v>347</v>
      </c>
      <c r="D61" s="3">
        <f t="shared" si="2"/>
        <v>0</v>
      </c>
      <c r="E61" s="13">
        <f>COUNTIFS($A$12:$A$40,"Cond Ar Split 30.000 BTU/h Hi Wall")</f>
        <v>0</v>
      </c>
      <c r="F61" s="40">
        <f t="shared" si="3"/>
        <v>0</v>
      </c>
      <c r="G61" s="1"/>
      <c r="H61" s="7"/>
      <c r="I61" s="7"/>
    </row>
    <row r="62" spans="1:10" ht="13.5" customHeight="1" x14ac:dyDescent="0.2">
      <c r="A62" s="2" t="s">
        <v>30</v>
      </c>
      <c r="B62" s="39"/>
      <c r="C62" s="3">
        <v>367</v>
      </c>
      <c r="D62" s="3">
        <f t="shared" si="2"/>
        <v>0</v>
      </c>
      <c r="E62" s="13">
        <f>COUNTIFS($A$12:$A$40,"Cond Ar Split 24.000 BTU/h Piso/Teto")</f>
        <v>0</v>
      </c>
      <c r="F62" s="40">
        <f t="shared" si="3"/>
        <v>0</v>
      </c>
      <c r="G62" s="1"/>
    </row>
    <row r="63" spans="1:10" ht="13.5" customHeight="1" x14ac:dyDescent="0.2">
      <c r="A63" s="2" t="s">
        <v>31</v>
      </c>
      <c r="B63" s="39"/>
      <c r="C63" s="3">
        <v>367</v>
      </c>
      <c r="D63" s="3">
        <f>B63*C63</f>
        <v>0</v>
      </c>
      <c r="E63" s="13">
        <f>COUNTIFS($A$12:$A$40,"Cond Ar Split 30.000 BTU/h Piso/Teto")</f>
        <v>0</v>
      </c>
      <c r="F63" s="40">
        <f t="shared" si="3"/>
        <v>0</v>
      </c>
      <c r="G63" s="1"/>
    </row>
    <row r="64" spans="1:10" ht="13.5" customHeight="1" x14ac:dyDescent="0.2">
      <c r="A64" s="2" t="s">
        <v>32</v>
      </c>
      <c r="B64" s="39"/>
      <c r="C64" s="3">
        <v>447</v>
      </c>
      <c r="D64" s="3">
        <f>B64*C64</f>
        <v>0</v>
      </c>
      <c r="E64" s="13">
        <f>COUNTIFS($A$12:$A$40,"Cond Ar Split 36.000 BTU/h Piso/Teto")</f>
        <v>0</v>
      </c>
      <c r="F64" s="40">
        <f t="shared" si="3"/>
        <v>0</v>
      </c>
      <c r="G64" s="1"/>
    </row>
    <row r="65" spans="1:10" ht="13.5" customHeight="1" x14ac:dyDescent="0.2">
      <c r="A65" s="2" t="s">
        <v>33</v>
      </c>
      <c r="B65" s="39"/>
      <c r="C65" s="3">
        <v>497</v>
      </c>
      <c r="D65" s="3">
        <f>B65*C65</f>
        <v>0</v>
      </c>
      <c r="E65" s="13">
        <f>COUNTIFS($A$12:$A$40,"Cond Ar Split 48.000 BTU/h Piso/Teto")</f>
        <v>0</v>
      </c>
      <c r="F65" s="40">
        <f t="shared" si="3"/>
        <v>0</v>
      </c>
      <c r="G65" s="1"/>
    </row>
    <row r="66" spans="1:10" ht="13.5" customHeight="1" x14ac:dyDescent="0.2">
      <c r="A66" s="2" t="s">
        <v>34</v>
      </c>
      <c r="B66" s="39">
        <v>8</v>
      </c>
      <c r="C66" s="3">
        <v>597</v>
      </c>
      <c r="D66" s="3">
        <f t="shared" ref="D66:D74" si="4">B66*C66</f>
        <v>4776</v>
      </c>
      <c r="E66" s="13">
        <f>COUNTIFS($A$12:$A$40,"Cond Ar Split 60.000 BTU/h Piso/Teto")</f>
        <v>4</v>
      </c>
      <c r="F66" s="40">
        <f t="shared" si="3"/>
        <v>4</v>
      </c>
      <c r="G66" s="1"/>
    </row>
    <row r="67" spans="1:10" ht="13.5" customHeight="1" x14ac:dyDescent="0.2">
      <c r="A67" s="2" t="s">
        <v>35</v>
      </c>
      <c r="B67" s="39"/>
      <c r="C67" s="3">
        <v>395</v>
      </c>
      <c r="D67" s="3">
        <f t="shared" si="4"/>
        <v>0</v>
      </c>
      <c r="E67" s="13">
        <f>COUNTIFS($A$12:$A$40,"Cond Ar Split 18.000 BTU/h Cassete")</f>
        <v>0</v>
      </c>
      <c r="F67" s="40">
        <f t="shared" si="3"/>
        <v>0</v>
      </c>
      <c r="G67" s="1"/>
    </row>
    <row r="68" spans="1:10" ht="13.5" customHeight="1" x14ac:dyDescent="0.2">
      <c r="A68" s="2" t="s">
        <v>36</v>
      </c>
      <c r="B68" s="39"/>
      <c r="C68" s="3">
        <v>442.75</v>
      </c>
      <c r="D68" s="3">
        <f t="shared" si="4"/>
        <v>0</v>
      </c>
      <c r="E68" s="13">
        <f>COUNTIFS($A$12:$A$40,"Cond Ar Split 24.000 BTU/h Cassete")</f>
        <v>0</v>
      </c>
      <c r="F68" s="40">
        <f t="shared" si="3"/>
        <v>0</v>
      </c>
      <c r="G68" s="1"/>
    </row>
    <row r="69" spans="1:10" ht="13.5" customHeight="1" x14ac:dyDescent="0.2">
      <c r="A69" s="2" t="s">
        <v>37</v>
      </c>
      <c r="B69" s="39"/>
      <c r="C69" s="3">
        <v>430</v>
      </c>
      <c r="D69" s="3">
        <f t="shared" si="4"/>
        <v>0</v>
      </c>
      <c r="E69" s="13">
        <f>COUNTIFS($A$12:$A$40,"Cond Ar Split 30.000 BTU/h Cassete")</f>
        <v>0</v>
      </c>
      <c r="F69" s="40">
        <f t="shared" si="3"/>
        <v>0</v>
      </c>
      <c r="G69" s="1"/>
    </row>
    <row r="70" spans="1:10" ht="13.5" customHeight="1" x14ac:dyDescent="0.2">
      <c r="A70" s="2" t="s">
        <v>38</v>
      </c>
      <c r="B70" s="39"/>
      <c r="C70" s="3">
        <v>478</v>
      </c>
      <c r="D70" s="3">
        <f t="shared" si="4"/>
        <v>0</v>
      </c>
      <c r="E70" s="13">
        <f>COUNTIFS($A$12:$A$40,"Cond Ar Split 36.000 BTU/h Cassete")</f>
        <v>0</v>
      </c>
      <c r="F70" s="40">
        <f t="shared" si="3"/>
        <v>0</v>
      </c>
      <c r="G70" s="1"/>
    </row>
    <row r="71" spans="1:10" ht="13.5" customHeight="1" x14ac:dyDescent="0.2">
      <c r="A71" s="2" t="s">
        <v>39</v>
      </c>
      <c r="B71" s="39"/>
      <c r="C71" s="3">
        <v>577</v>
      </c>
      <c r="D71" s="3">
        <f t="shared" si="4"/>
        <v>0</v>
      </c>
      <c r="E71" s="13">
        <f>COUNTIFS($A$12:$A$40,"Cond Ar Split 48.000 BTU/h Cassete")</f>
        <v>0</v>
      </c>
      <c r="F71" s="40">
        <f t="shared" si="3"/>
        <v>0</v>
      </c>
      <c r="G71" s="1"/>
    </row>
    <row r="72" spans="1:10" ht="13.5" customHeight="1" x14ac:dyDescent="0.2">
      <c r="A72" s="2" t="s">
        <v>40</v>
      </c>
      <c r="B72" s="39"/>
      <c r="C72" s="3">
        <v>645</v>
      </c>
      <c r="D72" s="3">
        <f t="shared" si="4"/>
        <v>0</v>
      </c>
      <c r="E72" s="13">
        <f>COUNTIFS($A$12:$A$40,"Cond Ar Split 60.000 BTU/h Cassete")</f>
        <v>0</v>
      </c>
      <c r="F72" s="40">
        <f t="shared" si="3"/>
        <v>0</v>
      </c>
      <c r="G72" s="1"/>
    </row>
    <row r="73" spans="1:10" ht="13.5" customHeight="1" x14ac:dyDescent="0.2">
      <c r="A73" s="2" t="s">
        <v>41</v>
      </c>
      <c r="B73" s="39"/>
      <c r="C73" s="3">
        <v>147</v>
      </c>
      <c r="D73" s="3">
        <f t="shared" si="4"/>
        <v>0</v>
      </c>
      <c r="E73" s="13">
        <f>COUNTIFS($A$12:$A$40,"Cond Ar Tri Split 36.000 BTU/h (3x12.000)")</f>
        <v>0</v>
      </c>
      <c r="F73" s="40">
        <f t="shared" si="3"/>
        <v>0</v>
      </c>
      <c r="G73" s="1"/>
    </row>
    <row r="74" spans="1:10" ht="13.5" customHeight="1" x14ac:dyDescent="0.2">
      <c r="A74" s="2" t="s">
        <v>42</v>
      </c>
      <c r="B74" s="39"/>
      <c r="C74" s="3">
        <v>100</v>
      </c>
      <c r="D74" s="3">
        <f t="shared" si="4"/>
        <v>0</v>
      </c>
      <c r="E74" s="13">
        <f>COUNTIFS($A$12:$A$40,"Cond Ar Portátil 12.000 BTU/h")</f>
        <v>0</v>
      </c>
      <c r="F74" s="40">
        <f t="shared" si="3"/>
        <v>0</v>
      </c>
      <c r="G74" s="1"/>
    </row>
    <row r="75" spans="1:10" ht="13.5" customHeight="1" x14ac:dyDescent="0.2">
      <c r="A75" s="36" t="s">
        <v>7</v>
      </c>
      <c r="B75" s="22">
        <f>SUM(B55:B74)</f>
        <v>19</v>
      </c>
      <c r="C75" s="38"/>
      <c r="D75" s="37">
        <f>SUM(D52:D74)</f>
        <v>7050</v>
      </c>
      <c r="E75" s="22">
        <f>SUM(E52:E74)</f>
        <v>14</v>
      </c>
      <c r="F75" s="41">
        <f>SUM(F52:F74)</f>
        <v>5</v>
      </c>
      <c r="G75" s="54"/>
    </row>
    <row r="79" spans="1:10" s="15" customFormat="1" ht="13.5" customHeight="1" x14ac:dyDescent="0.25">
      <c r="A79" s="7"/>
      <c r="C79" s="7"/>
      <c r="D79" s="7"/>
      <c r="E79" s="7"/>
      <c r="F79" s="17"/>
      <c r="G79" s="7"/>
      <c r="H79" s="7"/>
      <c r="I79" s="7"/>
      <c r="J79" s="16"/>
    </row>
  </sheetData>
  <mergeCells count="27">
    <mergeCell ref="A45:C45"/>
    <mergeCell ref="D45:I45"/>
    <mergeCell ref="A49:F49"/>
    <mergeCell ref="A50:D50"/>
    <mergeCell ref="E50:E51"/>
    <mergeCell ref="F50:F51"/>
    <mergeCell ref="A44:C44"/>
    <mergeCell ref="D44:I44"/>
    <mergeCell ref="A6:I6"/>
    <mergeCell ref="A7:I7"/>
    <mergeCell ref="A8:I8"/>
    <mergeCell ref="A9:B9"/>
    <mergeCell ref="C9:F9"/>
    <mergeCell ref="G9:I9"/>
    <mergeCell ref="A10:I10"/>
    <mergeCell ref="C11:E11"/>
    <mergeCell ref="G11:I11"/>
    <mergeCell ref="D13:E13"/>
    <mergeCell ref="A41:I41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2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>
    <pageSetUpPr fitToPage="1"/>
  </sheetPr>
  <dimension ref="A1:I38"/>
  <sheetViews>
    <sheetView showGridLines="0" workbookViewId="0">
      <pane ySplit="11" topLeftCell="A12" activePane="bottomLeft" state="frozen"/>
      <selection activeCell="J40" sqref="J40"/>
      <selection pane="bottomLeft" activeCell="E9" sqref="E9:F9"/>
    </sheetView>
  </sheetViews>
  <sheetFormatPr defaultRowHeight="13.5" customHeight="1" x14ac:dyDescent="0.25"/>
  <cols>
    <col min="1" max="1" width="36.5703125" style="7" bestFit="1" customWidth="1"/>
    <col min="2" max="2" width="12.28515625" style="7" customWidth="1"/>
    <col min="3" max="3" width="15.42578125" style="7" customWidth="1"/>
    <col min="4" max="4" width="13.7109375" style="7" customWidth="1"/>
    <col min="5" max="5" width="13.5703125" style="7" bestFit="1" customWidth="1"/>
    <col min="6" max="6" width="32.5703125" style="7" bestFit="1" customWidth="1"/>
    <col min="7" max="16384" width="9.140625" style="7"/>
  </cols>
  <sheetData>
    <row r="1" spans="1:6" ht="23.25" customHeight="1" x14ac:dyDescent="0.25">
      <c r="A1" s="285" t="s">
        <v>121</v>
      </c>
      <c r="B1" s="285"/>
      <c r="C1" s="285"/>
      <c r="D1" s="285"/>
      <c r="E1" s="285"/>
      <c r="F1" s="285"/>
    </row>
    <row r="3" spans="1:6" ht="15" customHeight="1" thickBot="1" x14ac:dyDescent="0.3">
      <c r="A3" s="293" t="s">
        <v>11</v>
      </c>
      <c r="B3" s="294"/>
      <c r="C3" s="294"/>
      <c r="D3" s="294"/>
      <c r="E3" s="294"/>
      <c r="F3" s="295"/>
    </row>
    <row r="4" spans="1:6" ht="13.5" customHeight="1" thickTop="1" x14ac:dyDescent="0.25">
      <c r="A4" s="296" t="s">
        <v>116</v>
      </c>
      <c r="B4" s="297"/>
      <c r="C4" s="298"/>
      <c r="D4" s="296" t="s">
        <v>12</v>
      </c>
      <c r="E4" s="298"/>
      <c r="F4" s="59" t="s">
        <v>681</v>
      </c>
    </row>
    <row r="5" spans="1:6" ht="13.5" customHeight="1" x14ac:dyDescent="0.25">
      <c r="A5" s="271" t="s">
        <v>117</v>
      </c>
      <c r="B5" s="272"/>
      <c r="C5" s="273"/>
      <c r="D5" s="271" t="s">
        <v>13</v>
      </c>
      <c r="E5" s="273"/>
      <c r="F5" s="60" t="s">
        <v>122</v>
      </c>
    </row>
    <row r="7" spans="1:6" ht="15" customHeight="1" thickBot="1" x14ac:dyDescent="0.3">
      <c r="A7" s="268" t="s">
        <v>14</v>
      </c>
      <c r="B7" s="268"/>
      <c r="C7" s="268"/>
      <c r="D7" s="268"/>
      <c r="E7" s="268"/>
      <c r="F7" s="268"/>
    </row>
    <row r="8" spans="1:6" ht="13.5" customHeight="1" thickTop="1" x14ac:dyDescent="0.25">
      <c r="A8" s="296" t="s">
        <v>458</v>
      </c>
      <c r="B8" s="297"/>
      <c r="C8" s="297"/>
      <c r="D8" s="297"/>
      <c r="E8" s="297"/>
      <c r="F8" s="298"/>
    </row>
    <row r="9" spans="1:6" ht="13.5" customHeight="1" x14ac:dyDescent="0.25">
      <c r="A9" s="60" t="s">
        <v>699</v>
      </c>
      <c r="B9" s="270" t="s">
        <v>459</v>
      </c>
      <c r="C9" s="270"/>
      <c r="D9" s="270"/>
      <c r="E9" s="271" t="s">
        <v>989</v>
      </c>
      <c r="F9" s="273"/>
    </row>
    <row r="11" spans="1:6" s="6" customFormat="1" ht="13.5" customHeight="1" x14ac:dyDescent="0.25">
      <c r="A11" s="301" t="s">
        <v>0</v>
      </c>
      <c r="B11" s="302"/>
      <c r="C11" s="22" t="s">
        <v>3</v>
      </c>
      <c r="D11" s="22" t="s">
        <v>2</v>
      </c>
      <c r="E11" s="22" t="s">
        <v>1</v>
      </c>
      <c r="F11" s="22" t="s">
        <v>4</v>
      </c>
    </row>
    <row r="12" spans="1:6" ht="13.5" customHeight="1" x14ac:dyDescent="0.2">
      <c r="A12" s="299"/>
      <c r="B12" s="300"/>
      <c r="C12" s="101"/>
      <c r="D12" s="103"/>
      <c r="E12" s="11"/>
      <c r="F12" s="109"/>
    </row>
    <row r="13" spans="1:6" ht="13.5" customHeight="1" x14ac:dyDescent="0.2">
      <c r="A13" s="299"/>
      <c r="B13" s="300"/>
      <c r="C13" s="101"/>
      <c r="D13" s="103"/>
      <c r="E13" s="11"/>
      <c r="F13" s="109"/>
    </row>
    <row r="14" spans="1:6" ht="13.5" customHeight="1" x14ac:dyDescent="0.2">
      <c r="A14" s="299"/>
      <c r="B14" s="300"/>
      <c r="C14" s="101"/>
      <c r="D14" s="103"/>
      <c r="E14" s="11"/>
      <c r="F14" s="109"/>
    </row>
    <row r="15" spans="1:6" ht="13.5" customHeight="1" x14ac:dyDescent="0.2">
      <c r="A15" s="299"/>
      <c r="B15" s="300"/>
      <c r="C15" s="101"/>
      <c r="D15" s="103"/>
      <c r="E15" s="11"/>
      <c r="F15" s="109"/>
    </row>
    <row r="16" spans="1:6" ht="13.5" customHeight="1" x14ac:dyDescent="0.2">
      <c r="A16" s="299"/>
      <c r="B16" s="300"/>
      <c r="C16" s="101"/>
      <c r="D16" s="103"/>
      <c r="E16" s="11"/>
      <c r="F16" s="109"/>
    </row>
    <row r="17" spans="1:9" ht="13.5" customHeight="1" x14ac:dyDescent="0.2">
      <c r="A17" s="299"/>
      <c r="B17" s="300"/>
      <c r="C17" s="101"/>
      <c r="D17" s="103"/>
      <c r="E17" s="11"/>
      <c r="F17" s="109">
        <f t="shared" ref="F17" si="0">D17/30*C17*E17</f>
        <v>0</v>
      </c>
    </row>
    <row r="18" spans="1:9" ht="13.5" customHeight="1" x14ac:dyDescent="0.25">
      <c r="A18" s="271" t="s">
        <v>181</v>
      </c>
      <c r="B18" s="273"/>
      <c r="C18" s="58">
        <f>SUM(C12:C17)</f>
        <v>0</v>
      </c>
      <c r="D18" s="57"/>
      <c r="E18" s="57"/>
      <c r="F18" s="73">
        <f>SUM(F12:F17)</f>
        <v>0</v>
      </c>
    </row>
    <row r="19" spans="1:9" ht="13.5" customHeight="1" x14ac:dyDescent="0.25">
      <c r="A19" s="105"/>
      <c r="B19" s="105"/>
      <c r="C19" s="105"/>
      <c r="D19" s="106"/>
      <c r="E19" s="107"/>
      <c r="F19" s="108"/>
    </row>
    <row r="21" spans="1:9" ht="13.5" customHeight="1" x14ac:dyDescent="0.25">
      <c r="A21" s="289" t="s">
        <v>124</v>
      </c>
      <c r="B21" s="289"/>
      <c r="C21" s="289"/>
      <c r="D21" s="289"/>
      <c r="E21" s="289"/>
      <c r="F21" s="289"/>
      <c r="G21" s="74"/>
      <c r="H21" s="74"/>
      <c r="I21" s="74"/>
    </row>
    <row r="23" spans="1:9" ht="13.5" customHeight="1" x14ac:dyDescent="0.2">
      <c r="A23" s="27" t="s">
        <v>125</v>
      </c>
      <c r="B23" s="27"/>
      <c r="F23" s="110"/>
      <c r="G23" s="10"/>
      <c r="I23" s="111"/>
    </row>
    <row r="24" spans="1:9" ht="60" customHeight="1" x14ac:dyDescent="0.25">
      <c r="A24" s="291"/>
      <c r="B24" s="275"/>
      <c r="C24" s="292"/>
      <c r="D24" s="290"/>
      <c r="E24" s="290"/>
      <c r="F24" s="290"/>
    </row>
    <row r="25" spans="1:9" ht="13.5" customHeight="1" x14ac:dyDescent="0.25">
      <c r="A25" s="274" t="s">
        <v>126</v>
      </c>
      <c r="B25" s="274"/>
      <c r="C25" s="274"/>
      <c r="D25" s="75"/>
      <c r="E25" s="75" t="s">
        <v>127</v>
      </c>
      <c r="F25" s="75"/>
      <c r="G25" s="27"/>
      <c r="H25" s="27"/>
      <c r="I25" s="27"/>
    </row>
    <row r="36" spans="8:9" ht="13.5" customHeight="1" x14ac:dyDescent="0.25">
      <c r="I36" s="7">
        <f>SUM(I27:I35)</f>
        <v>0</v>
      </c>
    </row>
    <row r="38" spans="8:9" ht="13.5" customHeight="1" x14ac:dyDescent="0.25">
      <c r="H38" s="7">
        <f>H20+H25+H36</f>
        <v>0</v>
      </c>
      <c r="I38" s="7">
        <f>I20+I25+I36</f>
        <v>0</v>
      </c>
    </row>
  </sheetData>
  <mergeCells count="22">
    <mergeCell ref="A21:F21"/>
    <mergeCell ref="A24:C24"/>
    <mergeCell ref="D24:F24"/>
    <mergeCell ref="A25:C25"/>
    <mergeCell ref="A13:B13"/>
    <mergeCell ref="A14:B14"/>
    <mergeCell ref="A15:B15"/>
    <mergeCell ref="A16:B16"/>
    <mergeCell ref="A17:B17"/>
    <mergeCell ref="A18:B18"/>
    <mergeCell ref="A12:B12"/>
    <mergeCell ref="A1:F1"/>
    <mergeCell ref="A3:F3"/>
    <mergeCell ref="A4:C4"/>
    <mergeCell ref="D4:E4"/>
    <mergeCell ref="A5:C5"/>
    <mergeCell ref="D5:E5"/>
    <mergeCell ref="A7:F7"/>
    <mergeCell ref="A8:F8"/>
    <mergeCell ref="B9:D9"/>
    <mergeCell ref="E9:F9"/>
    <mergeCell ref="A11:B11"/>
  </mergeCells>
  <pageMargins left="0.27559055118110237" right="0.19685039370078741" top="0.27559055118110237" bottom="0.35433070866141736" header="0.23622047244094491" footer="0.15748031496062992"/>
  <pageSetup paperSize="9" scale="80" orientation="portrait" r:id="rId1"/>
  <headerFooter alignWithMargins="0">
    <oddFooter>&amp;L&amp;F/&amp;A&amp;C&amp;D&amp;R&amp;P/&amp;N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46</vt:i4>
      </vt:variant>
      <vt:variant>
        <vt:lpstr>Intervalos Nomeados</vt:lpstr>
      </vt:variant>
      <vt:variant>
        <vt:i4>87</vt:i4>
      </vt:variant>
    </vt:vector>
  </HeadingPairs>
  <TitlesOfParts>
    <vt:vector size="133" baseType="lpstr">
      <vt:lpstr>Modelo Med</vt:lpstr>
      <vt:lpstr>ARSAL Med</vt:lpstr>
      <vt:lpstr>ARSAL Dem </vt:lpstr>
      <vt:lpstr>CGM Med</vt:lpstr>
      <vt:lpstr>CGM Dem</vt:lpstr>
      <vt:lpstr>FCM Med</vt:lpstr>
      <vt:lpstr>FCM Dem</vt:lpstr>
      <vt:lpstr>FGM Med</vt:lpstr>
      <vt:lpstr>FGM Dem </vt:lpstr>
      <vt:lpstr>FMLF Med</vt:lpstr>
      <vt:lpstr>FMLF Dem </vt:lpstr>
      <vt:lpstr>GCM Med</vt:lpstr>
      <vt:lpstr>GCM Dem</vt:lpstr>
      <vt:lpstr>PGMS Med</vt:lpstr>
      <vt:lpstr>PGMS Dem</vt:lpstr>
      <vt:lpstr>SECOM Med</vt:lpstr>
      <vt:lpstr>SECOM Dem</vt:lpstr>
      <vt:lpstr>SECULT Med</vt:lpstr>
      <vt:lpstr>SECULT Dem</vt:lpstr>
      <vt:lpstr>SEDUR Med</vt:lpstr>
      <vt:lpstr>SEDUR Dem</vt:lpstr>
      <vt:lpstr>SEFAZ Med</vt:lpstr>
      <vt:lpstr>SEFAZ Dem</vt:lpstr>
      <vt:lpstr>SEGOV Med</vt:lpstr>
      <vt:lpstr>SEGOV Dem</vt:lpstr>
      <vt:lpstr> SEINFRA Med</vt:lpstr>
      <vt:lpstr>SEINFRA Dem </vt:lpstr>
      <vt:lpstr>SEMAN Med</vt:lpstr>
      <vt:lpstr>SEMAN Dem</vt:lpstr>
      <vt:lpstr>SEMDEC Med</vt:lpstr>
      <vt:lpstr>SEMDEC Dem</vt:lpstr>
      <vt:lpstr>SEMGE Med</vt:lpstr>
      <vt:lpstr>SEMGE Dem </vt:lpstr>
      <vt:lpstr>SEMOB Med</vt:lpstr>
      <vt:lpstr>SEMOB Dem</vt:lpstr>
      <vt:lpstr>SEMOP Med</vt:lpstr>
      <vt:lpstr>SEMOP Dem </vt:lpstr>
      <vt:lpstr>SEMUR Med</vt:lpstr>
      <vt:lpstr>SEMUR Dem</vt:lpstr>
      <vt:lpstr>SPMJ Med</vt:lpstr>
      <vt:lpstr>SPMJ Dem </vt:lpstr>
      <vt:lpstr>TRANSALVADOR Med</vt:lpstr>
      <vt:lpstr>TRANSALVADOR Dem</vt:lpstr>
      <vt:lpstr>Consolidado</vt:lpstr>
      <vt:lpstr>Plan2</vt:lpstr>
      <vt:lpstr>Plan3</vt:lpstr>
      <vt:lpstr>' SEINFRA Med'!Area_de_impressao</vt:lpstr>
      <vt:lpstr>'ARSAL Dem '!Area_de_impressao</vt:lpstr>
      <vt:lpstr>'ARSAL Med'!Area_de_impressao</vt:lpstr>
      <vt:lpstr>'CGM Dem'!Area_de_impressao</vt:lpstr>
      <vt:lpstr>'CGM Med'!Area_de_impressao</vt:lpstr>
      <vt:lpstr>Consolidado!Area_de_impressao</vt:lpstr>
      <vt:lpstr>'FCM Dem'!Area_de_impressao</vt:lpstr>
      <vt:lpstr>'FCM Med'!Area_de_impressao</vt:lpstr>
      <vt:lpstr>'FGM Dem '!Area_de_impressao</vt:lpstr>
      <vt:lpstr>'FGM Med'!Area_de_impressao</vt:lpstr>
      <vt:lpstr>'FMLF Dem '!Area_de_impressao</vt:lpstr>
      <vt:lpstr>'FMLF Med'!Area_de_impressao</vt:lpstr>
      <vt:lpstr>'GCM Dem'!Area_de_impressao</vt:lpstr>
      <vt:lpstr>'GCM Med'!Area_de_impressao</vt:lpstr>
      <vt:lpstr>'Modelo Med'!Area_de_impressao</vt:lpstr>
      <vt:lpstr>'PGMS Dem'!Area_de_impressao</vt:lpstr>
      <vt:lpstr>'PGMS Med'!Area_de_impressao</vt:lpstr>
      <vt:lpstr>'SECOM Dem'!Area_de_impressao</vt:lpstr>
      <vt:lpstr>'SECOM Med'!Area_de_impressao</vt:lpstr>
      <vt:lpstr>'SECULT Dem'!Area_de_impressao</vt:lpstr>
      <vt:lpstr>'SECULT Med'!Area_de_impressao</vt:lpstr>
      <vt:lpstr>'SEDUR Dem'!Area_de_impressao</vt:lpstr>
      <vt:lpstr>'SEDUR Med'!Area_de_impressao</vt:lpstr>
      <vt:lpstr>'SEFAZ Dem'!Area_de_impressao</vt:lpstr>
      <vt:lpstr>'SEFAZ Med'!Area_de_impressao</vt:lpstr>
      <vt:lpstr>'SEGOV Dem'!Area_de_impressao</vt:lpstr>
      <vt:lpstr>'SEGOV Med'!Area_de_impressao</vt:lpstr>
      <vt:lpstr>'SEINFRA Dem '!Area_de_impressao</vt:lpstr>
      <vt:lpstr>'SEMAN Dem'!Area_de_impressao</vt:lpstr>
      <vt:lpstr>'SEMAN Med'!Area_de_impressao</vt:lpstr>
      <vt:lpstr>'SEMDEC Dem'!Area_de_impressao</vt:lpstr>
      <vt:lpstr>'SEMDEC Med'!Area_de_impressao</vt:lpstr>
      <vt:lpstr>'SEMGE Dem '!Area_de_impressao</vt:lpstr>
      <vt:lpstr>'SEMGE Med'!Area_de_impressao</vt:lpstr>
      <vt:lpstr>'SEMOB Dem'!Area_de_impressao</vt:lpstr>
      <vt:lpstr>'SEMOB Med'!Area_de_impressao</vt:lpstr>
      <vt:lpstr>'SEMOP Dem '!Area_de_impressao</vt:lpstr>
      <vt:lpstr>'SEMOP Med'!Area_de_impressao</vt:lpstr>
      <vt:lpstr>'SEMUR Dem'!Area_de_impressao</vt:lpstr>
      <vt:lpstr>'SEMUR Med'!Area_de_impressao</vt:lpstr>
      <vt:lpstr>'SPMJ Dem '!Area_de_impressao</vt:lpstr>
      <vt:lpstr>'SPMJ Med'!Area_de_impressao</vt:lpstr>
      <vt:lpstr>'TRANSALVADOR Dem'!Area_de_impressao</vt:lpstr>
      <vt:lpstr>'TRANSALVADOR Med'!Area_de_impressao</vt:lpstr>
      <vt:lpstr>' SEINFRA Med'!Titulos_de_impressao</vt:lpstr>
      <vt:lpstr>'ARSAL Dem '!Titulos_de_impressao</vt:lpstr>
      <vt:lpstr>'ARSAL Med'!Titulos_de_impressao</vt:lpstr>
      <vt:lpstr>'CGM Dem'!Titulos_de_impressao</vt:lpstr>
      <vt:lpstr>'CGM Med'!Titulos_de_impressao</vt:lpstr>
      <vt:lpstr>'FCM Dem'!Titulos_de_impressao</vt:lpstr>
      <vt:lpstr>'FCM Med'!Titulos_de_impressao</vt:lpstr>
      <vt:lpstr>'FGM Dem '!Titulos_de_impressao</vt:lpstr>
      <vt:lpstr>'FGM Med'!Titulos_de_impressao</vt:lpstr>
      <vt:lpstr>'FMLF Dem '!Titulos_de_impressao</vt:lpstr>
      <vt:lpstr>'FMLF Med'!Titulos_de_impressao</vt:lpstr>
      <vt:lpstr>'GCM Dem'!Titulos_de_impressao</vt:lpstr>
      <vt:lpstr>'GCM Med'!Titulos_de_impressao</vt:lpstr>
      <vt:lpstr>'Modelo Med'!Titulos_de_impressao</vt:lpstr>
      <vt:lpstr>'PGMS Dem'!Titulos_de_impressao</vt:lpstr>
      <vt:lpstr>'PGMS Med'!Titulos_de_impressao</vt:lpstr>
      <vt:lpstr>'SECOM Dem'!Titulos_de_impressao</vt:lpstr>
      <vt:lpstr>'SECOM Med'!Titulos_de_impressao</vt:lpstr>
      <vt:lpstr>'SECULT Dem'!Titulos_de_impressao</vt:lpstr>
      <vt:lpstr>'SECULT Med'!Titulos_de_impressao</vt:lpstr>
      <vt:lpstr>'SEDUR Dem'!Titulos_de_impressao</vt:lpstr>
      <vt:lpstr>'SEDUR Med'!Titulos_de_impressao</vt:lpstr>
      <vt:lpstr>'SEFAZ Dem'!Titulos_de_impressao</vt:lpstr>
      <vt:lpstr>'SEFAZ Med'!Titulos_de_impressao</vt:lpstr>
      <vt:lpstr>'SEGOV Dem'!Titulos_de_impressao</vt:lpstr>
      <vt:lpstr>'SEGOV Med'!Titulos_de_impressao</vt:lpstr>
      <vt:lpstr>'SEINFRA Dem '!Titulos_de_impressao</vt:lpstr>
      <vt:lpstr>'SEMAN Dem'!Titulos_de_impressao</vt:lpstr>
      <vt:lpstr>'SEMAN Med'!Titulos_de_impressao</vt:lpstr>
      <vt:lpstr>'SEMDEC Dem'!Titulos_de_impressao</vt:lpstr>
      <vt:lpstr>'SEMDEC Med'!Titulos_de_impressao</vt:lpstr>
      <vt:lpstr>'SEMGE Dem '!Titulos_de_impressao</vt:lpstr>
      <vt:lpstr>'SEMGE Med'!Titulos_de_impressao</vt:lpstr>
      <vt:lpstr>'SEMOB Dem'!Titulos_de_impressao</vt:lpstr>
      <vt:lpstr>'SEMOB Med'!Titulos_de_impressao</vt:lpstr>
      <vt:lpstr>'SEMOP Dem '!Titulos_de_impressao</vt:lpstr>
      <vt:lpstr>'SEMOP Med'!Titulos_de_impressao</vt:lpstr>
      <vt:lpstr>'SEMUR Dem'!Titulos_de_impressao</vt:lpstr>
      <vt:lpstr>'SEMUR Med'!Titulos_de_impressao</vt:lpstr>
      <vt:lpstr>'SPMJ Dem '!Titulos_de_impressao</vt:lpstr>
      <vt:lpstr>'SPMJ Med'!Titulos_de_impressao</vt:lpstr>
      <vt:lpstr>'TRANSALVADOR Dem'!Titulos_de_impressao</vt:lpstr>
      <vt:lpstr>'TRANSALVADOR Med'!Titulos_de_impressao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Flavia</dc:creator>
  <cp:lastModifiedBy>Naiara Borges</cp:lastModifiedBy>
  <cp:lastPrinted>2025-01-31T17:41:43Z</cp:lastPrinted>
  <dcterms:created xsi:type="dcterms:W3CDTF">2024-08-14T17:52:58Z</dcterms:created>
  <dcterms:modified xsi:type="dcterms:W3CDTF">2025-02-03T17:30:18Z</dcterms:modified>
</cp:coreProperties>
</file>