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4ad7a8f770151824/03-academy/fatesg-3-per/gestao-projetos/em-andamento/"/>
    </mc:Choice>
  </mc:AlternateContent>
  <xr:revisionPtr revIDLastSave="141" documentId="13_ncr:1_{67AD00BF-8171-4C65-B580-6E805E3D342A}" xr6:coauthVersionLast="45" xr6:coauthVersionMax="45" xr10:uidLastSave="{9D8DCE27-184B-4481-8A8D-7C645B35BBF2}"/>
  <bookViews>
    <workbookView xWindow="2304" yWindow="2304" windowWidth="17280" windowHeight="8964" tabRatio="570" activeTab="1" xr2:uid="{00000000-000D-0000-FFFF-FFFF00000000}"/>
  </bookViews>
  <sheets>
    <sheet name="Contagem" sheetId="1" r:id="rId1"/>
    <sheet name="Funções" sheetId="2" r:id="rId2"/>
    <sheet name="Sumário" sheetId="3" r:id="rId3"/>
    <sheet name="Estimativas" sheetId="4" r:id="rId4"/>
    <sheet name="Produtividade Histórica" sheetId="5" r:id="rId5"/>
  </sheets>
  <definedNames>
    <definedName name="_xlnm.Print_Area" localSheetId="1">Funções!$A$1:$U$77</definedName>
    <definedName name="_xlnm.Print_Area" localSheetId="2">Sumário!$A$1:$L$59</definedName>
    <definedName name="CF">Funções!$L$8:$L$77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_xlnm.Print_Titles" localSheetId="1">Funções!$1:$7</definedName>
    <definedName name="UFPB">Contagem!$Y$11</definedName>
    <definedName name="VAF">#REF!</definedName>
    <definedName name="VAFA">#REF!</definedName>
    <definedName name="VAF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N41" i="2" l="1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P18" i="2"/>
  <c r="B10" i="4" l="1"/>
  <c r="B12" i="4"/>
  <c r="F6" i="2"/>
  <c r="M42" i="2"/>
  <c r="L42" i="2" s="1"/>
  <c r="M23" i="2"/>
  <c r="M15" i="2"/>
  <c r="L15" i="2" s="1"/>
  <c r="M14" i="2"/>
  <c r="L14" i="2" s="1"/>
  <c r="M13" i="2"/>
  <c r="N13" i="2" s="1"/>
  <c r="M12" i="2"/>
  <c r="N12" i="2" s="1"/>
  <c r="M11" i="2"/>
  <c r="L11" i="2" s="1"/>
  <c r="M10" i="2"/>
  <c r="O10" i="2" s="1"/>
  <c r="P10" i="2" s="1"/>
  <c r="M9" i="2"/>
  <c r="O9" i="2" s="1"/>
  <c r="M8" i="2"/>
  <c r="O8" i="2" s="1"/>
  <c r="M41" i="2"/>
  <c r="L41" i="2" s="1"/>
  <c r="M40" i="2"/>
  <c r="M39" i="2"/>
  <c r="M37" i="2"/>
  <c r="M38" i="2"/>
  <c r="M36" i="2"/>
  <c r="M17" i="2"/>
  <c r="L17" i="2" s="1"/>
  <c r="M35" i="2"/>
  <c r="M34" i="2"/>
  <c r="M33" i="2"/>
  <c r="M32" i="2"/>
  <c r="M31" i="2"/>
  <c r="M30" i="2"/>
  <c r="M25" i="2"/>
  <c r="M20" i="2"/>
  <c r="M29" i="2"/>
  <c r="M28" i="2"/>
  <c r="M27" i="2"/>
  <c r="M26" i="2"/>
  <c r="M24" i="2"/>
  <c r="M22" i="2"/>
  <c r="M19" i="2"/>
  <c r="M21" i="2"/>
  <c r="M18" i="2"/>
  <c r="L18" i="2" s="1"/>
  <c r="M16" i="2"/>
  <c r="N16" i="2" s="1"/>
  <c r="E58" i="3"/>
  <c r="G58" i="3" s="1"/>
  <c r="E57" i="3"/>
  <c r="S12" i="1" s="1"/>
  <c r="Y12" i="1" s="1"/>
  <c r="E56" i="3"/>
  <c r="S11" i="1" s="1"/>
  <c r="Y11" i="1" s="1"/>
  <c r="A4" i="2"/>
  <c r="H4" i="2"/>
  <c r="A5" i="2"/>
  <c r="H5" i="2"/>
  <c r="A6" i="2"/>
  <c r="F58" i="3"/>
  <c r="F57" i="3"/>
  <c r="F56" i="3"/>
  <c r="F55" i="3"/>
  <c r="A4" i="3"/>
  <c r="F4" i="3"/>
  <c r="A5" i="3"/>
  <c r="F5" i="3"/>
  <c r="A6" i="3"/>
  <c r="F6" i="3"/>
  <c r="O40" i="2" l="1"/>
  <c r="P40" i="2" s="1"/>
  <c r="N40" i="2"/>
  <c r="L39" i="2"/>
  <c r="N39" i="2"/>
  <c r="O39" i="2"/>
  <c r="P39" i="2" s="1"/>
  <c r="L38" i="2"/>
  <c r="O38" i="2"/>
  <c r="P38" i="2" s="1"/>
  <c r="N38" i="2"/>
  <c r="N37" i="2"/>
  <c r="O37" i="2"/>
  <c r="P37" i="2" s="1"/>
  <c r="O36" i="2"/>
  <c r="P36" i="2" s="1"/>
  <c r="N36" i="2"/>
  <c r="L35" i="2"/>
  <c r="O35" i="2"/>
  <c r="P35" i="2" s="1"/>
  <c r="N35" i="2"/>
  <c r="N34" i="2"/>
  <c r="O34" i="2"/>
  <c r="P34" i="2" s="1"/>
  <c r="O33" i="2"/>
  <c r="P33" i="2" s="1"/>
  <c r="N33" i="2"/>
  <c r="L32" i="2"/>
  <c r="N32" i="2"/>
  <c r="O32" i="2"/>
  <c r="P32" i="2" s="1"/>
  <c r="L31" i="2"/>
  <c r="N31" i="2"/>
  <c r="O31" i="2"/>
  <c r="P31" i="2" s="1"/>
  <c r="L30" i="2"/>
  <c r="O30" i="2"/>
  <c r="P30" i="2" s="1"/>
  <c r="N30" i="2"/>
  <c r="L29" i="2"/>
  <c r="O29" i="2"/>
  <c r="P29" i="2" s="1"/>
  <c r="N29" i="2"/>
  <c r="L28" i="2"/>
  <c r="O28" i="2"/>
  <c r="P28" i="2" s="1"/>
  <c r="N28" i="2"/>
  <c r="O27" i="2"/>
  <c r="P27" i="2" s="1"/>
  <c r="N27" i="2"/>
  <c r="L26" i="2"/>
  <c r="O26" i="2"/>
  <c r="P26" i="2" s="1"/>
  <c r="N26" i="2"/>
  <c r="L25" i="2"/>
  <c r="O25" i="2"/>
  <c r="P25" i="2" s="1"/>
  <c r="N25" i="2"/>
  <c r="L24" i="2"/>
  <c r="N24" i="2"/>
  <c r="O24" i="2"/>
  <c r="P24" i="2" s="1"/>
  <c r="O23" i="2"/>
  <c r="P23" i="2" s="1"/>
  <c r="N23" i="2"/>
  <c r="O22" i="2"/>
  <c r="P22" i="2" s="1"/>
  <c r="N22" i="2"/>
  <c r="N21" i="2"/>
  <c r="O21" i="2"/>
  <c r="P21" i="2" s="1"/>
  <c r="L20" i="2"/>
  <c r="O20" i="2"/>
  <c r="P20" i="2" s="1"/>
  <c r="N20" i="2"/>
  <c r="N19" i="2"/>
  <c r="O19" i="2"/>
  <c r="P19" i="2" s="1"/>
  <c r="O18" i="2"/>
  <c r="O17" i="2"/>
  <c r="P17" i="2" s="1"/>
  <c r="O16" i="2"/>
  <c r="P16" i="2" s="1"/>
  <c r="O15" i="2"/>
  <c r="P15" i="2" s="1"/>
  <c r="O14" i="2"/>
  <c r="P14" i="2" s="1"/>
  <c r="N14" i="2"/>
  <c r="O13" i="2"/>
  <c r="P13" i="2" s="1"/>
  <c r="O12" i="2"/>
  <c r="P12" i="2" s="1"/>
  <c r="O11" i="2"/>
  <c r="P11" i="2" s="1"/>
  <c r="L23" i="2"/>
  <c r="L13" i="2"/>
  <c r="L33" i="2"/>
  <c r="N18" i="2"/>
  <c r="L27" i="2"/>
  <c r="L34" i="2"/>
  <c r="N11" i="2"/>
  <c r="N15" i="2"/>
  <c r="L19" i="2"/>
  <c r="L36" i="2"/>
  <c r="L10" i="2"/>
  <c r="N17" i="2"/>
  <c r="L16" i="2"/>
  <c r="L40" i="2"/>
  <c r="L37" i="2"/>
  <c r="L12" i="2"/>
  <c r="L22" i="2"/>
  <c r="L21" i="2"/>
  <c r="N10" i="2"/>
  <c r="L9" i="2"/>
  <c r="N9" i="2"/>
  <c r="L8" i="2"/>
  <c r="G56" i="3"/>
  <c r="N8" i="2"/>
  <c r="S13" i="1"/>
  <c r="Y13" i="1" s="1"/>
  <c r="G57" i="3"/>
  <c r="E55" i="3" l="1"/>
  <c r="G55" i="3" s="1"/>
  <c r="C33" i="3"/>
  <c r="G33" i="3" s="1"/>
  <c r="C11" i="3"/>
  <c r="G11" i="3" s="1"/>
  <c r="C31" i="3"/>
  <c r="G31" i="3" s="1"/>
  <c r="C24" i="3"/>
  <c r="G24" i="3" s="1"/>
  <c r="C10" i="3"/>
  <c r="G10" i="3" s="1"/>
  <c r="C18" i="3"/>
  <c r="G18" i="3" s="1"/>
  <c r="C12" i="3"/>
  <c r="G12" i="3" s="1"/>
  <c r="C32" i="3"/>
  <c r="G32" i="3" s="1"/>
  <c r="C19" i="3"/>
  <c r="G19" i="3" s="1"/>
  <c r="C38" i="3"/>
  <c r="G38" i="3" s="1"/>
  <c r="C17" i="3"/>
  <c r="G17" i="3" s="1"/>
  <c r="C25" i="3"/>
  <c r="G25" i="3" s="1"/>
  <c r="C40" i="3"/>
  <c r="G40" i="3" s="1"/>
  <c r="C39" i="3"/>
  <c r="G39" i="3" s="1"/>
  <c r="C26" i="3"/>
  <c r="G26" i="3" s="1"/>
  <c r="S10" i="1" l="1"/>
  <c r="G35" i="3"/>
  <c r="C35" i="3"/>
  <c r="G21" i="3"/>
  <c r="C14" i="3"/>
  <c r="G14" i="3"/>
  <c r="C21" i="3"/>
  <c r="C42" i="3"/>
  <c r="G42" i="3"/>
  <c r="G28" i="3"/>
  <c r="G47" i="3"/>
  <c r="G46" i="3"/>
  <c r="C28" i="3"/>
  <c r="Y10" i="1" l="1"/>
  <c r="W5" i="1" s="1"/>
  <c r="W4" i="1" s="1"/>
  <c r="I6" i="2" s="1"/>
  <c r="G45" i="3"/>
  <c r="I14" i="3" s="1"/>
  <c r="B3" i="4" l="1"/>
  <c r="B29" i="4" s="1"/>
  <c r="K56" i="3"/>
  <c r="O6" i="2"/>
  <c r="K6" i="3"/>
  <c r="H6" i="3"/>
  <c r="I28" i="3"/>
  <c r="I35" i="3"/>
  <c r="I21" i="3"/>
  <c r="I42" i="3"/>
  <c r="B31" i="4" l="1"/>
  <c r="B11" i="4"/>
  <c r="B22" i="4" s="1"/>
  <c r="B28" i="4"/>
  <c r="B33" i="4"/>
  <c r="B30" i="4"/>
  <c r="B16" i="4" l="1"/>
  <c r="B25" i="4"/>
  <c r="B18" i="4"/>
  <c r="B24" i="4"/>
  <c r="B19" i="4"/>
  <c r="D11" i="4"/>
  <c r="B17" i="4"/>
  <c r="B2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5" authorId="0" shapeId="0" xr:uid="{00000000-0006-0000-0000-000001000000}">
      <text>
        <r>
          <rPr>
            <sz val="8"/>
            <color indexed="8"/>
            <rFont val="Times New Roman"/>
            <family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</author>
    <author>Alexandre Luiz Boruschenko Moro</author>
  </authors>
  <commentList>
    <comment ref="A7" authorId="0" shapeId="0" xr:uid="{00000000-0006-0000-0100-000001000000}">
      <text>
        <r>
          <rPr>
            <sz val="8"/>
            <color indexed="8"/>
            <rFont val="Times New Roman"/>
            <family val="1"/>
          </rPr>
          <t>O processo é a menor unidade de atividade significativa para o usuário?
É auto-contido e deixa o negócio da aplicação em um estado consistente?</t>
        </r>
      </text>
    </comment>
    <comment ref="H7" authorId="0" shapeId="0" xr:uid="{00000000-0006-0000-0100-000002000000}">
      <text>
        <r>
          <rPr>
            <sz val="8"/>
            <color indexed="8"/>
            <rFont val="Times New Roman"/>
            <family val="1"/>
          </rPr>
          <t>Tipo de Função:
ALI, AIE, EE, SE, CE</t>
        </r>
      </text>
    </comment>
    <comment ref="I7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Tipo de Manutenção na função: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 xml:space="preserve"> -Inclusão  </t>
        </r>
        <r>
          <rPr>
            <b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- Alteração  </t>
        </r>
        <r>
          <rPr>
            <b/>
            <sz val="8"/>
            <color indexed="81"/>
            <rFont val="Tahoma"/>
            <family val="2"/>
          </rPr>
          <t>E</t>
        </r>
        <r>
          <rPr>
            <sz val="8"/>
            <color indexed="81"/>
            <rFont val="Tahoma"/>
            <family val="2"/>
          </rPr>
          <t xml:space="preserve"> - Exclusão</t>
        </r>
      </text>
    </comment>
    <comment ref="J7" authorId="0" shapeId="0" xr:uid="{00000000-0006-0000-0100-000004000000}">
      <text>
        <r>
          <rPr>
            <sz val="8"/>
            <color indexed="8"/>
            <rFont val="Times New Roman"/>
            <family val="1"/>
          </rPr>
          <t>Tipos de Dados (DETs)</t>
        </r>
      </text>
    </comment>
    <comment ref="K7" authorId="0" shapeId="0" xr:uid="{00000000-0006-0000-0100-000005000000}">
      <text>
        <r>
          <rPr>
            <sz val="8"/>
            <color indexed="8"/>
            <rFont val="Times New Roman"/>
            <family val="1"/>
          </rPr>
          <t>Arquivos Referenciados/ Tipos de Registro</t>
        </r>
      </text>
    </comment>
    <comment ref="F75" authorId="2" shapeId="0" xr:uid="{00000000-0006-0000-0100-000006000000}">
      <text>
        <r>
          <rPr>
            <b/>
            <sz val="9"/>
            <color indexed="81"/>
            <rFont val="Tahoma"/>
            <family val="2"/>
          </rPr>
          <t>Alexandre Luiz Boruschenko Moro:</t>
        </r>
        <r>
          <rPr>
            <sz val="9"/>
            <color indexed="81"/>
            <rFont val="Tahoma"/>
            <family val="2"/>
          </rPr>
          <t xml:space="preserve">
Duplicado com incluir / popular tela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200-000001000000}">
      <text>
        <r>
          <rPr>
            <sz val="8"/>
            <color indexed="8"/>
            <rFont val="Times New Roman"/>
            <family val="1"/>
          </rPr>
          <t>Entrada Externa</t>
        </r>
      </text>
    </comment>
    <comment ref="B17" authorId="0" shapeId="0" xr:uid="{00000000-0006-0000-0200-000002000000}">
      <text>
        <r>
          <rPr>
            <sz val="8"/>
            <color indexed="8"/>
            <rFont val="Times New Roman"/>
            <family val="1"/>
          </rPr>
          <t>Saída Externa</t>
        </r>
      </text>
    </comment>
    <comment ref="B24" authorId="0" shapeId="0" xr:uid="{00000000-0006-0000-0200-000003000000}">
      <text>
        <r>
          <rPr>
            <sz val="8"/>
            <color indexed="8"/>
            <rFont val="Times New Roman"/>
            <family val="1"/>
          </rPr>
          <t>Consulta Externa</t>
        </r>
      </text>
    </comment>
    <comment ref="B31" authorId="0" shapeId="0" xr:uid="{00000000-0006-0000-0200-000004000000}">
      <text>
        <r>
          <rPr>
            <sz val="8"/>
            <color indexed="8"/>
            <rFont val="Times New Roman"/>
            <family val="1"/>
          </rPr>
          <t>Arquivo Lógico Interno</t>
        </r>
      </text>
    </comment>
    <comment ref="B38" authorId="0" shapeId="0" xr:uid="{00000000-0006-0000-0200-000005000000}">
      <text>
        <r>
          <rPr>
            <sz val="8"/>
            <color indexed="8"/>
            <rFont val="Times New Roman"/>
            <family val="1"/>
          </rPr>
          <t>Arquivo de Interface Externa</t>
        </r>
      </text>
    </comment>
    <comment ref="B46" authorId="0" shapeId="0" xr:uid="{00000000-0006-0000-0200-000006000000}">
      <text>
        <r>
          <rPr>
            <sz val="8"/>
            <color indexed="8"/>
            <rFont val="Times New Roman"/>
            <family val="1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 xr:uid="{00000000-0006-0000-0200-000007000000}">
      <text>
        <r>
          <rPr>
            <sz val="8"/>
            <color indexed="8"/>
            <rFont val="Times New Roman"/>
            <family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<sst xmlns="http://schemas.openxmlformats.org/spreadsheetml/2006/main" count="301" uniqueCount="159">
  <si>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</si>
  <si>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</si>
  <si>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</si>
  <si>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</si>
  <si>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</si>
  <si>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</si>
  <si>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</si>
  <si>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</si>
  <si>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</si>
  <si>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</si>
  <si>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</si>
  <si>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</si>
  <si>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</si>
  <si>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</si>
  <si>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Deflator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</si>
  <si>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</si>
  <si>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</si>
  <si>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</si>
  <si>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</si>
  <si>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</si>
  <si>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</si>
  <si>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</si>
  <si>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</si>
  <si>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>Tipo</t>
  </si>
  <si>
    <t>TD</t>
  </si>
  <si>
    <t>AR/TR</t>
  </si>
  <si>
    <t>ctl</t>
  </si>
  <si>
    <t>C</t>
  </si>
  <si>
    <t>Complex.</t>
  </si>
  <si>
    <t>Observações</t>
  </si>
  <si>
    <t>Sumário da Contagem</t>
  </si>
  <si>
    <t>Tipo de Função</t>
  </si>
  <si>
    <t>Complexidade Funcional</t>
  </si>
  <si>
    <t>Total por Complexidade</t>
  </si>
  <si>
    <t xml:space="preserve">% </t>
  </si>
  <si>
    <t>EE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</si>
  <si>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</si>
  <si>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</si>
  <si>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</si>
  <si>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</si>
  <si>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</si>
  <si>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</si>
  <si>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</si>
  <si>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</si>
  <si>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</si>
  <si>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</si>
  <si>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</si>
  <si>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ALI</t>
  </si>
  <si>
    <t>x 10</t>
  </si>
  <si>
    <t>x 15</t>
  </si>
  <si>
    <t>AIE</t>
  </si>
  <si>
    <t>DFL</t>
  </si>
  <si>
    <t>INCLUSÃO (ADD)</t>
  </si>
  <si>
    <t>TOTAL</t>
  </si>
  <si>
    <t>ALTERAÇÃO (CHG)</t>
  </si>
  <si>
    <t>EXCLUSÃO (DEL)</t>
  </si>
  <si>
    <t>TESTE (TST)</t>
  </si>
  <si>
    <t>PF Local</t>
  </si>
  <si>
    <t>Total de PF Local</t>
  </si>
  <si>
    <t xml:space="preserve"> Planilha de contagem de ponto de função - Versão 2.0</t>
  </si>
  <si>
    <t>Tamanho Funcional (PF)</t>
  </si>
  <si>
    <t>Total PF (contagem detalhada)</t>
  </si>
  <si>
    <t>Total PF (contagem estimativa)</t>
  </si>
  <si>
    <t>Total PF (contagem indicativa)</t>
  </si>
  <si>
    <t>PF LOCAL</t>
  </si>
  <si>
    <t>(I/A/E)</t>
  </si>
  <si>
    <t>Função</t>
  </si>
  <si>
    <t>I</t>
  </si>
  <si>
    <t>X</t>
  </si>
  <si>
    <t>UC</t>
  </si>
  <si>
    <t>Total horas</t>
  </si>
  <si>
    <t>ESFORÇO POR ATIVIDADE (h)</t>
  </si>
  <si>
    <t>Análise de Requisitos (20%)</t>
  </si>
  <si>
    <t>Análise e Projeto (30%)</t>
  </si>
  <si>
    <t>Implementação e Testes (40%)</t>
  </si>
  <si>
    <t>Disponibilização (10%)</t>
  </si>
  <si>
    <t>Esforço/pessoas no prazo desejado</t>
  </si>
  <si>
    <t>PF/hora</t>
  </si>
  <si>
    <t>ESFORÇO POR ATIVIDADE / MÊS (h)</t>
  </si>
  <si>
    <t>ESFORÇO POR ATIVIDADE / MÊS (PF)</t>
  </si>
  <si>
    <t>Prazo almejado (meses)</t>
  </si>
  <si>
    <t>Indicativa</t>
  </si>
  <si>
    <t>REF.</t>
  </si>
  <si>
    <t>EXEMPLO DE GESTÃO DE PRODUTOS</t>
  </si>
  <si>
    <t>HEUBER LIMA</t>
  </si>
  <si>
    <t>Horas / Homem-mês</t>
  </si>
  <si>
    <t>ESTIMATIVA COM BASE NO HISTÓRICO DE PROJETOS</t>
  </si>
  <si>
    <t xml:space="preserve">PRAZO MÁXIMO MESES </t>
  </si>
  <si>
    <t>FATESG - ADS</t>
  </si>
  <si>
    <t>GESTÃO DE PROJETOS ADS</t>
  </si>
  <si>
    <t>Somente requisitos exemplificados na documentação</t>
  </si>
  <si>
    <t>Levantamento do esforço de desenvolvimento para o módulo de vendas do exemplo da documentação</t>
  </si>
  <si>
    <t>Plataforma de Desenvolvimento</t>
  </si>
  <si>
    <t>HH/PF</t>
  </si>
  <si>
    <t>ACCESS</t>
  </si>
  <si>
    <t>ASP</t>
  </si>
  <si>
    <t>ASP.NET</t>
  </si>
  <si>
    <t>C#</t>
  </si>
  <si>
    <t>C++</t>
  </si>
  <si>
    <t>DELPHI</t>
  </si>
  <si>
    <t>.NET / Reporting Services</t>
  </si>
  <si>
    <t>HTML</t>
  </si>
  <si>
    <t>Java</t>
  </si>
  <si>
    <t>Javascript</t>
  </si>
  <si>
    <t>Mobile</t>
  </si>
  <si>
    <t>PHP</t>
  </si>
  <si>
    <t>PL/SQL</t>
  </si>
  <si>
    <t>PROJETOS DE GIS</t>
  </si>
  <si>
    <t>PROJETOS DE WORKFLOW</t>
  </si>
  <si>
    <t>UNIX SHELL SCRIPTS</t>
  </si>
  <si>
    <t>VB-SCRIPT</t>
  </si>
  <si>
    <t>VISUAL BASIC / Crystal Reports</t>
  </si>
  <si>
    <t>VISUAL C++</t>
  </si>
  <si>
    <t>WEBSERVICE</t>
  </si>
  <si>
    <t>C# - MVVM</t>
  </si>
  <si>
    <t>Mobile-C#-Integração</t>
  </si>
  <si>
    <t>Mobile-AutoTrac</t>
  </si>
  <si>
    <t>Mobile-GIS</t>
  </si>
  <si>
    <t>C# - MVVM – GIS</t>
  </si>
  <si>
    <t>Serviços de Integração</t>
  </si>
  <si>
    <t>??</t>
  </si>
  <si>
    <t>Tecnologia</t>
  </si>
  <si>
    <t xml:space="preserve">OCORRENCIAS </t>
  </si>
  <si>
    <t>CATEGORIAS</t>
  </si>
  <si>
    <t>PESSOAS</t>
  </si>
  <si>
    <t>CADASTRO USUÁRIO PELO APP CIDADAO</t>
  </si>
  <si>
    <t>LOGIN USUÁRIO PELO APP CIDADAO</t>
  </si>
  <si>
    <t>DB</t>
  </si>
  <si>
    <t>ESQUECI MINHA SENHA (LOGIN)</t>
  </si>
  <si>
    <t>REGISTRAR NOVA OCORRENCIA</t>
  </si>
  <si>
    <t>APP-CIDADAO</t>
  </si>
  <si>
    <t>LISTAR CATEGORIAS (REGISTRO DE OCORRENCIAS)</t>
  </si>
  <si>
    <t>LISTAR OCORRENCIAS</t>
  </si>
  <si>
    <t>CONSULTAR OCORRENCIA</t>
  </si>
  <si>
    <t>FECHAR OCORRENCIA PELO USUÁRIO</t>
  </si>
  <si>
    <t>ATUALIZAR USUÁRIO PELO APP CIDADAO</t>
  </si>
  <si>
    <t>CONSULTAR USUÁRIO PELA APP CIDADAO</t>
  </si>
  <si>
    <t>&lt;&lt;&lt;&lt;</t>
  </si>
  <si>
    <t>UTEIS</t>
  </si>
  <si>
    <t>CORRIDOS</t>
  </si>
  <si>
    <t>WEB-ADMIN</t>
  </si>
  <si>
    <t>CADASTRO USUÁRIO PELO WEB ADMIN</t>
  </si>
  <si>
    <t>LOGIN USUÁRIO PELO WEB ADMIN</t>
  </si>
  <si>
    <t>LISTAR PERFIS</t>
  </si>
  <si>
    <t>ATIVAR / DESATIVAR USUÁRIOS</t>
  </si>
  <si>
    <t>LISTAR POR PERFIL</t>
  </si>
  <si>
    <t>LISTAR POR ATIVO / INATIVO</t>
  </si>
  <si>
    <t>CADASTRAR FILAS (CATEGORIAS)</t>
  </si>
  <si>
    <t>CONSULTAR POR FILAS ATIVAS / INATIVAS</t>
  </si>
  <si>
    <t>CONSULTAR USER POR NOME, CPF OU EMAIL</t>
  </si>
  <si>
    <t>CONSULTAR FILA POR CODIGO / CATEGORIA</t>
  </si>
  <si>
    <t>EDITAR VINCULO USER &lt;&gt; CATEGORIAS</t>
  </si>
  <si>
    <t>CARREGAR OCORRENCIAS</t>
  </si>
  <si>
    <t>ACESSAR MENSAGENS DAS OCORRENCIAS</t>
  </si>
  <si>
    <t>INCLUIR NOVA MENSAGEM</t>
  </si>
  <si>
    <t>APP-TECNICO</t>
  </si>
  <si>
    <t>LOGIN APP-TECNICO</t>
  </si>
  <si>
    <t>LISTAR OCORRENCIAS POR USER</t>
  </si>
  <si>
    <t>EDITAR OCORRENCIA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</si>
</sst>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3" x14ac:knownFonts="1">
    <font>
      <sz val="10"/>
      <name val="Arial"/>
    </font>
    <font>
      <sz val="10"/>
      <name val="Franklin Gothic Medium"/>
      <family val="2"/>
    </font>
    <font>
      <b/>
      <sz val="10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9"/>
      <color indexed="12"/>
      <name val="Franklin Gothic Medium"/>
      <family val="2"/>
    </font>
    <font>
      <b/>
      <sz val="9"/>
      <name val="Franklin Gothic Medium"/>
      <family val="2"/>
    </font>
    <font>
      <sz val="10"/>
      <color indexed="12"/>
      <name val="Franklin Gothic Medium"/>
      <family val="2"/>
    </font>
    <font>
      <b/>
      <sz val="12"/>
      <name val="Franklin Gothic Medium"/>
      <family val="2"/>
    </font>
    <font>
      <sz val="8"/>
      <color indexed="8"/>
      <name val="Times New Roman"/>
      <family val="1"/>
    </font>
    <font>
      <sz val="8"/>
      <name val="Franklin Gothic Medium"/>
      <family val="2"/>
    </font>
    <font>
      <sz val="9"/>
      <color indexed="9"/>
      <name val="Franklin Gothic Medium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Franklin Gothic Medium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FF0000"/>
      <name val="Franklin Gothic Medium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3"/>
        <bgColor indexed="26"/>
      </patternFill>
    </fill>
    <fill>
      <patternFill patternType="solid">
        <fgColor indexed="15"/>
        <bgColor indexed="35"/>
      </patternFill>
    </fill>
    <fill>
      <patternFill patternType="solid">
        <fgColor indexed="25"/>
        <bgColor indexed="6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F82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</borders>
  <cellStyleXfs count="4">
    <xf numFmtId="0" fontId="0" fillId="0" borderId="0"/>
    <xf numFmtId="164" fontId="14" fillId="0" borderId="0" applyFill="0" applyBorder="0" applyAlignment="0" applyProtection="0"/>
    <xf numFmtId="9" fontId="14" fillId="0" borderId="0" applyFill="0" applyBorder="0" applyAlignment="0" applyProtection="0"/>
    <xf numFmtId="165" fontId="14" fillId="0" borderId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6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7" fillId="0" borderId="0" xfId="0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7" fillId="0" borderId="0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4" fillId="0" borderId="0" xfId="0" applyFont="1" applyBorder="1"/>
    <xf numFmtId="0" fontId="4" fillId="0" borderId="11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166" fontId="4" fillId="0" borderId="0" xfId="2" applyNumberFormat="1" applyFont="1" applyFill="1" applyBorder="1" applyAlignment="1" applyProtection="1"/>
    <xf numFmtId="0" fontId="4" fillId="0" borderId="12" xfId="0" applyFont="1" applyBorder="1"/>
    <xf numFmtId="10" fontId="4" fillId="0" borderId="12" xfId="0" applyNumberFormat="1" applyFont="1" applyBorder="1"/>
    <xf numFmtId="0" fontId="6" fillId="0" borderId="0" xfId="0" applyFont="1" applyFill="1" applyBorder="1"/>
    <xf numFmtId="166" fontId="4" fillId="3" borderId="0" xfId="2" applyNumberFormat="1" applyFont="1" applyFill="1" applyBorder="1" applyAlignment="1" applyProtection="1"/>
    <xf numFmtId="9" fontId="4" fillId="0" borderId="0" xfId="2" applyFont="1" applyFill="1" applyBorder="1" applyAlignment="1" applyProtection="1"/>
    <xf numFmtId="0" fontId="4" fillId="0" borderId="13" xfId="0" applyFont="1" applyBorder="1"/>
    <xf numFmtId="0" fontId="4" fillId="0" borderId="11" xfId="0" applyFont="1" applyBorder="1"/>
    <xf numFmtId="0" fontId="4" fillId="0" borderId="14" xfId="0" applyFont="1" applyBorder="1"/>
    <xf numFmtId="166" fontId="4" fillId="4" borderId="0" xfId="2" applyNumberFormat="1" applyFont="1" applyFill="1" applyBorder="1" applyAlignment="1" applyProtection="1"/>
    <xf numFmtId="166" fontId="4" fillId="5" borderId="0" xfId="2" applyNumberFormat="1" applyFont="1" applyFill="1" applyBorder="1" applyAlignment="1" applyProtection="1"/>
    <xf numFmtId="166" fontId="4" fillId="6" borderId="0" xfId="2" applyNumberFormat="1" applyFont="1" applyFill="1" applyBorder="1" applyAlignment="1" applyProtection="1"/>
    <xf numFmtId="166" fontId="4" fillId="7" borderId="0" xfId="2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2" fontId="4" fillId="2" borderId="1" xfId="2" applyNumberFormat="1" applyFont="1" applyFill="1" applyBorder="1" applyAlignment="1" applyProtection="1">
      <alignment horizontal="center"/>
    </xf>
    <xf numFmtId="2" fontId="4" fillId="0" borderId="0" xfId="2" applyNumberFormat="1" applyFont="1" applyFill="1" applyBorder="1" applyAlignment="1" applyProtection="1"/>
    <xf numFmtId="2" fontId="4" fillId="0" borderId="1" xfId="2" applyNumberFormat="1" applyFont="1" applyFill="1" applyBorder="1" applyAlignment="1" applyProtection="1">
      <alignment horizontal="center"/>
    </xf>
    <xf numFmtId="2" fontId="6" fillId="8" borderId="1" xfId="2" applyNumberFormat="1" applyFont="1" applyFill="1" applyBorder="1" applyAlignment="1" applyProtection="1"/>
    <xf numFmtId="0" fontId="4" fillId="0" borderId="15" xfId="0" applyFont="1" applyBorder="1"/>
    <xf numFmtId="0" fontId="6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2" fontId="4" fillId="0" borderId="16" xfId="0" applyNumberFormat="1" applyFont="1" applyBorder="1" applyAlignment="1">
      <alignment horizontal="center"/>
    </xf>
    <xf numFmtId="2" fontId="4" fillId="0" borderId="16" xfId="2" applyNumberFormat="1" applyFont="1" applyFill="1" applyBorder="1" applyAlignment="1" applyProtection="1">
      <alignment horizontal="center"/>
    </xf>
    <xf numFmtId="2" fontId="4" fillId="0" borderId="16" xfId="2" applyNumberFormat="1" applyFont="1" applyFill="1" applyBorder="1" applyAlignment="1" applyProtection="1"/>
    <xf numFmtId="2" fontId="6" fillId="0" borderId="16" xfId="2" applyNumberFormat="1" applyFont="1" applyFill="1" applyBorder="1" applyAlignment="1" applyProtection="1"/>
    <xf numFmtId="0" fontId="4" fillId="0" borderId="17" xfId="0" applyFont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2" applyNumberFormat="1" applyFont="1" applyFill="1" applyBorder="1" applyAlignment="1" applyProtection="1">
      <alignment horizontal="center"/>
    </xf>
    <xf numFmtId="2" fontId="6" fillId="0" borderId="0" xfId="2" applyNumberFormat="1" applyFont="1" applyFill="1" applyBorder="1" applyAlignment="1" applyProtection="1"/>
    <xf numFmtId="0" fontId="15" fillId="9" borderId="1" xfId="0" applyFont="1" applyFill="1" applyBorder="1" applyAlignment="1">
      <alignment horizontal="center" vertical="center"/>
    </xf>
    <xf numFmtId="0" fontId="15" fillId="9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0" fillId="10" borderId="20" xfId="0" applyFont="1" applyFill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3" fontId="0" fillId="0" borderId="0" xfId="0" applyNumberFormat="1" applyAlignment="1">
      <alignment horizontal="center"/>
    </xf>
    <xf numFmtId="4" fontId="16" fillId="11" borderId="21" xfId="0" applyNumberFormat="1" applyFont="1" applyFill="1" applyBorder="1" applyAlignment="1">
      <alignment horizontal="center"/>
    </xf>
    <xf numFmtId="3" fontId="16" fillId="11" borderId="23" xfId="0" applyNumberFormat="1" applyFont="1" applyFill="1" applyBorder="1" applyAlignment="1">
      <alignment horizontal="center"/>
    </xf>
    <xf numFmtId="0" fontId="14" fillId="11" borderId="22" xfId="0" applyFont="1" applyFill="1" applyBorder="1"/>
    <xf numFmtId="0" fontId="14" fillId="11" borderId="24" xfId="0" applyFont="1" applyFill="1" applyBorder="1"/>
    <xf numFmtId="0" fontId="16" fillId="12" borderId="25" xfId="0" applyFont="1" applyFill="1" applyBorder="1"/>
    <xf numFmtId="3" fontId="0" fillId="12" borderId="21" xfId="0" applyNumberFormat="1" applyFill="1" applyBorder="1" applyAlignment="1">
      <alignment horizontal="center"/>
    </xf>
    <xf numFmtId="0" fontId="14" fillId="12" borderId="22" xfId="0" applyFont="1" applyFill="1" applyBorder="1"/>
    <xf numFmtId="3" fontId="16" fillId="12" borderId="23" xfId="0" applyNumberFormat="1" applyFont="1" applyFill="1" applyBorder="1" applyAlignment="1">
      <alignment horizontal="center"/>
    </xf>
    <xf numFmtId="0" fontId="14" fillId="12" borderId="24" xfId="0" applyFont="1" applyFill="1" applyBorder="1"/>
    <xf numFmtId="3" fontId="16" fillId="12" borderId="26" xfId="0" applyNumberFormat="1" applyFont="1" applyFill="1" applyBorder="1" applyAlignment="1">
      <alignment horizontal="center"/>
    </xf>
    <xf numFmtId="0" fontId="0" fillId="13" borderId="22" xfId="0" applyFill="1" applyBorder="1"/>
    <xf numFmtId="3" fontId="0" fillId="13" borderId="23" xfId="0" applyNumberFormat="1" applyFill="1" applyBorder="1" applyAlignment="1">
      <alignment horizontal="center"/>
    </xf>
    <xf numFmtId="0" fontId="16" fillId="13" borderId="24" xfId="0" applyFont="1" applyFill="1" applyBorder="1"/>
    <xf numFmtId="3" fontId="16" fillId="13" borderId="26" xfId="0" applyNumberFormat="1" applyFont="1" applyFill="1" applyBorder="1" applyAlignment="1">
      <alignment horizontal="center"/>
    </xf>
    <xf numFmtId="0" fontId="14" fillId="11" borderId="25" xfId="0" applyFont="1" applyFill="1" applyBorder="1"/>
    <xf numFmtId="0" fontId="16" fillId="13" borderId="27" xfId="0" applyFont="1" applyFill="1" applyBorder="1" applyAlignment="1">
      <alignment horizontal="center"/>
    </xf>
    <xf numFmtId="3" fontId="16" fillId="13" borderId="28" xfId="0" applyNumberFormat="1" applyFont="1" applyFill="1" applyBorder="1" applyAlignment="1">
      <alignment horizontal="center"/>
    </xf>
    <xf numFmtId="0" fontId="19" fillId="14" borderId="27" xfId="0" applyFont="1" applyFill="1" applyBorder="1"/>
    <xf numFmtId="0" fontId="19" fillId="14" borderId="28" xfId="0" applyNumberFormat="1" applyFont="1" applyFill="1" applyBorder="1" applyAlignment="1">
      <alignment horizontal="center"/>
    </xf>
    <xf numFmtId="0" fontId="15" fillId="9" borderId="3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0" fillId="15" borderId="20" xfId="0" applyFont="1" applyFill="1" applyBorder="1" applyAlignment="1">
      <alignment horizontal="center" vertical="center"/>
    </xf>
    <xf numFmtId="1" fontId="16" fillId="11" borderId="26" xfId="0" applyNumberFormat="1" applyFont="1" applyFill="1" applyBorder="1" applyAlignment="1">
      <alignment horizontal="center"/>
    </xf>
    <xf numFmtId="2" fontId="16" fillId="16" borderId="28" xfId="0" applyNumberFormat="1" applyFont="1" applyFill="1" applyBorder="1" applyAlignment="1">
      <alignment horizontal="center"/>
    </xf>
    <xf numFmtId="0" fontId="16" fillId="16" borderId="27" xfId="0" applyFont="1" applyFill="1" applyBorder="1"/>
    <xf numFmtId="0" fontId="20" fillId="17" borderId="43" xfId="0" applyFont="1" applyFill="1" applyBorder="1" applyAlignment="1">
      <alignment horizontal="center" vertical="center"/>
    </xf>
    <xf numFmtId="0" fontId="21" fillId="18" borderId="43" xfId="0" applyFont="1" applyFill="1" applyBorder="1" applyAlignment="1">
      <alignment horizontal="center" vertical="center"/>
    </xf>
    <xf numFmtId="0" fontId="20" fillId="18" borderId="43" xfId="0" applyFont="1" applyFill="1" applyBorder="1" applyAlignment="1">
      <alignment horizontal="center" vertical="center"/>
    </xf>
    <xf numFmtId="0" fontId="21" fillId="11" borderId="43" xfId="0" applyFont="1" applyFill="1" applyBorder="1" applyAlignment="1">
      <alignment horizontal="center" vertical="center"/>
    </xf>
    <xf numFmtId="0" fontId="20" fillId="11" borderId="43" xfId="0" applyFont="1" applyFill="1" applyBorder="1" applyAlignment="1">
      <alignment horizontal="center" vertical="center"/>
    </xf>
    <xf numFmtId="4" fontId="16" fillId="11" borderId="23" xfId="0" applyNumberFormat="1" applyFont="1" applyFill="1" applyBorder="1" applyAlignment="1">
      <alignment horizontal="center"/>
    </xf>
    <xf numFmtId="3" fontId="16" fillId="19" borderId="23" xfId="0" applyNumberFormat="1" applyFont="1" applyFill="1" applyBorder="1" applyAlignment="1">
      <alignment horizontal="center"/>
    </xf>
    <xf numFmtId="0" fontId="16" fillId="19" borderId="22" xfId="0" applyFont="1" applyFill="1" applyBorder="1"/>
    <xf numFmtId="2" fontId="22" fillId="0" borderId="1" xfId="0" applyNumberFormat="1" applyFont="1" applyBorder="1" applyAlignment="1" applyProtection="1">
      <alignment horizontal="right"/>
      <protection locked="0"/>
    </xf>
    <xf numFmtId="0" fontId="15" fillId="9" borderId="19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4" fontId="10" fillId="2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11" borderId="0" xfId="0" applyFill="1"/>
    <xf numFmtId="0" fontId="3" fillId="0" borderId="1" xfId="0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1" fillId="0" borderId="31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1" fillId="0" borderId="32" xfId="0" applyFont="1" applyBorder="1" applyAlignment="1" applyProtection="1">
      <alignment horizontal="left" vertical="top" wrapText="1"/>
      <protection locked="0"/>
    </xf>
    <xf numFmtId="0" fontId="1" fillId="0" borderId="33" xfId="0" applyFont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1" fillId="0" borderId="34" xfId="0" applyFont="1" applyBorder="1" applyAlignment="1" applyProtection="1">
      <alignment horizontal="left" vertical="top" wrapText="1"/>
      <protection locked="0"/>
    </xf>
    <xf numFmtId="0" fontId="1" fillId="0" borderId="35" xfId="0" applyFont="1" applyBorder="1" applyAlignment="1" applyProtection="1">
      <alignment horizontal="left" vertical="top" wrapText="1"/>
      <protection locked="0"/>
    </xf>
    <xf numFmtId="0" fontId="1" fillId="0" borderId="11" xfId="0" applyFont="1" applyBorder="1" applyAlignment="1" applyProtection="1">
      <alignment horizontal="left" vertical="top" wrapText="1"/>
      <protection locked="0"/>
    </xf>
    <xf numFmtId="0" fontId="1" fillId="0" borderId="36" xfId="0" applyFont="1" applyBorder="1" applyAlignment="1" applyProtection="1">
      <alignment horizontal="left" vertical="top" wrapText="1"/>
      <protection locked="0"/>
    </xf>
    <xf numFmtId="0" fontId="2" fillId="0" borderId="11" xfId="0" applyFont="1" applyBorder="1" applyAlignment="1">
      <alignment horizontal="center" vertical="center"/>
    </xf>
    <xf numFmtId="0" fontId="3" fillId="0" borderId="18" xfId="0" applyFont="1" applyBorder="1"/>
    <xf numFmtId="0" fontId="3" fillId="0" borderId="6" xfId="0" applyFont="1" applyBorder="1"/>
    <xf numFmtId="0" fontId="3" fillId="0" borderId="30" xfId="0" applyFont="1" applyBorder="1"/>
    <xf numFmtId="165" fontId="4" fillId="2" borderId="1" xfId="3" applyFont="1" applyFill="1" applyBorder="1" applyAlignment="1" applyProtection="1"/>
    <xf numFmtId="0" fontId="5" fillId="0" borderId="1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4" fontId="4" fillId="0" borderId="1" xfId="0" applyNumberFormat="1" applyFont="1" applyBorder="1" applyAlignment="1" applyProtection="1">
      <alignment horizontal="right"/>
      <protection locked="0"/>
    </xf>
    <xf numFmtId="0" fontId="5" fillId="0" borderId="18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4" fillId="0" borderId="18" xfId="0" applyFont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30" xfId="0" applyFont="1" applyBorder="1" applyAlignment="1" applyProtection="1">
      <alignment horizontal="left"/>
      <protection locked="0"/>
    </xf>
    <xf numFmtId="164" fontId="4" fillId="2" borderId="1" xfId="1" applyFont="1" applyFill="1" applyBorder="1" applyAlignment="1" applyProtection="1">
      <alignment horizontal="right"/>
    </xf>
    <xf numFmtId="0" fontId="4" fillId="0" borderId="1" xfId="0" applyFont="1" applyBorder="1" applyProtection="1">
      <protection locked="0"/>
    </xf>
    <xf numFmtId="0" fontId="10" fillId="15" borderId="44" xfId="0" applyFont="1" applyFill="1" applyBorder="1" applyAlignment="1">
      <alignment horizontal="left" vertical="center"/>
    </xf>
    <xf numFmtId="0" fontId="10" fillId="15" borderId="45" xfId="0" applyFont="1" applyFill="1" applyBorder="1" applyAlignment="1">
      <alignment horizontal="left" vertical="center"/>
    </xf>
    <xf numFmtId="0" fontId="10" fillId="15" borderId="46" xfId="0" applyFont="1" applyFill="1" applyBorder="1" applyAlignment="1">
      <alignment horizontal="left" vertical="center"/>
    </xf>
    <xf numFmtId="0" fontId="10" fillId="15" borderId="29" xfId="0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left" vertical="center"/>
    </xf>
    <xf numFmtId="0" fontId="10" fillId="15" borderId="20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5" fillId="9" borderId="38" xfId="0" applyFont="1" applyFill="1" applyBorder="1" applyAlignment="1">
      <alignment horizontal="center" vertical="center" wrapText="1"/>
    </xf>
    <xf numFmtId="0" fontId="15" fillId="9" borderId="33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 wrapText="1"/>
    </xf>
    <xf numFmtId="0" fontId="11" fillId="9" borderId="40" xfId="0" applyFont="1" applyFill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4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8" borderId="42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63"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  <dxf>
      <font>
        <b/>
        <i val="0"/>
        <condense val="0"/>
        <extend val="0"/>
        <color indexed="10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7368518124423635"/>
          <c:y val="6.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73785654260007"/>
          <c:y val="0.47916422951136517"/>
          <c:w val="0.11578977125249602"/>
          <c:h val="0.22916550107065292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374-458C-9391-6313398527D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374-458C-9391-6313398527D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374-458C-9391-6313398527D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374-458C-9391-6313398527D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374-458C-9391-6313398527D7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74-458C-9391-6313398527D7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74-458C-9391-6313398527D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74-458C-9391-6313398527D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74-458C-9391-6313398527D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74-458C-9391-6313398527D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(Sumário!$I$14,Sumário!$I$21,Sumário!$I$28,Sumário!$I$35,Sumário!$I$42)</c:f>
              <c:numCache>
                <c:formatCode>0.0%</c:formatCode>
                <c:ptCount val="5"/>
                <c:pt idx="0">
                  <c:v>0.45535714285714285</c:v>
                </c:pt>
                <c:pt idx="1">
                  <c:v>0</c:v>
                </c:pt>
                <c:pt idx="2">
                  <c:v>0.35714285714285715</c:v>
                </c:pt>
                <c:pt idx="3">
                  <c:v>0.1875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74-458C-9391-631339852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99061265990409"/>
          <c:y val="0.42857119422572176"/>
          <c:w val="7.8843725615379112E-2"/>
          <c:h val="0.51428559711286093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4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43</xdr:row>
      <xdr:rowOff>9525</xdr:rowOff>
    </xdr:from>
    <xdr:to>
      <xdr:col>11</xdr:col>
      <xdr:colOff>419100</xdr:colOff>
      <xdr:row>50</xdr:row>
      <xdr:rowOff>161925</xdr:rowOff>
    </xdr:to>
    <xdr:graphicFrame macro="">
      <xdr:nvGraphicFramePr>
        <xdr:cNvPr id="4022" name="Chart 10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AD201"/>
  <sheetViews>
    <sheetView showGridLines="0" zoomScaleSheetLayoutView="100" workbookViewId="0">
      <selection activeCell="S10" sqref="S10:T10"/>
    </sheetView>
  </sheetViews>
  <sheetFormatPr defaultColWidth="9.109375" defaultRowHeight="13.8" x14ac:dyDescent="0.3"/>
  <cols>
    <col min="1" max="15" width="2.6640625" style="1" customWidth="1"/>
    <col min="16" max="16" width="0.88671875" style="1" customWidth="1"/>
    <col min="17" max="17" width="8.33203125" style="1" customWidth="1"/>
    <col min="18" max="18" width="4.33203125" style="1" customWidth="1"/>
    <col min="19" max="19" width="3.44140625" style="1" customWidth="1"/>
    <col min="20" max="20" width="7.33203125" style="1" customWidth="1"/>
    <col min="21" max="76" width="2.6640625" style="1" customWidth="1"/>
    <col min="77" max="16384" width="9.109375" style="1"/>
  </cols>
  <sheetData>
    <row r="1" spans="1:30" ht="12" customHeight="1" x14ac:dyDescent="0.3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</row>
    <row r="2" spans="1:30" ht="12" customHeight="1" x14ac:dyDescent="0.3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</row>
    <row r="3" spans="1:30" ht="14.25" customHeight="1" x14ac:dyDescent="0.3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</row>
    <row r="4" spans="1:30" x14ac:dyDescent="0.3">
      <c r="A4" s="130" t="s">
        <v>1</v>
      </c>
      <c r="B4" s="130"/>
      <c r="C4" s="130"/>
      <c r="D4" s="130"/>
      <c r="E4" s="130"/>
      <c r="F4" s="131" t="s">
        <v>88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3"/>
      <c r="R4" s="108" t="s">
        <v>2</v>
      </c>
      <c r="S4" s="108"/>
      <c r="T4" s="97">
        <v>125</v>
      </c>
      <c r="U4" s="108" t="s">
        <v>3</v>
      </c>
      <c r="V4" s="108"/>
      <c r="W4" s="134">
        <f>T4*W5</f>
        <v>14000</v>
      </c>
      <c r="X4" s="134"/>
      <c r="Y4" s="134"/>
      <c r="Z4" s="134"/>
      <c r="AA4" s="134"/>
      <c r="AB4" s="134"/>
    </row>
    <row r="5" spans="1:30" x14ac:dyDescent="0.3">
      <c r="A5" s="130" t="s">
        <v>4</v>
      </c>
      <c r="B5" s="130"/>
      <c r="C5" s="130"/>
      <c r="D5" s="130"/>
      <c r="E5" s="130"/>
      <c r="F5" s="135" t="s">
        <v>83</v>
      </c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08" t="s">
        <v>5</v>
      </c>
      <c r="V5" s="108"/>
      <c r="W5" s="123">
        <f>SUM(Y10:Y13)</f>
        <v>112</v>
      </c>
      <c r="X5" s="123"/>
      <c r="Y5" s="123"/>
      <c r="Z5" s="123"/>
      <c r="AA5" s="123"/>
      <c r="AB5" s="123"/>
    </row>
    <row r="6" spans="1:30" x14ac:dyDescent="0.3">
      <c r="A6" s="130" t="s">
        <v>6</v>
      </c>
      <c r="B6" s="130"/>
      <c r="C6" s="130"/>
      <c r="D6" s="130"/>
      <c r="E6" s="130"/>
      <c r="F6" s="135" t="s">
        <v>89</v>
      </c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</row>
    <row r="7" spans="1:30" x14ac:dyDescent="0.3">
      <c r="A7" s="130" t="s">
        <v>7</v>
      </c>
      <c r="B7" s="130"/>
      <c r="C7" s="130"/>
      <c r="D7" s="130"/>
      <c r="E7" s="130"/>
      <c r="F7" s="135" t="s">
        <v>84</v>
      </c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26" t="s">
        <v>8</v>
      </c>
      <c r="V7" s="126"/>
      <c r="W7" s="126"/>
      <c r="X7" s="127">
        <v>44108</v>
      </c>
      <c r="Y7" s="127"/>
      <c r="Z7" s="127"/>
      <c r="AA7" s="127"/>
      <c r="AB7" s="127"/>
    </row>
    <row r="8" spans="1:30" x14ac:dyDescent="0.3">
      <c r="A8" s="130" t="s">
        <v>9</v>
      </c>
      <c r="B8" s="130"/>
      <c r="C8" s="130"/>
      <c r="D8" s="130"/>
      <c r="E8" s="130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26" t="s">
        <v>10</v>
      </c>
      <c r="V8" s="126"/>
      <c r="W8" s="126"/>
      <c r="X8" s="127"/>
      <c r="Y8" s="127"/>
      <c r="Z8" s="127"/>
      <c r="AA8" s="127"/>
      <c r="AB8" s="127"/>
    </row>
    <row r="9" spans="1:30" x14ac:dyDescent="0.3">
      <c r="A9" s="124" t="s">
        <v>11</v>
      </c>
      <c r="B9" s="124"/>
      <c r="C9" s="122" t="s">
        <v>81</v>
      </c>
      <c r="D9" s="122"/>
      <c r="E9" s="122"/>
      <c r="F9" s="122"/>
      <c r="G9" s="122"/>
      <c r="H9" s="122"/>
      <c r="I9" s="122"/>
      <c r="J9" s="122"/>
      <c r="K9" s="122"/>
      <c r="L9" s="2"/>
      <c r="M9" s="3"/>
      <c r="N9" s="3"/>
      <c r="O9" s="128" t="s">
        <v>13</v>
      </c>
      <c r="P9" s="128"/>
      <c r="Q9" s="108" t="s">
        <v>60</v>
      </c>
      <c r="R9" s="108"/>
      <c r="S9" s="108"/>
      <c r="T9" s="108"/>
      <c r="U9" s="108" t="s">
        <v>14</v>
      </c>
      <c r="V9" s="108"/>
      <c r="W9" s="108"/>
      <c r="X9" s="108"/>
      <c r="Y9" s="108" t="s">
        <v>57</v>
      </c>
      <c r="Z9" s="108"/>
      <c r="AA9" s="108"/>
      <c r="AB9" s="108"/>
      <c r="AC9" s="4"/>
      <c r="AD9" s="4"/>
    </row>
    <row r="10" spans="1:30" x14ac:dyDescent="0.3">
      <c r="A10" s="124"/>
      <c r="B10" s="124"/>
      <c r="C10" s="122" t="s">
        <v>12</v>
      </c>
      <c r="D10" s="122"/>
      <c r="E10" s="122"/>
      <c r="F10" s="122"/>
      <c r="G10" s="122"/>
      <c r="H10" s="122"/>
      <c r="I10" s="122"/>
      <c r="J10" s="122"/>
      <c r="K10" s="122"/>
      <c r="L10" s="2" t="s">
        <v>68</v>
      </c>
      <c r="M10" s="3"/>
      <c r="N10" s="3"/>
      <c r="O10" s="128"/>
      <c r="P10" s="128"/>
      <c r="Q10" s="126" t="s">
        <v>16</v>
      </c>
      <c r="R10" s="126"/>
      <c r="S10" s="123">
        <f>Sumário!E55</f>
        <v>112</v>
      </c>
      <c r="T10" s="123"/>
      <c r="U10" s="109">
        <v>1</v>
      </c>
      <c r="V10" s="109"/>
      <c r="W10" s="109"/>
      <c r="X10" s="109"/>
      <c r="Y10" s="123">
        <f>S10*U10</f>
        <v>112</v>
      </c>
      <c r="Z10" s="123"/>
      <c r="AA10" s="123"/>
      <c r="AB10" s="123"/>
    </row>
    <row r="11" spans="1:30" x14ac:dyDescent="0.3">
      <c r="A11" s="124"/>
      <c r="B11" s="124"/>
      <c r="C11" s="120" t="s">
        <v>15</v>
      </c>
      <c r="D11" s="121"/>
      <c r="E11" s="121"/>
      <c r="F11" s="121"/>
      <c r="G11" s="121"/>
      <c r="H11" s="121"/>
      <c r="I11" s="121"/>
      <c r="J11" s="121"/>
      <c r="K11" s="122"/>
      <c r="L11" s="2" t="s">
        <v>68</v>
      </c>
      <c r="M11" s="3"/>
      <c r="N11" s="3"/>
      <c r="O11" s="128"/>
      <c r="P11" s="128"/>
      <c r="Q11" s="125" t="s">
        <v>18</v>
      </c>
      <c r="R11" s="125"/>
      <c r="S11" s="123">
        <f>Sumário!E56</f>
        <v>0</v>
      </c>
      <c r="T11" s="123"/>
      <c r="U11" s="109">
        <v>1</v>
      </c>
      <c r="V11" s="109"/>
      <c r="W11" s="109"/>
      <c r="X11" s="109"/>
      <c r="Y11" s="123">
        <f>S11*U11</f>
        <v>0</v>
      </c>
      <c r="Z11" s="123"/>
      <c r="AA11" s="123"/>
      <c r="AB11" s="123"/>
    </row>
    <row r="12" spans="1:30" x14ac:dyDescent="0.3">
      <c r="A12" s="124"/>
      <c r="B12" s="124"/>
      <c r="C12" s="120" t="s">
        <v>17</v>
      </c>
      <c r="D12" s="121"/>
      <c r="E12" s="121"/>
      <c r="F12" s="121"/>
      <c r="G12" s="121"/>
      <c r="H12" s="121"/>
      <c r="I12" s="121"/>
      <c r="J12" s="121"/>
      <c r="K12" s="122"/>
      <c r="L12" s="2"/>
      <c r="M12" s="3"/>
      <c r="N12" s="3"/>
      <c r="O12" s="128"/>
      <c r="P12" s="128"/>
      <c r="Q12" s="125" t="s">
        <v>20</v>
      </c>
      <c r="R12" s="125"/>
      <c r="S12" s="123">
        <f>Sumário!E57</f>
        <v>0</v>
      </c>
      <c r="T12" s="123"/>
      <c r="U12" s="109">
        <v>1</v>
      </c>
      <c r="V12" s="109"/>
      <c r="W12" s="109"/>
      <c r="X12" s="109"/>
      <c r="Y12" s="123">
        <f>S12*U12</f>
        <v>0</v>
      </c>
      <c r="Z12" s="123"/>
      <c r="AA12" s="123"/>
      <c r="AB12" s="123"/>
    </row>
    <row r="13" spans="1:30" x14ac:dyDescent="0.3">
      <c r="A13" s="124"/>
      <c r="B13" s="124"/>
      <c r="C13" s="120" t="s">
        <v>19</v>
      </c>
      <c r="D13" s="121"/>
      <c r="E13" s="121"/>
      <c r="F13" s="121"/>
      <c r="G13" s="121"/>
      <c r="H13" s="121"/>
      <c r="I13" s="121"/>
      <c r="J13" s="121"/>
      <c r="K13" s="122"/>
      <c r="L13" s="2"/>
      <c r="M13" s="3"/>
      <c r="N13" s="3"/>
      <c r="O13" s="128"/>
      <c r="P13" s="128"/>
      <c r="Q13" s="125"/>
      <c r="R13" s="125"/>
      <c r="S13" s="123">
        <f>Sumário!E58</f>
        <v>0</v>
      </c>
      <c r="T13" s="123"/>
      <c r="U13" s="109"/>
      <c r="V13" s="109"/>
      <c r="W13" s="109"/>
      <c r="X13" s="109"/>
      <c r="Y13" s="123">
        <f>S13*U13</f>
        <v>0</v>
      </c>
      <c r="Z13" s="123"/>
      <c r="AA13" s="123"/>
      <c r="AB13" s="123"/>
    </row>
    <row r="14" spans="1:30" ht="12" customHeight="1" x14ac:dyDescent="0.3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6"/>
    </row>
    <row r="15" spans="1:30" ht="12" customHeight="1" x14ac:dyDescent="0.35">
      <c r="B15" s="8"/>
      <c r="C15" s="8"/>
      <c r="F15" s="8"/>
      <c r="G15" s="8"/>
      <c r="H15" s="8"/>
      <c r="I15" s="8"/>
      <c r="J15" s="6"/>
      <c r="K15" s="119" t="s">
        <v>21</v>
      </c>
      <c r="L15" s="119"/>
      <c r="M15" s="119"/>
      <c r="N15" s="119"/>
      <c r="O15" s="119"/>
      <c r="P15" s="119"/>
      <c r="Q15" s="119"/>
      <c r="R15" s="119"/>
      <c r="S15" s="119"/>
    </row>
    <row r="16" spans="1:30" ht="12" customHeight="1" x14ac:dyDescent="0.3">
      <c r="A16" s="110" t="s">
        <v>91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2"/>
    </row>
    <row r="17" spans="1:28" ht="12" customHeight="1" x14ac:dyDescent="0.3">
      <c r="A17" s="113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5"/>
    </row>
    <row r="18" spans="1:28" ht="12" customHeight="1" x14ac:dyDescent="0.3">
      <c r="A18" s="113"/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5"/>
    </row>
    <row r="19" spans="1:28" ht="12" customHeight="1" x14ac:dyDescent="0.3">
      <c r="A19" s="113"/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5"/>
    </row>
    <row r="20" spans="1:28" ht="12" customHeight="1" x14ac:dyDescent="0.3">
      <c r="A20" s="113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5"/>
    </row>
    <row r="21" spans="1:28" ht="12" customHeight="1" x14ac:dyDescent="0.3">
      <c r="A21" s="113"/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5"/>
    </row>
    <row r="22" spans="1:28" ht="12" customHeight="1" x14ac:dyDescent="0.3">
      <c r="A22" s="113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5"/>
    </row>
    <row r="23" spans="1:28" ht="12" customHeight="1" x14ac:dyDescent="0.3">
      <c r="A23" s="116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8"/>
    </row>
    <row r="24" spans="1:28" ht="12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28" ht="12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119" t="s">
        <v>22</v>
      </c>
      <c r="L25" s="119"/>
      <c r="M25" s="119"/>
      <c r="N25" s="119"/>
      <c r="O25" s="119"/>
      <c r="P25" s="119"/>
      <c r="Q25" s="119"/>
      <c r="R25" s="119"/>
      <c r="S25" s="119"/>
    </row>
    <row r="26" spans="1:28" ht="12" customHeight="1" x14ac:dyDescent="0.3">
      <c r="A26" s="110" t="s">
        <v>90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2"/>
    </row>
    <row r="27" spans="1:28" ht="12" customHeight="1" x14ac:dyDescent="0.3">
      <c r="A27" s="113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5"/>
    </row>
    <row r="28" spans="1:28" ht="12" customHeight="1" x14ac:dyDescent="0.3">
      <c r="A28" s="113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5"/>
    </row>
    <row r="29" spans="1:28" ht="12" customHeight="1" x14ac:dyDescent="0.3">
      <c r="A29" s="113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5"/>
    </row>
    <row r="30" spans="1:28" ht="12" customHeight="1" x14ac:dyDescent="0.3">
      <c r="A30" s="113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5"/>
    </row>
    <row r="31" spans="1:28" ht="12" customHeight="1" x14ac:dyDescent="0.3">
      <c r="A31" s="113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5"/>
    </row>
    <row r="32" spans="1:28" ht="12" customHeight="1" x14ac:dyDescent="0.3">
      <c r="A32" s="113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5"/>
    </row>
    <row r="33" spans="1:28" ht="12" customHeight="1" x14ac:dyDescent="0.3">
      <c r="A33" s="116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8"/>
    </row>
    <row r="34" spans="1:28" ht="12" customHeight="1" x14ac:dyDescent="0.3">
      <c r="B34" s="6"/>
      <c r="C34" s="6"/>
      <c r="D34" s="6"/>
      <c r="E34" s="6"/>
      <c r="F34" s="6"/>
      <c r="G34" s="6"/>
      <c r="H34" s="6"/>
      <c r="I34" s="6"/>
      <c r="J34" s="6"/>
    </row>
    <row r="35" spans="1:28" ht="12" customHeight="1" x14ac:dyDescent="0.3">
      <c r="B35" s="6"/>
      <c r="C35" s="6"/>
      <c r="D35" s="6"/>
      <c r="E35" s="6"/>
      <c r="F35" s="6"/>
      <c r="G35" s="6"/>
      <c r="H35" s="6"/>
      <c r="I35" s="6"/>
      <c r="J35" s="6"/>
    </row>
    <row r="36" spans="1:28" ht="12" customHeight="1" x14ac:dyDescent="0.3">
      <c r="B36" s="6"/>
      <c r="C36" s="6"/>
      <c r="D36" s="6"/>
      <c r="E36" s="6"/>
      <c r="F36" s="6"/>
      <c r="G36" s="6"/>
      <c r="H36" s="6"/>
      <c r="I36" s="6"/>
      <c r="J36" s="6"/>
    </row>
    <row r="37" spans="1:28" ht="12" customHeight="1" x14ac:dyDescent="0.3">
      <c r="B37" s="6"/>
      <c r="C37" s="6"/>
      <c r="D37" s="6"/>
      <c r="E37" s="6"/>
      <c r="F37" s="6"/>
      <c r="G37" s="6"/>
      <c r="H37" s="6"/>
      <c r="I37" s="6"/>
      <c r="J37" s="6"/>
    </row>
    <row r="38" spans="1:28" ht="12" customHeight="1" x14ac:dyDescent="0.3">
      <c r="B38" s="6"/>
      <c r="C38" s="6"/>
      <c r="D38" s="6"/>
      <c r="E38" s="6"/>
      <c r="F38" s="6"/>
      <c r="G38" s="6"/>
      <c r="H38" s="6"/>
      <c r="I38" s="6"/>
      <c r="J38" s="6"/>
    </row>
    <row r="39" spans="1:28" ht="12" customHeight="1" x14ac:dyDescent="0.3">
      <c r="B39" s="6"/>
      <c r="C39" s="6"/>
      <c r="D39" s="6"/>
      <c r="E39" s="6"/>
      <c r="F39" s="6"/>
      <c r="G39" s="6"/>
      <c r="H39" s="6"/>
      <c r="I39" s="6"/>
      <c r="J39" s="6"/>
    </row>
    <row r="40" spans="1:28" ht="12" customHeight="1" x14ac:dyDescent="0.3">
      <c r="B40" s="6"/>
      <c r="C40" s="6"/>
      <c r="D40" s="6"/>
      <c r="E40" s="6"/>
      <c r="F40" s="6"/>
      <c r="G40" s="6"/>
      <c r="H40" s="6"/>
      <c r="I40" s="6"/>
      <c r="J40" s="6"/>
    </row>
    <row r="41" spans="1:28" ht="12" customHeight="1" x14ac:dyDescent="0.3">
      <c r="B41" s="6"/>
      <c r="C41" s="6"/>
      <c r="D41" s="6"/>
      <c r="E41" s="6"/>
      <c r="F41" s="6"/>
      <c r="G41" s="6"/>
      <c r="H41" s="6"/>
      <c r="I41" s="6"/>
      <c r="J41" s="6"/>
    </row>
    <row r="42" spans="1:28" ht="12" customHeight="1" x14ac:dyDescent="0.3">
      <c r="B42" s="6"/>
      <c r="C42" s="6"/>
      <c r="D42" s="6"/>
      <c r="E42" s="6"/>
      <c r="F42" s="6"/>
      <c r="G42" s="6"/>
      <c r="H42" s="6"/>
      <c r="I42" s="6"/>
      <c r="J42" s="6"/>
    </row>
    <row r="43" spans="1:28" ht="12" customHeight="1" x14ac:dyDescent="0.3">
      <c r="B43" s="6"/>
      <c r="C43" s="6"/>
      <c r="D43" s="6"/>
      <c r="E43" s="6"/>
      <c r="F43" s="6"/>
      <c r="G43" s="6"/>
      <c r="H43" s="6"/>
      <c r="I43" s="6"/>
      <c r="J43" s="6"/>
    </row>
    <row r="44" spans="1:28" ht="12" customHeight="1" x14ac:dyDescent="0.3">
      <c r="B44" s="6"/>
      <c r="C44" s="6"/>
      <c r="D44" s="6"/>
      <c r="E44" s="6"/>
      <c r="F44" s="6"/>
      <c r="G44" s="6"/>
      <c r="H44" s="6"/>
      <c r="I44" s="6"/>
      <c r="J44" s="6"/>
    </row>
    <row r="45" spans="1:28" ht="12" customHeight="1" x14ac:dyDescent="0.3">
      <c r="B45" s="6"/>
      <c r="C45" s="6"/>
      <c r="D45" s="6"/>
      <c r="E45" s="6"/>
      <c r="F45" s="6"/>
      <c r="G45" s="6"/>
      <c r="H45" s="6"/>
      <c r="I45" s="6"/>
      <c r="J45" s="6"/>
    </row>
    <row r="46" spans="1:28" ht="12" customHeight="1" x14ac:dyDescent="0.3">
      <c r="B46" s="6"/>
      <c r="C46" s="6"/>
      <c r="D46" s="6"/>
      <c r="E46" s="6"/>
      <c r="F46" s="6"/>
      <c r="G46" s="6"/>
      <c r="H46" s="6"/>
      <c r="I46" s="6"/>
      <c r="J46" s="6"/>
    </row>
    <row r="47" spans="1:28" ht="12" customHeight="1" x14ac:dyDescent="0.3">
      <c r="B47" s="6"/>
      <c r="C47" s="6"/>
      <c r="D47" s="6"/>
      <c r="E47" s="6"/>
      <c r="F47" s="6"/>
      <c r="G47" s="6"/>
      <c r="H47" s="6"/>
      <c r="I47" s="6"/>
      <c r="J47" s="6"/>
    </row>
    <row r="48" spans="1:28" ht="12" customHeight="1" x14ac:dyDescent="0.3">
      <c r="B48" s="6"/>
      <c r="C48" s="6"/>
      <c r="D48" s="6"/>
      <c r="E48" s="6"/>
      <c r="F48" s="6"/>
      <c r="G48" s="6"/>
      <c r="H48" s="6"/>
      <c r="I48" s="6"/>
      <c r="J48" s="6"/>
    </row>
    <row r="49" spans="2:10" ht="12" customHeight="1" x14ac:dyDescent="0.3">
      <c r="B49" s="6"/>
      <c r="C49" s="6"/>
      <c r="D49" s="6"/>
      <c r="E49" s="6"/>
      <c r="F49" s="6"/>
      <c r="G49" s="6"/>
      <c r="H49" s="6"/>
      <c r="I49" s="6"/>
      <c r="J49" s="6"/>
    </row>
    <row r="50" spans="2:10" ht="12" customHeight="1" x14ac:dyDescent="0.3">
      <c r="B50" s="6"/>
      <c r="C50" s="6"/>
      <c r="D50" s="6"/>
      <c r="E50" s="6"/>
      <c r="F50" s="6"/>
      <c r="G50" s="6"/>
      <c r="H50" s="6"/>
      <c r="I50" s="6"/>
      <c r="J50" s="6"/>
    </row>
    <row r="51" spans="2:10" ht="12" customHeight="1" x14ac:dyDescent="0.3">
      <c r="B51" s="6"/>
      <c r="C51" s="6"/>
      <c r="D51" s="6"/>
      <c r="E51" s="6"/>
      <c r="F51" s="6"/>
      <c r="G51" s="6"/>
      <c r="H51" s="6"/>
      <c r="I51" s="6"/>
      <c r="J51" s="6"/>
    </row>
    <row r="52" spans="2:10" ht="12" customHeight="1" x14ac:dyDescent="0.3">
      <c r="B52" s="6"/>
      <c r="C52" s="6"/>
      <c r="D52" s="6"/>
      <c r="E52" s="6"/>
      <c r="F52" s="6"/>
      <c r="G52" s="6"/>
      <c r="H52" s="6"/>
      <c r="I52" s="6"/>
      <c r="J52" s="6"/>
    </row>
    <row r="53" spans="2:10" ht="12" customHeight="1" x14ac:dyDescent="0.3">
      <c r="B53" s="6"/>
      <c r="C53" s="6"/>
      <c r="D53" s="6"/>
      <c r="E53" s="6"/>
      <c r="F53" s="6"/>
      <c r="G53" s="6"/>
      <c r="H53" s="6"/>
      <c r="I53" s="6"/>
      <c r="J53" s="6"/>
    </row>
    <row r="54" spans="2:10" ht="12" customHeight="1" x14ac:dyDescent="0.3">
      <c r="B54" s="6"/>
      <c r="C54" s="6"/>
      <c r="D54" s="6"/>
      <c r="E54" s="6"/>
      <c r="F54" s="6"/>
      <c r="G54" s="6"/>
      <c r="H54" s="6"/>
      <c r="I54" s="6"/>
      <c r="J54" s="6"/>
    </row>
    <row r="55" spans="2:10" ht="12" customHeight="1" x14ac:dyDescent="0.3">
      <c r="B55" s="6"/>
      <c r="C55" s="6"/>
      <c r="D55" s="6"/>
      <c r="E55" s="6"/>
      <c r="F55" s="6"/>
      <c r="G55" s="6"/>
      <c r="H55" s="6"/>
      <c r="I55" s="6"/>
      <c r="J55" s="6"/>
    </row>
    <row r="56" spans="2:10" ht="12" customHeight="1" x14ac:dyDescent="0.3">
      <c r="B56" s="6"/>
      <c r="C56" s="6"/>
      <c r="D56" s="6"/>
      <c r="E56" s="6"/>
      <c r="F56" s="6"/>
      <c r="G56" s="6"/>
      <c r="H56" s="6"/>
      <c r="I56" s="6"/>
      <c r="J56" s="6"/>
    </row>
    <row r="57" spans="2:10" ht="12" customHeight="1" x14ac:dyDescent="0.3">
      <c r="B57" s="6"/>
      <c r="C57" s="6"/>
      <c r="D57" s="6"/>
      <c r="E57" s="6"/>
      <c r="F57" s="6"/>
      <c r="G57" s="6"/>
      <c r="H57" s="6"/>
      <c r="I57" s="6"/>
      <c r="J57" s="6"/>
    </row>
    <row r="58" spans="2:10" ht="12" customHeight="1" x14ac:dyDescent="0.3">
      <c r="B58" s="6"/>
      <c r="C58" s="6"/>
      <c r="D58" s="6"/>
      <c r="E58" s="6"/>
      <c r="F58" s="6"/>
      <c r="G58" s="6"/>
      <c r="H58" s="6"/>
      <c r="I58" s="6"/>
      <c r="J58" s="6"/>
    </row>
    <row r="59" spans="2:10" ht="12" customHeight="1" x14ac:dyDescent="0.3">
      <c r="B59" s="6"/>
      <c r="C59" s="6"/>
      <c r="D59" s="6"/>
      <c r="E59" s="6"/>
      <c r="F59" s="6"/>
      <c r="G59" s="6"/>
      <c r="H59" s="6"/>
      <c r="I59" s="6"/>
      <c r="J59" s="6"/>
    </row>
    <row r="60" spans="2:10" ht="12" customHeight="1" x14ac:dyDescent="0.3">
      <c r="B60" s="6"/>
      <c r="C60" s="6"/>
      <c r="D60" s="6"/>
      <c r="E60" s="6"/>
      <c r="F60" s="6"/>
      <c r="G60" s="6"/>
      <c r="H60" s="6"/>
      <c r="I60" s="6"/>
      <c r="J60" s="6"/>
    </row>
    <row r="61" spans="2:10" ht="12" customHeight="1" x14ac:dyDescent="0.3">
      <c r="B61" s="6"/>
      <c r="C61" s="6"/>
      <c r="D61" s="6"/>
      <c r="E61" s="6"/>
      <c r="F61" s="6"/>
      <c r="G61" s="6"/>
      <c r="H61" s="6"/>
      <c r="I61" s="6"/>
      <c r="J61" s="6"/>
    </row>
    <row r="62" spans="2:10" ht="12" customHeight="1" x14ac:dyDescent="0.3">
      <c r="B62" s="6"/>
      <c r="C62" s="6"/>
      <c r="D62" s="6"/>
      <c r="E62" s="6"/>
      <c r="F62" s="6"/>
      <c r="G62" s="6"/>
      <c r="H62" s="6"/>
      <c r="I62" s="6"/>
      <c r="J62" s="6"/>
    </row>
    <row r="63" spans="2:10" ht="12" customHeight="1" x14ac:dyDescent="0.3">
      <c r="B63" s="6"/>
      <c r="C63" s="6"/>
      <c r="D63" s="6"/>
      <c r="E63" s="6"/>
      <c r="F63" s="6"/>
      <c r="G63" s="6"/>
      <c r="H63" s="6"/>
      <c r="I63" s="6"/>
      <c r="J63" s="6"/>
    </row>
    <row r="64" spans="2:10" ht="12" customHeight="1" x14ac:dyDescent="0.3">
      <c r="B64" s="6"/>
      <c r="C64" s="6"/>
      <c r="D64" s="6"/>
      <c r="E64" s="6"/>
      <c r="F64" s="6"/>
      <c r="G64" s="6"/>
      <c r="H64" s="6"/>
      <c r="I64" s="6"/>
      <c r="J64" s="6"/>
    </row>
    <row r="65" spans="2:10" ht="12" customHeight="1" x14ac:dyDescent="0.3">
      <c r="B65" s="6"/>
      <c r="C65" s="6"/>
      <c r="D65" s="6"/>
      <c r="E65" s="6"/>
      <c r="F65" s="6"/>
      <c r="G65" s="6"/>
      <c r="H65" s="6"/>
      <c r="I65" s="6"/>
      <c r="J65" s="6"/>
    </row>
    <row r="66" spans="2:10" ht="12" customHeight="1" x14ac:dyDescent="0.3">
      <c r="B66" s="6"/>
      <c r="C66" s="6"/>
      <c r="D66" s="6"/>
      <c r="E66" s="6"/>
      <c r="F66" s="6"/>
      <c r="G66" s="6"/>
      <c r="H66" s="6"/>
      <c r="I66" s="6"/>
      <c r="J66" s="6"/>
    </row>
    <row r="67" spans="2:10" ht="12" customHeight="1" x14ac:dyDescent="0.3">
      <c r="B67" s="6"/>
      <c r="C67" s="6"/>
      <c r="D67" s="6"/>
      <c r="E67" s="6"/>
      <c r="F67" s="6"/>
      <c r="G67" s="6"/>
      <c r="H67" s="6"/>
      <c r="I67" s="6"/>
      <c r="J67" s="6"/>
    </row>
    <row r="68" spans="2:10" ht="12" customHeight="1" x14ac:dyDescent="0.3">
      <c r="B68" s="6"/>
      <c r="C68" s="6"/>
      <c r="D68" s="6"/>
      <c r="E68" s="6"/>
      <c r="F68" s="6"/>
      <c r="G68" s="6"/>
      <c r="H68" s="6"/>
      <c r="I68" s="6"/>
      <c r="J68" s="6"/>
    </row>
    <row r="69" spans="2:10" ht="12" customHeight="1" x14ac:dyDescent="0.3">
      <c r="B69" s="6"/>
      <c r="C69" s="6"/>
      <c r="D69" s="6"/>
      <c r="E69" s="6"/>
      <c r="F69" s="6"/>
      <c r="G69" s="6"/>
      <c r="H69" s="6"/>
      <c r="I69" s="6"/>
      <c r="J69" s="6"/>
    </row>
    <row r="70" spans="2:10" ht="12" customHeight="1" x14ac:dyDescent="0.3">
      <c r="B70" s="6"/>
      <c r="C70" s="6"/>
      <c r="D70" s="6"/>
      <c r="E70" s="6"/>
      <c r="F70" s="6"/>
      <c r="G70" s="6"/>
      <c r="H70" s="6"/>
      <c r="I70" s="6"/>
      <c r="J70" s="6"/>
    </row>
    <row r="71" spans="2:10" ht="12" customHeight="1" x14ac:dyDescent="0.3">
      <c r="B71" s="6"/>
      <c r="C71" s="6"/>
      <c r="D71" s="6"/>
      <c r="E71" s="6"/>
      <c r="F71" s="6"/>
      <c r="G71" s="6"/>
      <c r="H71" s="6"/>
      <c r="I71" s="6"/>
      <c r="J71" s="6"/>
    </row>
    <row r="72" spans="2:10" ht="12" customHeight="1" x14ac:dyDescent="0.3">
      <c r="B72" s="6"/>
      <c r="C72" s="6"/>
      <c r="D72" s="6"/>
      <c r="E72" s="6"/>
      <c r="F72" s="6"/>
      <c r="G72" s="6"/>
      <c r="H72" s="6"/>
      <c r="I72" s="6"/>
      <c r="J72" s="6"/>
    </row>
    <row r="73" spans="2:10" ht="12" customHeight="1" x14ac:dyDescent="0.3">
      <c r="B73" s="6"/>
      <c r="C73" s="6"/>
      <c r="D73" s="6"/>
      <c r="E73" s="6"/>
      <c r="F73" s="6"/>
      <c r="G73" s="6"/>
      <c r="H73" s="6"/>
      <c r="I73" s="6"/>
      <c r="J73" s="6"/>
    </row>
    <row r="74" spans="2:10" ht="12" customHeight="1" x14ac:dyDescent="0.3">
      <c r="B74" s="6"/>
      <c r="C74" s="6"/>
      <c r="D74" s="6"/>
      <c r="E74" s="6"/>
      <c r="F74" s="6"/>
      <c r="G74" s="6"/>
      <c r="H74" s="6"/>
      <c r="I74" s="6"/>
      <c r="J74" s="6"/>
    </row>
    <row r="75" spans="2:10" ht="12" customHeight="1" x14ac:dyDescent="0.3">
      <c r="B75" s="6"/>
      <c r="C75" s="6"/>
      <c r="D75" s="6"/>
      <c r="E75" s="6"/>
      <c r="F75" s="6"/>
      <c r="G75" s="6"/>
      <c r="H75" s="6"/>
      <c r="I75" s="6"/>
      <c r="J75" s="6"/>
    </row>
    <row r="76" spans="2:10" ht="12" customHeight="1" x14ac:dyDescent="0.3">
      <c r="B76" s="6"/>
      <c r="C76" s="6"/>
      <c r="D76" s="6"/>
      <c r="E76" s="6"/>
      <c r="F76" s="6"/>
      <c r="G76" s="6"/>
      <c r="H76" s="6"/>
      <c r="I76" s="6"/>
      <c r="J76" s="6"/>
    </row>
    <row r="77" spans="2:10" ht="12" customHeight="1" x14ac:dyDescent="0.3">
      <c r="B77" s="6"/>
      <c r="C77" s="6"/>
      <c r="D77" s="6"/>
      <c r="E77" s="6"/>
      <c r="F77" s="6"/>
      <c r="G77" s="6"/>
      <c r="H77" s="6"/>
      <c r="I77" s="6"/>
      <c r="J77" s="6"/>
    </row>
    <row r="78" spans="2:10" ht="12" customHeight="1" x14ac:dyDescent="0.3">
      <c r="B78" s="6"/>
      <c r="C78" s="6"/>
      <c r="D78" s="6"/>
      <c r="E78" s="6"/>
      <c r="F78" s="6"/>
      <c r="G78" s="6"/>
      <c r="H78" s="6"/>
      <c r="I78" s="6"/>
      <c r="J78" s="6"/>
    </row>
    <row r="79" spans="2:10" ht="12" customHeight="1" x14ac:dyDescent="0.3">
      <c r="B79" s="6"/>
      <c r="C79" s="6"/>
      <c r="D79" s="6"/>
      <c r="E79" s="6"/>
      <c r="F79" s="6"/>
      <c r="G79" s="6"/>
      <c r="H79" s="6"/>
      <c r="I79" s="6"/>
      <c r="J79" s="6"/>
    </row>
    <row r="80" spans="2:10" ht="12" customHeight="1" x14ac:dyDescent="0.3">
      <c r="B80" s="6"/>
      <c r="C80" s="6"/>
      <c r="D80" s="6"/>
      <c r="E80" s="6"/>
      <c r="F80" s="6"/>
      <c r="G80" s="6"/>
      <c r="H80" s="6"/>
      <c r="I80" s="6"/>
      <c r="J80" s="6"/>
    </row>
    <row r="81" spans="1:10" ht="12" customHeight="1" x14ac:dyDescent="0.3">
      <c r="B81" s="6"/>
      <c r="C81" s="6"/>
      <c r="D81" s="6"/>
      <c r="E81" s="6"/>
      <c r="F81" s="6"/>
      <c r="G81" s="6"/>
      <c r="H81" s="6"/>
      <c r="I81" s="6"/>
      <c r="J81" s="6"/>
    </row>
    <row r="82" spans="1:10" ht="12" customHeight="1" x14ac:dyDescent="0.3">
      <c r="B82" s="6"/>
      <c r="C82" s="6"/>
      <c r="D82" s="6"/>
      <c r="E82" s="6"/>
      <c r="F82" s="6"/>
      <c r="G82" s="6"/>
      <c r="H82" s="6"/>
      <c r="I82" s="6"/>
      <c r="J82" s="6"/>
    </row>
    <row r="83" spans="1:10" ht="12" customHeight="1" x14ac:dyDescent="0.3">
      <c r="B83" s="6"/>
      <c r="C83" s="6"/>
      <c r="D83" s="6"/>
      <c r="E83" s="6"/>
      <c r="F83" s="6"/>
      <c r="G83" s="6"/>
      <c r="H83" s="6"/>
      <c r="I83" s="6"/>
      <c r="J83" s="6"/>
    </row>
    <row r="84" spans="1:10" ht="12" customHeight="1" x14ac:dyDescent="0.3">
      <c r="B84" s="6"/>
      <c r="C84" s="6"/>
      <c r="D84" s="6"/>
      <c r="E84" s="6"/>
      <c r="F84" s="6"/>
      <c r="G84" s="6"/>
      <c r="H84" s="6"/>
      <c r="I84" s="6"/>
      <c r="J84" s="6"/>
    </row>
    <row r="85" spans="1:10" ht="12" customHeight="1" x14ac:dyDescent="0.3">
      <c r="B85" s="6"/>
      <c r="C85" s="6"/>
      <c r="D85" s="6"/>
      <c r="E85" s="6"/>
      <c r="F85" s="6"/>
      <c r="G85" s="6"/>
      <c r="H85" s="6"/>
      <c r="I85" s="6"/>
      <c r="J85" s="6"/>
    </row>
    <row r="86" spans="1:10" ht="12" customHeight="1" x14ac:dyDescent="0.3">
      <c r="B86" s="6"/>
      <c r="C86" s="6"/>
      <c r="D86" s="6"/>
      <c r="E86" s="6"/>
      <c r="F86" s="6"/>
      <c r="G86" s="6"/>
      <c r="H86" s="6"/>
      <c r="I86" s="6"/>
      <c r="J86" s="6"/>
    </row>
    <row r="87" spans="1:10" ht="12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 ht="12" customHeight="1" x14ac:dyDescent="0.3">
      <c r="B88" s="6"/>
      <c r="C88" s="6"/>
      <c r="D88" s="6"/>
      <c r="E88" s="6"/>
      <c r="F88" s="6"/>
      <c r="G88" s="6"/>
      <c r="H88" s="6"/>
      <c r="I88" s="6"/>
      <c r="J88" s="6"/>
    </row>
    <row r="89" spans="1:10" ht="12" customHeight="1" x14ac:dyDescent="0.3">
      <c r="B89" s="6"/>
      <c r="C89" s="6"/>
      <c r="D89" s="6"/>
      <c r="E89" s="6"/>
      <c r="F89" s="6"/>
      <c r="G89" s="6"/>
      <c r="H89" s="6"/>
      <c r="I89" s="6"/>
      <c r="J89" s="6"/>
    </row>
    <row r="90" spans="1:10" ht="12" customHeight="1" x14ac:dyDescent="0.3">
      <c r="B90" s="6"/>
      <c r="C90" s="6"/>
      <c r="D90" s="6"/>
      <c r="E90" s="6"/>
      <c r="F90" s="6"/>
      <c r="G90" s="6"/>
      <c r="H90" s="6"/>
      <c r="I90" s="6"/>
      <c r="J90" s="6"/>
    </row>
    <row r="91" spans="1:10" ht="12" customHeight="1" x14ac:dyDescent="0.3">
      <c r="B91" s="6"/>
      <c r="C91" s="6"/>
      <c r="D91" s="6"/>
      <c r="E91" s="6"/>
      <c r="F91" s="6"/>
      <c r="G91" s="6"/>
      <c r="H91" s="6"/>
      <c r="I91" s="6"/>
      <c r="J91" s="6"/>
    </row>
    <row r="92" spans="1:10" ht="12" customHeight="1" x14ac:dyDescent="0.3">
      <c r="B92" s="6"/>
      <c r="C92" s="6"/>
      <c r="D92" s="6"/>
      <c r="E92" s="6"/>
      <c r="F92" s="6"/>
      <c r="G92" s="6"/>
      <c r="H92" s="6"/>
      <c r="I92" s="6"/>
      <c r="J92" s="6"/>
    </row>
    <row r="93" spans="1:10" ht="12" customHeight="1" x14ac:dyDescent="0.3">
      <c r="B93" s="6"/>
      <c r="C93" s="6"/>
      <c r="D93" s="6"/>
      <c r="E93" s="6"/>
      <c r="F93" s="6"/>
      <c r="G93" s="6"/>
      <c r="H93" s="6"/>
      <c r="I93" s="6"/>
      <c r="J93" s="6"/>
    </row>
    <row r="94" spans="1:10" ht="12" customHeight="1" x14ac:dyDescent="0.3">
      <c r="B94" s="6"/>
      <c r="C94" s="6"/>
      <c r="D94" s="6"/>
      <c r="E94" s="6"/>
      <c r="F94" s="6"/>
      <c r="G94" s="6"/>
      <c r="H94" s="6"/>
      <c r="I94" s="6"/>
      <c r="J94" s="6"/>
    </row>
    <row r="95" spans="1:10" ht="12" customHeight="1" x14ac:dyDescent="0.3">
      <c r="B95" s="6"/>
      <c r="C95" s="6"/>
      <c r="D95" s="6"/>
      <c r="E95" s="6"/>
      <c r="F95" s="6"/>
      <c r="G95" s="6"/>
      <c r="H95" s="6"/>
      <c r="I95" s="6"/>
      <c r="J95" s="6"/>
    </row>
    <row r="96" spans="1:10" ht="12" customHeight="1" x14ac:dyDescent="0.3">
      <c r="B96" s="6"/>
      <c r="C96" s="6"/>
      <c r="D96" s="6"/>
      <c r="E96" s="6"/>
      <c r="F96" s="6"/>
      <c r="G96" s="6"/>
      <c r="H96" s="6"/>
      <c r="I96" s="6"/>
      <c r="J96" s="6"/>
    </row>
    <row r="97" spans="2:10" ht="12" customHeight="1" x14ac:dyDescent="0.3">
      <c r="B97" s="6"/>
      <c r="C97" s="6"/>
      <c r="D97" s="6"/>
      <c r="E97" s="6"/>
      <c r="F97" s="6"/>
      <c r="G97" s="6"/>
      <c r="H97" s="6"/>
      <c r="I97" s="6"/>
      <c r="J97" s="6"/>
    </row>
    <row r="98" spans="2:10" ht="12" customHeight="1" x14ac:dyDescent="0.3">
      <c r="B98" s="6"/>
      <c r="C98" s="6"/>
      <c r="D98" s="6"/>
      <c r="E98" s="6"/>
      <c r="F98" s="6"/>
      <c r="G98" s="6"/>
      <c r="H98" s="6"/>
      <c r="I98" s="6"/>
      <c r="J98" s="6"/>
    </row>
    <row r="99" spans="2:10" ht="12" customHeight="1" x14ac:dyDescent="0.3">
      <c r="B99" s="6"/>
      <c r="C99" s="6"/>
      <c r="D99" s="6"/>
      <c r="E99" s="6"/>
      <c r="F99" s="6"/>
      <c r="G99" s="6"/>
      <c r="H99" s="6"/>
      <c r="I99" s="6"/>
      <c r="J99" s="6"/>
    </row>
    <row r="100" spans="2:10" ht="12" customHeight="1" x14ac:dyDescent="0.3">
      <c r="B100" s="6"/>
      <c r="C100" s="6"/>
      <c r="D100" s="6"/>
      <c r="E100" s="6"/>
      <c r="F100" s="6"/>
      <c r="G100" s="6"/>
      <c r="H100" s="6"/>
      <c r="I100" s="6"/>
      <c r="J100" s="6"/>
    </row>
    <row r="101" spans="2:10" ht="12" customHeight="1" x14ac:dyDescent="0.3">
      <c r="B101" s="6"/>
      <c r="C101" s="6"/>
      <c r="D101" s="6"/>
      <c r="E101" s="6"/>
      <c r="F101" s="6"/>
      <c r="G101" s="6"/>
      <c r="H101" s="6"/>
      <c r="I101" s="6"/>
      <c r="J101" s="6"/>
    </row>
    <row r="102" spans="2:10" ht="12" customHeight="1" x14ac:dyDescent="0.3">
      <c r="B102" s="6"/>
      <c r="C102" s="6"/>
      <c r="D102" s="6"/>
      <c r="E102" s="6"/>
      <c r="F102" s="6"/>
      <c r="G102" s="6"/>
      <c r="H102" s="6"/>
      <c r="I102" s="6"/>
      <c r="J102" s="6"/>
    </row>
    <row r="103" spans="2:10" ht="12" customHeight="1" x14ac:dyDescent="0.3">
      <c r="B103" s="6"/>
      <c r="C103" s="6"/>
      <c r="D103" s="6"/>
      <c r="E103" s="6"/>
      <c r="F103" s="6"/>
      <c r="G103" s="6"/>
      <c r="H103" s="6"/>
      <c r="I103" s="6"/>
      <c r="J103" s="6"/>
    </row>
    <row r="104" spans="2:10" ht="12" customHeight="1" x14ac:dyDescent="0.3">
      <c r="B104" s="6"/>
      <c r="C104" s="6"/>
      <c r="D104" s="6"/>
      <c r="E104" s="6"/>
      <c r="F104" s="6"/>
      <c r="G104" s="6"/>
      <c r="H104" s="6"/>
      <c r="I104" s="6"/>
      <c r="J104" s="6"/>
    </row>
    <row r="105" spans="2:10" ht="12" customHeight="1" x14ac:dyDescent="0.3">
      <c r="B105" s="6"/>
      <c r="C105" s="6"/>
      <c r="D105" s="6"/>
      <c r="E105" s="6"/>
      <c r="F105" s="6"/>
      <c r="G105" s="6"/>
      <c r="H105" s="6"/>
      <c r="I105" s="6"/>
      <c r="J105" s="6"/>
    </row>
    <row r="106" spans="2:10" ht="12" customHeight="1" x14ac:dyDescent="0.3">
      <c r="B106" s="6"/>
      <c r="C106" s="6"/>
      <c r="D106" s="6"/>
      <c r="E106" s="6"/>
      <c r="F106" s="6"/>
      <c r="G106" s="6"/>
      <c r="H106" s="6"/>
      <c r="I106" s="6"/>
      <c r="J106" s="6"/>
    </row>
    <row r="107" spans="2:10" ht="12" customHeight="1" x14ac:dyDescent="0.3">
      <c r="B107" s="6"/>
      <c r="C107" s="6"/>
      <c r="D107" s="6"/>
      <c r="E107" s="6"/>
      <c r="F107" s="6"/>
      <c r="G107" s="6"/>
      <c r="H107" s="6"/>
      <c r="I107" s="6"/>
      <c r="J107" s="6"/>
    </row>
    <row r="108" spans="2:10" ht="12" customHeight="1" x14ac:dyDescent="0.3">
      <c r="B108" s="6"/>
      <c r="C108" s="6"/>
      <c r="D108" s="6"/>
      <c r="E108" s="6"/>
      <c r="F108" s="6"/>
      <c r="G108" s="6"/>
      <c r="H108" s="6"/>
      <c r="I108" s="6"/>
      <c r="J108" s="6"/>
    </row>
    <row r="109" spans="2:10" ht="12" customHeight="1" x14ac:dyDescent="0.3">
      <c r="B109" s="6"/>
      <c r="C109" s="6"/>
      <c r="D109" s="6"/>
      <c r="E109" s="6"/>
      <c r="F109" s="6"/>
      <c r="G109" s="6"/>
      <c r="H109" s="6"/>
      <c r="I109" s="6"/>
      <c r="J109" s="6"/>
    </row>
    <row r="110" spans="2:10" ht="12" customHeight="1" x14ac:dyDescent="0.3">
      <c r="B110" s="6"/>
      <c r="C110" s="6"/>
      <c r="D110" s="6"/>
      <c r="E110" s="6"/>
      <c r="F110" s="6"/>
      <c r="G110" s="6"/>
      <c r="H110" s="6"/>
      <c r="I110" s="6"/>
      <c r="J110" s="6"/>
    </row>
    <row r="111" spans="2:10" ht="12" customHeight="1" x14ac:dyDescent="0.3">
      <c r="B111" s="6"/>
      <c r="C111" s="6"/>
      <c r="D111" s="6"/>
      <c r="E111" s="6"/>
      <c r="F111" s="6"/>
      <c r="G111" s="6"/>
      <c r="H111" s="6"/>
      <c r="I111" s="6"/>
      <c r="J111" s="6"/>
    </row>
    <row r="112" spans="2:10" ht="12" customHeight="1" x14ac:dyDescent="0.3">
      <c r="B112" s="6"/>
      <c r="C112" s="6"/>
      <c r="D112" s="6"/>
      <c r="E112" s="6"/>
      <c r="F112" s="6"/>
      <c r="G112" s="6"/>
      <c r="H112" s="6"/>
      <c r="I112" s="6"/>
      <c r="J112" s="6"/>
    </row>
    <row r="113" spans="2:10" ht="12" customHeight="1" x14ac:dyDescent="0.3">
      <c r="B113" s="6"/>
      <c r="C113" s="6"/>
      <c r="D113" s="6"/>
      <c r="E113" s="6"/>
      <c r="F113" s="6"/>
      <c r="G113" s="6"/>
      <c r="H113" s="6"/>
      <c r="I113" s="6"/>
      <c r="J113" s="6"/>
    </row>
    <row r="114" spans="2:10" ht="12" customHeight="1" x14ac:dyDescent="0.3">
      <c r="B114" s="6"/>
      <c r="C114" s="6"/>
      <c r="D114" s="6"/>
      <c r="E114" s="6"/>
      <c r="F114" s="6"/>
      <c r="G114" s="6"/>
      <c r="H114" s="6"/>
      <c r="I114" s="6"/>
      <c r="J114" s="6"/>
    </row>
    <row r="115" spans="2:10" ht="12" customHeight="1" x14ac:dyDescent="0.3">
      <c r="B115" s="6"/>
      <c r="C115" s="6"/>
      <c r="D115" s="6"/>
      <c r="E115" s="6"/>
      <c r="F115" s="6"/>
      <c r="G115" s="6"/>
      <c r="H115" s="6"/>
      <c r="I115" s="6"/>
      <c r="J115" s="6"/>
    </row>
    <row r="116" spans="2:10" ht="12" customHeight="1" x14ac:dyDescent="0.3">
      <c r="B116" s="6"/>
      <c r="C116" s="6"/>
      <c r="D116" s="6"/>
      <c r="E116" s="6"/>
      <c r="F116" s="6"/>
      <c r="G116" s="6"/>
      <c r="H116" s="6"/>
      <c r="I116" s="6"/>
      <c r="J116" s="6"/>
    </row>
    <row r="117" spans="2:10" ht="12" customHeight="1" x14ac:dyDescent="0.3">
      <c r="B117" s="6"/>
      <c r="C117" s="6"/>
      <c r="D117" s="6"/>
      <c r="E117" s="6"/>
      <c r="F117" s="6"/>
      <c r="G117" s="6"/>
      <c r="H117" s="6"/>
      <c r="I117" s="6"/>
      <c r="J117" s="6"/>
    </row>
    <row r="118" spans="2:10" ht="12" customHeight="1" x14ac:dyDescent="0.3">
      <c r="B118" s="6"/>
      <c r="C118" s="6"/>
      <c r="D118" s="6"/>
      <c r="E118" s="6"/>
      <c r="F118" s="6"/>
      <c r="G118" s="6"/>
      <c r="H118" s="6"/>
      <c r="I118" s="6"/>
      <c r="J118" s="6"/>
    </row>
    <row r="119" spans="2:10" ht="12" customHeight="1" x14ac:dyDescent="0.3">
      <c r="B119" s="6"/>
      <c r="C119" s="6"/>
      <c r="D119" s="6"/>
      <c r="E119" s="6"/>
      <c r="F119" s="6"/>
      <c r="G119" s="6"/>
      <c r="H119" s="6"/>
      <c r="I119" s="6"/>
      <c r="J119" s="6"/>
    </row>
    <row r="120" spans="2:10" ht="12" customHeight="1" x14ac:dyDescent="0.3">
      <c r="B120" s="6"/>
      <c r="C120" s="6"/>
      <c r="D120" s="6"/>
      <c r="E120" s="6"/>
      <c r="F120" s="6"/>
      <c r="G120" s="6"/>
      <c r="H120" s="6"/>
      <c r="I120" s="6"/>
      <c r="J120" s="6"/>
    </row>
    <row r="121" spans="2:10" ht="12" customHeight="1" x14ac:dyDescent="0.3">
      <c r="B121" s="6"/>
      <c r="C121" s="6"/>
      <c r="D121" s="6"/>
      <c r="E121" s="6"/>
      <c r="F121" s="6"/>
      <c r="G121" s="6"/>
      <c r="H121" s="6"/>
      <c r="I121" s="6"/>
      <c r="J121" s="6"/>
    </row>
    <row r="122" spans="2:10" ht="12" customHeight="1" x14ac:dyDescent="0.3">
      <c r="B122" s="6"/>
      <c r="C122" s="6"/>
      <c r="D122" s="6"/>
      <c r="E122" s="6"/>
      <c r="F122" s="6"/>
      <c r="G122" s="6"/>
      <c r="H122" s="6"/>
      <c r="I122" s="6"/>
      <c r="J122" s="6"/>
    </row>
    <row r="123" spans="2:10" ht="12" customHeight="1" x14ac:dyDescent="0.3">
      <c r="B123" s="6"/>
      <c r="C123" s="6"/>
      <c r="D123" s="6"/>
      <c r="E123" s="6"/>
      <c r="F123" s="6"/>
      <c r="G123" s="6"/>
      <c r="H123" s="6"/>
      <c r="I123" s="6"/>
      <c r="J123" s="6"/>
    </row>
    <row r="124" spans="2:10" ht="12" customHeight="1" x14ac:dyDescent="0.3">
      <c r="B124" s="6"/>
      <c r="C124" s="6"/>
      <c r="D124" s="6"/>
      <c r="E124" s="6"/>
      <c r="F124" s="6"/>
      <c r="G124" s="6"/>
      <c r="H124" s="6"/>
      <c r="I124" s="6"/>
      <c r="J124" s="6"/>
    </row>
    <row r="125" spans="2:10" ht="12" customHeight="1" x14ac:dyDescent="0.3">
      <c r="B125" s="6"/>
      <c r="C125" s="6"/>
      <c r="D125" s="6"/>
      <c r="E125" s="6"/>
      <c r="F125" s="6"/>
      <c r="G125" s="6"/>
      <c r="H125" s="6"/>
      <c r="I125" s="6"/>
      <c r="J125" s="6"/>
    </row>
    <row r="126" spans="2:10" ht="12" customHeight="1" x14ac:dyDescent="0.3">
      <c r="B126" s="6"/>
      <c r="C126" s="6"/>
      <c r="D126" s="6"/>
      <c r="E126" s="6"/>
      <c r="F126" s="6"/>
      <c r="G126" s="6"/>
      <c r="H126" s="6"/>
      <c r="I126" s="6"/>
      <c r="J126" s="6"/>
    </row>
    <row r="127" spans="2:10" ht="12" customHeight="1" x14ac:dyDescent="0.3">
      <c r="B127" s="6"/>
      <c r="C127" s="6"/>
      <c r="D127" s="6"/>
      <c r="E127" s="6"/>
      <c r="F127" s="6"/>
      <c r="G127" s="6"/>
      <c r="H127" s="6"/>
      <c r="I127" s="6"/>
      <c r="J127" s="6"/>
    </row>
    <row r="128" spans="2:10" ht="12" customHeight="1" x14ac:dyDescent="0.3">
      <c r="B128" s="6"/>
      <c r="C128" s="6"/>
      <c r="D128" s="6"/>
      <c r="E128" s="6"/>
      <c r="F128" s="6"/>
      <c r="G128" s="6"/>
      <c r="H128" s="6"/>
      <c r="I128" s="6"/>
      <c r="J128" s="6"/>
    </row>
    <row r="129" spans="2:10" ht="12" customHeight="1" x14ac:dyDescent="0.3">
      <c r="B129" s="6"/>
      <c r="C129" s="6"/>
      <c r="D129" s="6"/>
      <c r="E129" s="6"/>
      <c r="F129" s="6"/>
      <c r="G129" s="6"/>
      <c r="H129" s="6"/>
      <c r="I129" s="6"/>
      <c r="J129" s="6"/>
    </row>
    <row r="130" spans="2:10" ht="12" customHeight="1" x14ac:dyDescent="0.3">
      <c r="B130" s="6"/>
      <c r="C130" s="6"/>
      <c r="D130" s="6"/>
      <c r="E130" s="6"/>
      <c r="F130" s="6"/>
      <c r="G130" s="6"/>
      <c r="H130" s="6"/>
      <c r="I130" s="6"/>
      <c r="J130" s="6"/>
    </row>
    <row r="131" spans="2:10" ht="12" customHeight="1" x14ac:dyDescent="0.3">
      <c r="B131" s="6"/>
      <c r="C131" s="6"/>
      <c r="D131" s="6"/>
      <c r="E131" s="6"/>
      <c r="F131" s="6"/>
      <c r="G131" s="6"/>
      <c r="H131" s="6"/>
      <c r="I131" s="6"/>
      <c r="J131" s="6"/>
    </row>
    <row r="132" spans="2:10" ht="12" customHeight="1" x14ac:dyDescent="0.3">
      <c r="B132" s="6"/>
      <c r="C132" s="6"/>
      <c r="D132" s="6"/>
      <c r="E132" s="6"/>
      <c r="F132" s="6"/>
      <c r="G132" s="6"/>
      <c r="H132" s="6"/>
      <c r="I132" s="6"/>
      <c r="J132" s="6"/>
    </row>
    <row r="133" spans="2:10" ht="12" customHeight="1" x14ac:dyDescent="0.3">
      <c r="B133" s="6"/>
      <c r="C133" s="6"/>
      <c r="D133" s="6"/>
      <c r="E133" s="6"/>
      <c r="F133" s="6"/>
      <c r="G133" s="6"/>
      <c r="H133" s="6"/>
      <c r="I133" s="6"/>
      <c r="J133" s="6"/>
    </row>
    <row r="134" spans="2:10" ht="12" customHeight="1" x14ac:dyDescent="0.3">
      <c r="B134" s="6"/>
      <c r="C134" s="6"/>
      <c r="D134" s="6"/>
      <c r="E134" s="6"/>
      <c r="F134" s="6"/>
      <c r="G134" s="6"/>
      <c r="H134" s="6"/>
      <c r="I134" s="6"/>
      <c r="J134" s="6"/>
    </row>
    <row r="135" spans="2:10" ht="12" customHeight="1" x14ac:dyDescent="0.3">
      <c r="B135" s="6"/>
      <c r="C135" s="6"/>
      <c r="D135" s="6"/>
      <c r="E135" s="6"/>
      <c r="F135" s="6"/>
      <c r="G135" s="6"/>
      <c r="H135" s="6"/>
      <c r="I135" s="6"/>
      <c r="J135" s="6"/>
    </row>
    <row r="136" spans="2:10" ht="12" customHeight="1" x14ac:dyDescent="0.3">
      <c r="B136" s="6"/>
      <c r="C136" s="6"/>
      <c r="D136" s="6"/>
      <c r="E136" s="6"/>
      <c r="F136" s="6"/>
      <c r="G136" s="6"/>
      <c r="H136" s="6"/>
      <c r="I136" s="6"/>
      <c r="J136" s="6"/>
    </row>
    <row r="137" spans="2:10" ht="12" customHeight="1" x14ac:dyDescent="0.3">
      <c r="B137" s="6"/>
      <c r="C137" s="6"/>
      <c r="D137" s="6"/>
      <c r="E137" s="6"/>
      <c r="F137" s="6"/>
      <c r="G137" s="6"/>
      <c r="H137" s="6"/>
      <c r="I137" s="6"/>
      <c r="J137" s="6"/>
    </row>
    <row r="138" spans="2:10" ht="12" customHeight="1" x14ac:dyDescent="0.3">
      <c r="B138" s="6"/>
      <c r="C138" s="6"/>
      <c r="D138" s="6"/>
      <c r="E138" s="6"/>
      <c r="F138" s="6"/>
      <c r="G138" s="6"/>
      <c r="H138" s="6"/>
      <c r="I138" s="6"/>
      <c r="J138" s="6"/>
    </row>
    <row r="139" spans="2:10" ht="12" customHeight="1" x14ac:dyDescent="0.3">
      <c r="B139" s="6"/>
      <c r="C139" s="6"/>
      <c r="D139" s="6"/>
      <c r="E139" s="6"/>
      <c r="F139" s="6"/>
      <c r="G139" s="6"/>
      <c r="H139" s="6"/>
      <c r="I139" s="6"/>
      <c r="J139" s="6"/>
    </row>
    <row r="140" spans="2:10" ht="12" customHeight="1" x14ac:dyDescent="0.3">
      <c r="B140" s="6"/>
      <c r="C140" s="6"/>
      <c r="D140" s="6"/>
      <c r="E140" s="6"/>
      <c r="F140" s="6"/>
      <c r="G140" s="6"/>
      <c r="H140" s="6"/>
      <c r="I140" s="6"/>
      <c r="J140" s="6"/>
    </row>
    <row r="141" spans="2:10" ht="12" customHeight="1" x14ac:dyDescent="0.3">
      <c r="B141" s="6"/>
      <c r="C141" s="6"/>
      <c r="D141" s="6"/>
      <c r="E141" s="6"/>
      <c r="F141" s="6"/>
      <c r="G141" s="6"/>
      <c r="H141" s="6"/>
      <c r="I141" s="6"/>
      <c r="J141" s="6"/>
    </row>
    <row r="142" spans="2:10" ht="12" customHeight="1" x14ac:dyDescent="0.3">
      <c r="B142" s="6"/>
      <c r="C142" s="6"/>
      <c r="D142" s="6"/>
      <c r="E142" s="6"/>
      <c r="F142" s="6"/>
      <c r="G142" s="6"/>
      <c r="H142" s="6"/>
      <c r="I142" s="6"/>
      <c r="J142" s="6"/>
    </row>
    <row r="143" spans="2:10" ht="12" customHeight="1" x14ac:dyDescent="0.3">
      <c r="B143" s="6"/>
      <c r="C143" s="6"/>
      <c r="D143" s="6"/>
      <c r="E143" s="6"/>
      <c r="F143" s="6"/>
      <c r="G143" s="6"/>
      <c r="H143" s="6"/>
      <c r="I143" s="6"/>
      <c r="J143" s="6"/>
    </row>
    <row r="144" spans="2:10" ht="12" customHeight="1" x14ac:dyDescent="0.3">
      <c r="B144" s="6"/>
      <c r="C144" s="6"/>
      <c r="D144" s="6"/>
      <c r="E144" s="6"/>
      <c r="F144" s="6"/>
      <c r="G144" s="6"/>
      <c r="H144" s="6"/>
      <c r="I144" s="6"/>
      <c r="J144" s="6"/>
    </row>
    <row r="145" spans="1:10" ht="12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 spans="1:10" ht="12" customHeight="1" x14ac:dyDescent="0.3">
      <c r="B146" s="6"/>
      <c r="C146" s="6"/>
      <c r="D146" s="6"/>
      <c r="E146" s="6"/>
      <c r="F146" s="6"/>
      <c r="G146" s="6"/>
      <c r="H146" s="6"/>
      <c r="I146" s="6"/>
      <c r="J146" s="6"/>
    </row>
    <row r="147" spans="1:10" ht="12" customHeight="1" x14ac:dyDescent="0.3">
      <c r="B147" s="6"/>
      <c r="C147" s="6"/>
      <c r="D147" s="6"/>
      <c r="E147" s="6"/>
      <c r="F147" s="6"/>
      <c r="G147" s="6"/>
      <c r="H147" s="6"/>
      <c r="I147" s="6"/>
      <c r="J147" s="6"/>
    </row>
    <row r="148" spans="1:10" ht="12" customHeight="1" x14ac:dyDescent="0.3">
      <c r="B148" s="6"/>
      <c r="C148" s="6"/>
      <c r="D148" s="6"/>
      <c r="E148" s="6"/>
      <c r="F148" s="6"/>
      <c r="G148" s="6"/>
      <c r="H148" s="6"/>
      <c r="I148" s="6"/>
      <c r="J148" s="6"/>
    </row>
    <row r="149" spans="1:10" ht="12" customHeight="1" x14ac:dyDescent="0.3">
      <c r="B149" s="6"/>
      <c r="C149" s="6"/>
      <c r="D149" s="6"/>
      <c r="E149" s="6"/>
      <c r="F149" s="6"/>
      <c r="G149" s="6"/>
      <c r="H149" s="6"/>
      <c r="I149" s="6"/>
      <c r="J149" s="6"/>
    </row>
    <row r="150" spans="1:10" ht="12" customHeight="1" x14ac:dyDescent="0.3">
      <c r="B150" s="6"/>
      <c r="C150" s="6"/>
      <c r="D150" s="6"/>
      <c r="E150" s="6"/>
      <c r="F150" s="6"/>
      <c r="G150" s="6"/>
      <c r="H150" s="6"/>
      <c r="I150" s="6"/>
      <c r="J150" s="6"/>
    </row>
    <row r="151" spans="1:10" ht="12" customHeight="1" x14ac:dyDescent="0.3">
      <c r="B151" s="6"/>
      <c r="C151" s="6"/>
      <c r="D151" s="6"/>
      <c r="E151" s="6"/>
      <c r="F151" s="6"/>
      <c r="G151" s="6"/>
      <c r="H151" s="6"/>
      <c r="I151" s="6"/>
      <c r="J151" s="6"/>
    </row>
    <row r="152" spans="1:10" ht="12" customHeight="1" x14ac:dyDescent="0.3">
      <c r="B152" s="6"/>
      <c r="C152" s="6"/>
      <c r="D152" s="6"/>
      <c r="E152" s="6"/>
      <c r="F152" s="6"/>
      <c r="G152" s="6"/>
      <c r="H152" s="6"/>
      <c r="I152" s="6"/>
      <c r="J152" s="6"/>
    </row>
    <row r="153" spans="1:10" ht="12" customHeight="1" x14ac:dyDescent="0.3">
      <c r="B153" s="6"/>
      <c r="C153" s="6"/>
      <c r="D153" s="6"/>
      <c r="E153" s="6"/>
      <c r="F153" s="6"/>
      <c r="G153" s="6"/>
      <c r="H153" s="6"/>
      <c r="I153" s="6"/>
      <c r="J153" s="6"/>
    </row>
    <row r="154" spans="1:10" ht="12" customHeight="1" x14ac:dyDescent="0.3">
      <c r="B154" s="6"/>
      <c r="C154" s="6"/>
      <c r="D154" s="6"/>
      <c r="E154" s="6"/>
      <c r="F154" s="6"/>
      <c r="G154" s="6"/>
      <c r="H154" s="6"/>
      <c r="I154" s="6"/>
      <c r="J154" s="6"/>
    </row>
    <row r="155" spans="1:10" ht="12" customHeight="1" x14ac:dyDescent="0.3">
      <c r="B155" s="6"/>
      <c r="C155" s="6"/>
      <c r="D155" s="6"/>
      <c r="E155" s="6"/>
      <c r="F155" s="6"/>
      <c r="G155" s="6"/>
      <c r="H155" s="6"/>
      <c r="I155" s="6"/>
      <c r="J155" s="6"/>
    </row>
    <row r="156" spans="1:10" ht="12" customHeight="1" x14ac:dyDescent="0.3">
      <c r="B156" s="6"/>
      <c r="C156" s="6"/>
      <c r="D156" s="6"/>
      <c r="E156" s="6"/>
      <c r="F156" s="6"/>
      <c r="G156" s="6"/>
      <c r="H156" s="6"/>
      <c r="I156" s="6"/>
      <c r="J156" s="6"/>
    </row>
    <row r="157" spans="1:10" ht="12" customHeight="1" x14ac:dyDescent="0.3">
      <c r="B157" s="6"/>
      <c r="C157" s="6"/>
      <c r="D157" s="6"/>
      <c r="E157" s="6"/>
      <c r="F157" s="6"/>
      <c r="G157" s="6"/>
      <c r="H157" s="6"/>
      <c r="I157" s="6"/>
      <c r="J157" s="6"/>
    </row>
    <row r="158" spans="1:10" ht="12" customHeight="1" x14ac:dyDescent="0.3">
      <c r="B158" s="6"/>
      <c r="C158" s="6"/>
      <c r="D158" s="6"/>
      <c r="E158" s="6"/>
      <c r="F158" s="6"/>
      <c r="G158" s="6"/>
      <c r="H158" s="6"/>
      <c r="I158" s="6"/>
      <c r="J158" s="6"/>
    </row>
    <row r="159" spans="1:10" ht="12" customHeight="1" x14ac:dyDescent="0.3">
      <c r="B159" s="6"/>
      <c r="C159" s="6"/>
      <c r="D159" s="6"/>
      <c r="E159" s="6"/>
      <c r="F159" s="6"/>
      <c r="G159" s="6"/>
      <c r="H159" s="6"/>
      <c r="I159" s="6"/>
      <c r="J159" s="6"/>
    </row>
    <row r="160" spans="1:10" ht="12" customHeight="1" x14ac:dyDescent="0.3">
      <c r="B160" s="6"/>
      <c r="C160" s="6"/>
      <c r="D160" s="6"/>
      <c r="E160" s="6"/>
      <c r="F160" s="6"/>
      <c r="G160" s="6"/>
      <c r="H160" s="6"/>
      <c r="I160" s="6"/>
      <c r="J160" s="6"/>
    </row>
    <row r="161" spans="2:10" ht="12" customHeight="1" x14ac:dyDescent="0.3">
      <c r="B161" s="6"/>
      <c r="C161" s="6"/>
      <c r="D161" s="6"/>
      <c r="E161" s="6"/>
      <c r="F161" s="6"/>
      <c r="G161" s="6"/>
      <c r="H161" s="6"/>
      <c r="I161" s="6"/>
      <c r="J161" s="6"/>
    </row>
    <row r="162" spans="2:10" ht="12" customHeight="1" x14ac:dyDescent="0.3"/>
    <row r="163" spans="2:10" ht="12" customHeight="1" x14ac:dyDescent="0.3"/>
    <row r="164" spans="2:10" ht="12" customHeight="1" x14ac:dyDescent="0.3"/>
    <row r="165" spans="2:10" ht="12" customHeight="1" x14ac:dyDescent="0.3"/>
    <row r="166" spans="2:10" ht="12" customHeight="1" x14ac:dyDescent="0.3"/>
    <row r="167" spans="2:10" ht="12" customHeight="1" x14ac:dyDescent="0.3"/>
    <row r="168" spans="2:10" ht="12" customHeight="1" x14ac:dyDescent="0.3"/>
    <row r="169" spans="2:10" ht="12" customHeight="1" x14ac:dyDescent="0.3"/>
    <row r="170" spans="2:10" ht="12" customHeight="1" x14ac:dyDescent="0.3"/>
    <row r="171" spans="2:10" ht="12" customHeight="1" x14ac:dyDescent="0.3"/>
    <row r="172" spans="2:10" ht="12" customHeight="1" x14ac:dyDescent="0.3"/>
    <row r="173" spans="2:10" ht="12" customHeight="1" x14ac:dyDescent="0.3"/>
    <row r="174" spans="2:10" ht="12" customHeight="1" x14ac:dyDescent="0.3"/>
    <row r="175" spans="2:10" ht="12" customHeight="1" x14ac:dyDescent="0.3"/>
    <row r="176" spans="2:10" ht="12" customHeight="1" x14ac:dyDescent="0.3"/>
    <row r="177" ht="12" customHeight="1" x14ac:dyDescent="0.3"/>
    <row r="178" ht="12" customHeight="1" x14ac:dyDescent="0.3"/>
    <row r="179" ht="12" customHeight="1" x14ac:dyDescent="0.3"/>
    <row r="180" ht="12" customHeight="1" x14ac:dyDescent="0.3"/>
    <row r="181" ht="12" customHeight="1" x14ac:dyDescent="0.3"/>
    <row r="182" ht="12" customHeight="1" x14ac:dyDescent="0.3"/>
    <row r="183" ht="12" customHeight="1" x14ac:dyDescent="0.3"/>
    <row r="184" ht="12" customHeight="1" x14ac:dyDescent="0.3"/>
    <row r="185" ht="12" customHeight="1" x14ac:dyDescent="0.3"/>
    <row r="186" ht="12" customHeight="1" x14ac:dyDescent="0.3"/>
    <row r="187" ht="12" customHeight="1" x14ac:dyDescent="0.3"/>
    <row r="188" ht="12" customHeight="1" x14ac:dyDescent="0.3"/>
    <row r="189" ht="12" customHeight="1" x14ac:dyDescent="0.3"/>
    <row r="190" ht="12" customHeight="1" x14ac:dyDescent="0.3"/>
    <row r="191" ht="12" customHeight="1" x14ac:dyDescent="0.3"/>
    <row r="192" ht="12" customHeight="1" x14ac:dyDescent="0.3"/>
    <row r="193" ht="12" customHeight="1" x14ac:dyDescent="0.3"/>
    <row r="194" ht="12" customHeight="1" x14ac:dyDescent="0.3"/>
    <row r="195" ht="12" customHeight="1" x14ac:dyDescent="0.3"/>
    <row r="196" ht="12" customHeight="1" x14ac:dyDescent="0.3"/>
    <row r="197" ht="12" customHeight="1" x14ac:dyDescent="0.3"/>
    <row r="198" ht="12" customHeight="1" x14ac:dyDescent="0.3"/>
    <row r="199" ht="12" customHeight="1" x14ac:dyDescent="0.3"/>
    <row r="200" ht="12" customHeight="1" x14ac:dyDescent="0.3"/>
    <row r="201" ht="12" customHeight="1" x14ac:dyDescent="0.3"/>
  </sheetData>
  <mergeCells count="50">
    <mergeCell ref="A5:E5"/>
    <mergeCell ref="F5:T5"/>
    <mergeCell ref="Q10:R10"/>
    <mergeCell ref="U10:X10"/>
    <mergeCell ref="Y9:AB9"/>
    <mergeCell ref="U7:W7"/>
    <mergeCell ref="X7:AB7"/>
    <mergeCell ref="A7:E7"/>
    <mergeCell ref="F7:T7"/>
    <mergeCell ref="Y10:AB10"/>
    <mergeCell ref="A6:E6"/>
    <mergeCell ref="F6:AB6"/>
    <mergeCell ref="U5:V5"/>
    <mergeCell ref="W5:AB5"/>
    <mergeCell ref="A8:E8"/>
    <mergeCell ref="F8:T8"/>
    <mergeCell ref="A1:AB3"/>
    <mergeCell ref="A4:E4"/>
    <mergeCell ref="F4:Q4"/>
    <mergeCell ref="R4:S4"/>
    <mergeCell ref="U4:V4"/>
    <mergeCell ref="W4:AB4"/>
    <mergeCell ref="U8:W8"/>
    <mergeCell ref="X8:AB8"/>
    <mergeCell ref="C9:K9"/>
    <mergeCell ref="O9:P13"/>
    <mergeCell ref="Y11:AB11"/>
    <mergeCell ref="Q13:R13"/>
    <mergeCell ref="S13:T13"/>
    <mergeCell ref="U13:X13"/>
    <mergeCell ref="Y13:AB13"/>
    <mergeCell ref="Y12:AB12"/>
    <mergeCell ref="Q12:R12"/>
    <mergeCell ref="Q9:T9"/>
    <mergeCell ref="U12:X12"/>
    <mergeCell ref="C10:K10"/>
    <mergeCell ref="S10:T10"/>
    <mergeCell ref="S12:T12"/>
    <mergeCell ref="U9:X9"/>
    <mergeCell ref="U11:X11"/>
    <mergeCell ref="A26:AB33"/>
    <mergeCell ref="K25:S25"/>
    <mergeCell ref="A16:AB23"/>
    <mergeCell ref="K15:S15"/>
    <mergeCell ref="C13:K13"/>
    <mergeCell ref="S11:T11"/>
    <mergeCell ref="C12:K12"/>
    <mergeCell ref="A9:B13"/>
    <mergeCell ref="C11:K11"/>
    <mergeCell ref="Q11:R11"/>
  </mergeCells>
  <phoneticPr fontId="0" type="noConversion"/>
  <pageMargins left="0.78749999999999998" right="0.78749999999999998" top="0.78749999999999998" bottom="0.78750000000000009" header="0.51180555555555562" footer="0.51180555555555562"/>
  <pageSetup paperSize="9" firstPageNumber="0" orientation="portrait" horizontalDpi="300" verticalDpi="300" r:id="rId1"/>
  <headerFooter alignWithMargins="0">
    <oddHeader>&amp;C&amp;"Arial"&amp;8&amp;K000000INTERNAL&amp;1#</oddHeader>
    <oddFooter>&amp;R&amp;"Tahoma,Normal"&amp;8&amp;F - 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U77"/>
  <sheetViews>
    <sheetView showGridLines="0" tabSelected="1" zoomScale="80" zoomScaleNormal="80" zoomScaleSheetLayoutView="100" workbookViewId="0">
      <pane ySplit="7" topLeftCell="A8" activePane="bottomLeft" state="frozen"/>
      <selection pane="bottomLeft" activeCell="A7" sqref="A7:F7"/>
    </sheetView>
  </sheetViews>
  <sheetFormatPr defaultColWidth="9.109375" defaultRowHeight="10.8" x14ac:dyDescent="0.25"/>
  <cols>
    <col min="1" max="5" width="6.77734375" style="105" customWidth="1"/>
    <col min="6" max="6" width="3.44140625" style="105" customWidth="1"/>
    <col min="7" max="7" width="18.33203125" style="106" customWidth="1"/>
    <col min="8" max="11" width="8.109375" style="105" customWidth="1"/>
    <col min="12" max="12" width="7.44140625" style="105" hidden="1" customWidth="1"/>
    <col min="13" max="13" width="10" style="105" hidden="1" customWidth="1"/>
    <col min="14" max="16" width="8.109375" style="105" customWidth="1"/>
    <col min="17" max="20" width="10.33203125" style="105" customWidth="1"/>
    <col min="21" max="21" width="16.6640625" style="105" hidden="1" customWidth="1"/>
    <col min="22" max="22" width="12.6640625" style="105" customWidth="1"/>
    <col min="23" max="16384" width="9.109375" style="105"/>
  </cols>
  <sheetData>
    <row r="1" spans="1:21" s="11" customFormat="1" ht="15" customHeight="1" x14ac:dyDescent="0.25">
      <c r="A1" s="142" t="s">
        <v>59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9"/>
      <c r="R1" s="9"/>
      <c r="S1" s="9"/>
      <c r="T1" s="9"/>
      <c r="U1" s="9"/>
    </row>
    <row r="2" spans="1:21" s="11" customFormat="1" ht="15" customHeight="1" x14ac:dyDescent="0.25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9"/>
      <c r="R2" s="9"/>
      <c r="S2" s="9"/>
      <c r="T2" s="9"/>
      <c r="U2" s="9"/>
    </row>
    <row r="3" spans="1:21" s="11" customFormat="1" ht="12" customHeight="1" x14ac:dyDescent="0.2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9"/>
      <c r="R3" s="9"/>
      <c r="S3" s="9"/>
      <c r="T3" s="9"/>
      <c r="U3" s="9"/>
    </row>
    <row r="4" spans="1:21" s="11" customFormat="1" ht="15" customHeight="1" x14ac:dyDescent="0.25">
      <c r="A4" s="143" t="str">
        <f>Contagem!A5&amp;" : "&amp;Contagem!F5</f>
        <v>Aplicação : EXEMPLO DE GESTÃO DE PRODUTOS</v>
      </c>
      <c r="B4" s="143"/>
      <c r="C4" s="143"/>
      <c r="D4" s="143"/>
      <c r="E4" s="143"/>
      <c r="F4" s="143"/>
      <c r="G4" s="84"/>
      <c r="H4" s="144" t="str">
        <f>Contagem!A6&amp;" : "&amp;Contagem!F6</f>
        <v>Projeto : GESTÃO DE PROJETOS ADS</v>
      </c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</row>
    <row r="5" spans="1:21" s="11" customFormat="1" ht="15" customHeight="1" x14ac:dyDescent="0.25">
      <c r="A5" s="145" t="str">
        <f>Contagem!A7&amp;" : "&amp;Contagem!F7</f>
        <v>Responsável : HEUBER LIMA</v>
      </c>
      <c r="B5" s="145"/>
      <c r="C5" s="145"/>
      <c r="D5" s="145"/>
      <c r="E5" s="145"/>
      <c r="F5" s="145"/>
      <c r="G5" s="84"/>
      <c r="H5" s="144" t="str">
        <f>Contagem!A8&amp;" : "&amp;Contagem!F8</f>
        <v xml:space="preserve">Revisor : </v>
      </c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</row>
    <row r="6" spans="1:21" s="11" customFormat="1" ht="15" customHeight="1" x14ac:dyDescent="0.25">
      <c r="A6" s="148" t="str">
        <f>Contagem!A4&amp;" : "&amp;Contagem!F4</f>
        <v>Empresa : FATESG - ADS</v>
      </c>
      <c r="B6" s="148"/>
      <c r="C6" s="148"/>
      <c r="D6" s="148"/>
      <c r="E6" s="148"/>
      <c r="F6" s="144" t="str">
        <f>Contagem!R4&amp;" = "&amp;VALUE(Contagem!T4)</f>
        <v>R$/PF = 125</v>
      </c>
      <c r="G6" s="144"/>
      <c r="H6" s="144"/>
      <c r="I6" s="149" t="str">
        <f>" Custo= "&amp;DOLLAR(Contagem!W4)</f>
        <v xml:space="preserve"> Custo= R$ 14.000,00</v>
      </c>
      <c r="J6" s="149"/>
      <c r="K6" s="149"/>
      <c r="L6" s="149"/>
      <c r="M6" s="149"/>
      <c r="N6" s="149"/>
      <c r="O6" s="150" t="str">
        <f>"PF  = "&amp;VALUE(Contagem!W5)</f>
        <v>PF  = 112</v>
      </c>
      <c r="P6" s="150"/>
      <c r="Q6" s="58"/>
      <c r="R6" s="58"/>
      <c r="S6" s="58"/>
      <c r="T6" s="58"/>
      <c r="U6" s="59"/>
    </row>
    <row r="7" spans="1:21" s="11" customFormat="1" ht="15" customHeight="1" x14ac:dyDescent="0.25">
      <c r="A7" s="146" t="s">
        <v>66</v>
      </c>
      <c r="B7" s="146"/>
      <c r="C7" s="146"/>
      <c r="D7" s="146"/>
      <c r="E7" s="146"/>
      <c r="F7" s="146"/>
      <c r="G7" s="83" t="s">
        <v>82</v>
      </c>
      <c r="H7" s="56" t="s">
        <v>23</v>
      </c>
      <c r="I7" s="57" t="s">
        <v>65</v>
      </c>
      <c r="J7" s="56" t="s">
        <v>24</v>
      </c>
      <c r="K7" s="56" t="s">
        <v>25</v>
      </c>
      <c r="L7" s="56" t="s">
        <v>26</v>
      </c>
      <c r="M7" s="56" t="s">
        <v>27</v>
      </c>
      <c r="N7" s="56" t="s">
        <v>28</v>
      </c>
      <c r="O7" s="56" t="s">
        <v>5</v>
      </c>
      <c r="P7" s="98" t="s">
        <v>57</v>
      </c>
      <c r="Q7" s="147" t="s">
        <v>29</v>
      </c>
      <c r="R7" s="147"/>
      <c r="S7" s="147"/>
      <c r="T7" s="147"/>
      <c r="U7" s="147"/>
    </row>
    <row r="8" spans="1:21" ht="18" customHeight="1" x14ac:dyDescent="0.25">
      <c r="A8" s="136" t="s">
        <v>122</v>
      </c>
      <c r="B8" s="137"/>
      <c r="C8" s="137"/>
      <c r="D8" s="137"/>
      <c r="E8" s="137"/>
      <c r="F8" s="138"/>
      <c r="G8" s="85" t="s">
        <v>127</v>
      </c>
      <c r="H8" s="99" t="s">
        <v>47</v>
      </c>
      <c r="I8" s="100" t="s">
        <v>67</v>
      </c>
      <c r="J8" s="60">
        <v>8</v>
      </c>
      <c r="K8" s="60">
        <v>2</v>
      </c>
      <c r="L8" s="100" t="str">
        <f t="shared" ref="L8:L15" si="0">CONCATENATE(H8,M8)</f>
        <v>ALIL</v>
      </c>
      <c r="M8" s="101" t="str">
        <f>IF(OR(ISBLANK(J8),ISBLANK(K8)),IF(OR(H8="ALI",H8="AIE"),"L",IF(ISBLANK(H8),"","A")),IF(H8="EE",IF(K8&gt;=3,IF(J8&gt;=5,"H","A"),IF(K8&gt;=2,IF(J8&gt;=16,"H",IF(J8&lt;=4,"L","A")),IF(J8&lt;=15,"L","A"))),IF(OR(H8="SE",H8="CE"),IF(K8&gt;=4,IF(J8&gt;=6,"H","A"),IF(K8&gt;=2,IF(J8&gt;=20,"H",IF(J8&lt;=5,"L","A")),IF(J8&lt;=19,"L","A"))),IF(OR(H8="ALI",H8="AIE"),IF(K8&gt;=6,IF(J8&gt;=20,"H","A"),IF(K8&gt;=2,IF(J8&gt;=51,"H",IF(J8&lt;=19,"L","A")),IF(J8&lt;=50,"L","A")))))))</f>
        <v>L</v>
      </c>
      <c r="N8" s="102" t="str">
        <f t="shared" ref="N8:N15" si="1">IF(M8="L","Baixa",IF(M8="A","Média",IF(M8="","","Alta")))</f>
        <v>Baixa</v>
      </c>
      <c r="O8" s="103">
        <f t="shared" ref="O8:O15" si="2">IF(ISBLANK(H8),"",IF(H8="ALI",IF(M8="L",7,IF(M8="A",10,15)),IF(H8="AIE",IF(M8="L",5,IF(M8="A",7,10)),IF(H8="SE",IF(M8="L",4,IF(M8="A",5,7)),IF(OR(H8="EE",H8="CE"),IF(M8="L",3,IF(M8="A",4,6)))))))</f>
        <v>7</v>
      </c>
      <c r="P8" s="104">
        <v>7</v>
      </c>
      <c r="Q8" s="12"/>
      <c r="R8" s="12"/>
      <c r="S8" s="12"/>
      <c r="T8" s="12"/>
      <c r="U8" s="12"/>
    </row>
    <row r="9" spans="1:21" ht="18" customHeight="1" x14ac:dyDescent="0.25">
      <c r="A9" s="139" t="s">
        <v>123</v>
      </c>
      <c r="B9" s="140"/>
      <c r="C9" s="140"/>
      <c r="D9" s="140"/>
      <c r="E9" s="140"/>
      <c r="F9" s="141"/>
      <c r="G9" s="85" t="s">
        <v>127</v>
      </c>
      <c r="H9" s="99" t="s">
        <v>47</v>
      </c>
      <c r="I9" s="100" t="s">
        <v>67</v>
      </c>
      <c r="J9" s="60">
        <v>4</v>
      </c>
      <c r="K9" s="60">
        <v>1</v>
      </c>
      <c r="L9" s="100" t="str">
        <f t="shared" si="0"/>
        <v>ALIL</v>
      </c>
      <c r="M9" s="101" t="str">
        <f>IF(OR(ISBLANK(J9),ISBLANK(K9)),IF(OR(H9="ALI",H9="AIE"),"L",IF(ISBLANK(H9),"","A")),IF(H9="EE",IF(K9&gt;=3,IF(J9&gt;=5,"H","A"),IF(K9&gt;=2,IF(J9&gt;=16,"H",IF(J9&lt;=4,"L","A")),IF(J9&lt;=15,"L","A"))),IF(OR(H9="SE",H9="CE"),IF(K9&gt;=4,IF(J9&gt;=6,"H","A"),IF(K9&gt;=2,IF(J9&gt;=20,"H",IF(J9&lt;=5,"L","A")),IF(J9&lt;=19,"L","A"))),IF(OR(H9="ALI",H9="AIE"),IF(K9&gt;=6,IF(J9&gt;=20,"H","A"),IF(K9&gt;=2,IF(J9&gt;=51,"H",IF(J9&lt;=19,"L","A")),IF(J9&lt;=50,"L","A")))))))</f>
        <v>L</v>
      </c>
      <c r="N9" s="102" t="str">
        <f t="shared" si="1"/>
        <v>Baixa</v>
      </c>
      <c r="O9" s="103">
        <f t="shared" si="2"/>
        <v>7</v>
      </c>
      <c r="P9" s="104">
        <v>3</v>
      </c>
      <c r="Q9" s="12"/>
      <c r="R9" s="12"/>
      <c r="S9" s="12"/>
      <c r="T9" s="12"/>
      <c r="U9" s="12"/>
    </row>
    <row r="10" spans="1:21" ht="18" customHeight="1" x14ac:dyDescent="0.25">
      <c r="A10" s="139" t="s">
        <v>124</v>
      </c>
      <c r="B10" s="140"/>
      <c r="C10" s="140"/>
      <c r="D10" s="140"/>
      <c r="E10" s="140"/>
      <c r="F10" s="141"/>
      <c r="G10" s="85" t="s">
        <v>127</v>
      </c>
      <c r="H10" s="99" t="s">
        <v>47</v>
      </c>
      <c r="I10" s="100" t="s">
        <v>67</v>
      </c>
      <c r="J10" s="60">
        <v>7</v>
      </c>
      <c r="K10" s="60">
        <v>2</v>
      </c>
      <c r="L10" s="100" t="str">
        <f t="shared" si="0"/>
        <v>ALIL</v>
      </c>
      <c r="M10" s="101" t="str">
        <f t="shared" ref="M10:M15" si="3">IF(OR(ISBLANK(J10),ISBLANK(K10)),IF(OR(H10="ALI",H10="AIE"),"L",IF(ISBLANK(H10),"","A")),IF(H10="EE",IF(K10&gt;=3,IF(J10&gt;=5,"H","A"),IF(K10&gt;=2,IF(J10&gt;=16,"H",IF(J10&lt;=4,"L","A")),IF(J10&lt;=15,"L","A"))),IF(OR(H10="SE",H10="CE"),IF(K10&gt;=4,IF(J10&gt;=6,"H","A"),IF(K10&gt;=2,IF(J10&gt;=20,"H",IF(J10&lt;=5,"L","A")),IF(J10&lt;=19,"L","A"))),IF(OR(H10="ALI",H10="AIE"),IF(K10&gt;=6,IF(J10&gt;=20,"H","A"),IF(K10&gt;=2,IF(J10&gt;=51,"H",IF(J10&lt;=19,"L","A")),IF(J10&lt;=50,"L","A")))))))</f>
        <v>L</v>
      </c>
      <c r="N10" s="102" t="str">
        <f t="shared" si="1"/>
        <v>Baixa</v>
      </c>
      <c r="O10" s="103">
        <f t="shared" si="2"/>
        <v>7</v>
      </c>
      <c r="P10" s="104">
        <f>IF(I10="I",O10*Contagem!$U$10,IF(I10="E",O10*Contagem!$U$12,IF(I10="A",O10*Contagem!$U$11,IF(I10="T",O10*Contagem!$U$13,""))))</f>
        <v>7</v>
      </c>
      <c r="Q10" s="12"/>
      <c r="R10" s="12"/>
      <c r="S10" s="12"/>
      <c r="T10" s="12"/>
      <c r="U10" s="12"/>
    </row>
    <row r="11" spans="1:21" ht="18" customHeight="1" x14ac:dyDescent="0.25">
      <c r="A11" s="139" t="s">
        <v>125</v>
      </c>
      <c r="B11" s="140"/>
      <c r="C11" s="140"/>
      <c r="D11" s="140"/>
      <c r="E11" s="140"/>
      <c r="F11" s="141"/>
      <c r="G11" s="85" t="s">
        <v>130</v>
      </c>
      <c r="H11" s="99" t="s">
        <v>35</v>
      </c>
      <c r="I11" s="100" t="s">
        <v>67</v>
      </c>
      <c r="J11" s="60">
        <v>6</v>
      </c>
      <c r="K11" s="60">
        <v>1</v>
      </c>
      <c r="L11" s="100" t="str">
        <f t="shared" si="0"/>
        <v>EEL</v>
      </c>
      <c r="M11" s="101" t="str">
        <f t="shared" si="3"/>
        <v>L</v>
      </c>
      <c r="N11" s="102" t="str">
        <f t="shared" si="1"/>
        <v>Baixa</v>
      </c>
      <c r="O11" s="103">
        <f t="shared" si="2"/>
        <v>3</v>
      </c>
      <c r="P11" s="104">
        <f>IF(I11="I",O11*Contagem!$U$10,IF(I11="E",O11*Contagem!$U$12,IF(I11="A",O11*Contagem!$U$11,IF(I11="T",O11*Contagem!$U$13,""))))</f>
        <v>3</v>
      </c>
      <c r="Q11" s="12"/>
      <c r="R11" s="12"/>
      <c r="S11" s="12"/>
      <c r="T11" s="12"/>
      <c r="U11" s="12"/>
    </row>
    <row r="12" spans="1:21" ht="18" customHeight="1" x14ac:dyDescent="0.25">
      <c r="A12" s="139" t="s">
        <v>126</v>
      </c>
      <c r="B12" s="140"/>
      <c r="C12" s="140"/>
      <c r="D12" s="140"/>
      <c r="E12" s="140"/>
      <c r="F12" s="141"/>
      <c r="G12" s="85" t="s">
        <v>130</v>
      </c>
      <c r="H12" s="99" t="s">
        <v>35</v>
      </c>
      <c r="I12" s="100" t="s">
        <v>67</v>
      </c>
      <c r="J12" s="60">
        <v>4</v>
      </c>
      <c r="K12" s="60">
        <v>1</v>
      </c>
      <c r="L12" s="100" t="str">
        <f t="shared" si="0"/>
        <v>EEL</v>
      </c>
      <c r="M12" s="101" t="str">
        <f t="shared" si="3"/>
        <v>L</v>
      </c>
      <c r="N12" s="102" t="str">
        <f t="shared" si="1"/>
        <v>Baixa</v>
      </c>
      <c r="O12" s="103">
        <f t="shared" si="2"/>
        <v>3</v>
      </c>
      <c r="P12" s="104">
        <f>IF(I12="I",O12*Contagem!$U$10,IF(I12="E",O12*Contagem!$U$12,IF(I12="A",O12*Contagem!$U$11,IF(I12="T",O12*Contagem!$U$13,""))))</f>
        <v>3</v>
      </c>
      <c r="Q12" s="12"/>
      <c r="R12" s="12"/>
      <c r="S12" s="12"/>
      <c r="T12" s="12"/>
      <c r="U12" s="12"/>
    </row>
    <row r="13" spans="1:21" ht="18" customHeight="1" x14ac:dyDescent="0.25">
      <c r="A13" s="139" t="s">
        <v>128</v>
      </c>
      <c r="B13" s="140"/>
      <c r="C13" s="140"/>
      <c r="D13" s="140"/>
      <c r="E13" s="140"/>
      <c r="F13" s="141"/>
      <c r="G13" s="85" t="s">
        <v>130</v>
      </c>
      <c r="H13" s="99" t="s">
        <v>35</v>
      </c>
      <c r="I13" s="100" t="s">
        <v>67</v>
      </c>
      <c r="J13" s="60">
        <v>3</v>
      </c>
      <c r="K13" s="60">
        <v>1</v>
      </c>
      <c r="L13" s="100" t="str">
        <f t="shared" si="0"/>
        <v>EEL</v>
      </c>
      <c r="M13" s="101" t="str">
        <f t="shared" si="3"/>
        <v>L</v>
      </c>
      <c r="N13" s="102" t="str">
        <f t="shared" si="1"/>
        <v>Baixa</v>
      </c>
      <c r="O13" s="103">
        <f t="shared" si="2"/>
        <v>3</v>
      </c>
      <c r="P13" s="104">
        <f>IF(I13="I",O13*Contagem!$U$10,IF(I13="E",O13*Contagem!$U$12,IF(I13="A",O13*Contagem!$U$11,IF(I13="T",O13*Contagem!$U$13,""))))</f>
        <v>3</v>
      </c>
      <c r="Q13" s="12"/>
      <c r="R13" s="12"/>
      <c r="S13" s="12"/>
      <c r="T13" s="12"/>
      <c r="U13" s="12"/>
    </row>
    <row r="14" spans="1:21" ht="18" customHeight="1" x14ac:dyDescent="0.25">
      <c r="A14" s="139" t="s">
        <v>129</v>
      </c>
      <c r="B14" s="140"/>
      <c r="C14" s="140"/>
      <c r="D14" s="140"/>
      <c r="E14" s="140"/>
      <c r="F14" s="141"/>
      <c r="G14" s="85" t="s">
        <v>130</v>
      </c>
      <c r="H14" s="99" t="s">
        <v>35</v>
      </c>
      <c r="I14" s="100" t="s">
        <v>67</v>
      </c>
      <c r="J14" s="60">
        <v>5</v>
      </c>
      <c r="K14" s="60">
        <v>1</v>
      </c>
      <c r="L14" s="100" t="str">
        <f t="shared" si="0"/>
        <v>EEL</v>
      </c>
      <c r="M14" s="101" t="str">
        <f t="shared" si="3"/>
        <v>L</v>
      </c>
      <c r="N14" s="102" t="str">
        <f t="shared" si="1"/>
        <v>Baixa</v>
      </c>
      <c r="O14" s="103">
        <f t="shared" si="2"/>
        <v>3</v>
      </c>
      <c r="P14" s="104">
        <f>IF(I14="I",O14*Contagem!$U$10,IF(I14="E",O14*Contagem!$U$12,IF(I14="A",O14*Contagem!$U$11,IF(I14="T",O14*Contagem!$U$13,""))))</f>
        <v>3</v>
      </c>
      <c r="Q14" s="12"/>
      <c r="R14" s="12"/>
      <c r="S14" s="12"/>
      <c r="T14" s="12"/>
      <c r="U14" s="12"/>
    </row>
    <row r="15" spans="1:21" ht="18" customHeight="1" x14ac:dyDescent="0.25">
      <c r="A15" s="139" t="s">
        <v>131</v>
      </c>
      <c r="B15" s="140"/>
      <c r="C15" s="140"/>
      <c r="D15" s="140"/>
      <c r="E15" s="140"/>
      <c r="F15" s="141"/>
      <c r="G15" s="85" t="s">
        <v>130</v>
      </c>
      <c r="H15" s="99" t="s">
        <v>46</v>
      </c>
      <c r="I15" s="100" t="s">
        <v>67</v>
      </c>
      <c r="J15" s="60">
        <v>3</v>
      </c>
      <c r="K15" s="60">
        <v>1</v>
      </c>
      <c r="L15" s="100" t="str">
        <f t="shared" si="0"/>
        <v>CEL</v>
      </c>
      <c r="M15" s="101" t="str">
        <f t="shared" si="3"/>
        <v>L</v>
      </c>
      <c r="N15" s="102" t="str">
        <f t="shared" si="1"/>
        <v>Baixa</v>
      </c>
      <c r="O15" s="103">
        <f t="shared" si="2"/>
        <v>3</v>
      </c>
      <c r="P15" s="104">
        <f>IF(I15="I",O15*Contagem!$U$10,IF(I15="E",O15*Contagem!$U$12,IF(I15="A",O15*Contagem!$U$11,IF(I15="T",O15*Contagem!$U$13,""))))</f>
        <v>3</v>
      </c>
      <c r="Q15" s="12"/>
      <c r="R15" s="12"/>
      <c r="S15" s="12"/>
      <c r="T15" s="12"/>
      <c r="U15" s="12"/>
    </row>
    <row r="16" spans="1:21" ht="18" customHeight="1" x14ac:dyDescent="0.25">
      <c r="A16" s="139" t="s">
        <v>132</v>
      </c>
      <c r="B16" s="140"/>
      <c r="C16" s="140"/>
      <c r="D16" s="140"/>
      <c r="E16" s="140"/>
      <c r="F16" s="141"/>
      <c r="G16" s="85" t="s">
        <v>130</v>
      </c>
      <c r="H16" s="99" t="s">
        <v>46</v>
      </c>
      <c r="I16" s="100" t="s">
        <v>67</v>
      </c>
      <c r="J16" s="60">
        <v>3</v>
      </c>
      <c r="K16" s="60">
        <v>1</v>
      </c>
      <c r="L16" s="100" t="str">
        <f t="shared" ref="L16:L29" si="4">CONCATENATE(H16,M16)</f>
        <v>CEL</v>
      </c>
      <c r="M16" s="101" t="str">
        <f t="shared" ref="M16:M29" si="5">IF(OR(ISBLANK(J16),ISBLANK(K16)),IF(OR(H16="ALI",H16="AIE"),"L",IF(ISBLANK(H16),"","A")),IF(H16="EE",IF(K16&gt;=3,IF(J16&gt;=5,"H","A"),IF(K16&gt;=2,IF(J16&gt;=16,"H",IF(J16&lt;=4,"L","A")),IF(J16&lt;=15,"L","A"))),IF(OR(H16="SE",H16="CE"),IF(K16&gt;=4,IF(J16&gt;=6,"H","A"),IF(K16&gt;=2,IF(J16&gt;=20,"H",IF(J16&lt;=5,"L","A")),IF(J16&lt;=19,"L","A"))),IF(OR(H16="ALI",H16="AIE"),IF(K16&gt;=6,IF(J16&gt;=20,"H","A"),IF(K16&gt;=2,IF(J16&gt;=51,"H",IF(J16&lt;=19,"L","A")),IF(J16&lt;=50,"L","A")))))))</f>
        <v>L</v>
      </c>
      <c r="N16" s="102" t="str">
        <f t="shared" ref="N16:N18" si="6">IF(M16="L","Baixa",IF(M16="A","Média",IF(M16="","","Alta")))</f>
        <v>Baixa</v>
      </c>
      <c r="O16" s="103">
        <f t="shared" ref="O16:O18" si="7">IF(ISBLANK(H16),"",IF(H16="ALI",IF(M16="L",7,IF(M16="A",10,15)),IF(H16="AIE",IF(M16="L",5,IF(M16="A",7,10)),IF(H16="SE",IF(M16="L",4,IF(M16="A",5,7)),IF(OR(H16="EE",H16="CE"),IF(M16="L",3,IF(M16="A",4,6)))))))</f>
        <v>3</v>
      </c>
      <c r="P16" s="104">
        <f>IF(I16="I",O16*Contagem!$U$10,IF(I16="E",O16*Contagem!$U$12,IF(I16="A",O16*Contagem!$U$11,IF(I16="T",O16*Contagem!$U$13,""))))</f>
        <v>3</v>
      </c>
      <c r="Q16" s="12"/>
      <c r="R16" s="12"/>
      <c r="S16" s="12"/>
      <c r="T16" s="12"/>
      <c r="U16" s="12"/>
    </row>
    <row r="17" spans="1:21" ht="18" customHeight="1" x14ac:dyDescent="0.25">
      <c r="A17" s="139" t="s">
        <v>133</v>
      </c>
      <c r="B17" s="140"/>
      <c r="C17" s="140"/>
      <c r="D17" s="140"/>
      <c r="E17" s="140"/>
      <c r="F17" s="141"/>
      <c r="G17" s="85" t="s">
        <v>130</v>
      </c>
      <c r="H17" s="99" t="s">
        <v>46</v>
      </c>
      <c r="I17" s="100" t="s">
        <v>67</v>
      </c>
      <c r="J17" s="60">
        <v>8</v>
      </c>
      <c r="K17" s="60">
        <v>3</v>
      </c>
      <c r="L17" s="100" t="str">
        <f>CONCATENATE(H17,M17)</f>
        <v>CEA</v>
      </c>
      <c r="M17" s="101" t="str">
        <f>IF(OR(ISBLANK(J17),ISBLANK(K17)),IF(OR(H17="ALI",H17="AIE"),"L",IF(ISBLANK(H17),"","A")),IF(H17="EE",IF(K17&gt;=3,IF(J17&gt;=5,"H","A"),IF(K17&gt;=2,IF(J17&gt;=16,"H",IF(J17&lt;=4,"L","A")),IF(J17&lt;=15,"L","A"))),IF(OR(H17="SE",H17="CE"),IF(K17&gt;=4,IF(J17&gt;=6,"H","A"),IF(K17&gt;=2,IF(J17&gt;=20,"H",IF(J17&lt;=5,"L","A")),IF(J17&lt;=19,"L","A"))),IF(OR(H17="ALI",H17="AIE"),IF(K17&gt;=6,IF(J17&gt;=20,"H","A"),IF(K17&gt;=2,IF(J17&gt;=51,"H",IF(J17&lt;=19,"L","A")),IF(J17&lt;=50,"L","A")))))))</f>
        <v>A</v>
      </c>
      <c r="N17" s="102" t="str">
        <f>IF(M17="L","Baixa",IF(M17="A","Média",IF(M17="","","Alta")))</f>
        <v>Média</v>
      </c>
      <c r="O17" s="103">
        <f>IF(ISBLANK(H17),"",IF(H17="ALI",IF(M17="L",7,IF(M17="A",10,15)),IF(H17="AIE",IF(M17="L",5,IF(M17="A",7,10)),IF(H17="SE",IF(M17="L",4,IF(M17="A",5,7)),IF(OR(H17="EE",H17="CE"),IF(M17="L",3,IF(M17="A",4,6)))))))</f>
        <v>4</v>
      </c>
      <c r="P17" s="104">
        <f>IF(I17="I",O17*Contagem!$U$10,IF(I17="E",O17*Contagem!$U$12,IF(I17="A",O17*Contagem!$U$11,IF(I17="T",O17*Contagem!$U$13,""))))</f>
        <v>4</v>
      </c>
      <c r="Q17" s="12"/>
      <c r="R17" s="12"/>
      <c r="S17" s="12"/>
      <c r="T17" s="12"/>
      <c r="U17" s="12"/>
    </row>
    <row r="18" spans="1:21" ht="18" customHeight="1" x14ac:dyDescent="0.25">
      <c r="A18" s="139" t="s">
        <v>134</v>
      </c>
      <c r="B18" s="140"/>
      <c r="C18" s="140"/>
      <c r="D18" s="140"/>
      <c r="E18" s="140"/>
      <c r="F18" s="141"/>
      <c r="G18" s="85" t="s">
        <v>130</v>
      </c>
      <c r="H18" s="99" t="s">
        <v>35</v>
      </c>
      <c r="I18" s="100" t="s">
        <v>67</v>
      </c>
      <c r="J18" s="60">
        <v>4</v>
      </c>
      <c r="K18" s="60">
        <v>1</v>
      </c>
      <c r="L18" s="100" t="str">
        <f t="shared" si="4"/>
        <v>EEL</v>
      </c>
      <c r="M18" s="101" t="str">
        <f t="shared" si="5"/>
        <v>L</v>
      </c>
      <c r="N18" s="102" t="str">
        <f t="shared" si="6"/>
        <v>Baixa</v>
      </c>
      <c r="O18" s="103">
        <f t="shared" si="7"/>
        <v>3</v>
      </c>
      <c r="P18" s="104">
        <f>IF(I18="I",O18*Contagem!$U$10,IF(I18="E",O18*Contagem!$U$12,IF(I18="A",O18*Contagem!$U$11,IF(I18="T",O18*Contagem!$U$13,""))))</f>
        <v>3</v>
      </c>
      <c r="Q18" s="12"/>
      <c r="R18" s="12"/>
      <c r="S18" s="12"/>
      <c r="T18" s="12"/>
      <c r="U18" s="12"/>
    </row>
    <row r="19" spans="1:21" ht="18" customHeight="1" x14ac:dyDescent="0.25">
      <c r="A19" s="139" t="s">
        <v>135</v>
      </c>
      <c r="B19" s="140"/>
      <c r="C19" s="140"/>
      <c r="D19" s="140"/>
      <c r="E19" s="140"/>
      <c r="F19" s="141"/>
      <c r="G19" s="85" t="s">
        <v>130</v>
      </c>
      <c r="H19" s="99" t="s">
        <v>35</v>
      </c>
      <c r="I19" s="100" t="s">
        <v>67</v>
      </c>
      <c r="J19" s="60">
        <v>6</v>
      </c>
      <c r="K19" s="60">
        <v>1</v>
      </c>
      <c r="L19" s="100" t="str">
        <f t="shared" si="4"/>
        <v>EEL</v>
      </c>
      <c r="M19" s="101" t="str">
        <f t="shared" si="5"/>
        <v>L</v>
      </c>
      <c r="N19" s="102" t="str">
        <f t="shared" ref="N19:N48" si="8">IF(M19="L","Baixa",IF(M19="A","Média",IF(M19="","","Alta")))</f>
        <v>Baixa</v>
      </c>
      <c r="O19" s="103">
        <f t="shared" ref="O19:O48" si="9">IF(ISBLANK(H19),"",IF(H19="ALI",IF(M19="L",7,IF(M19="A",10,15)),IF(H19="AIE",IF(M19="L",5,IF(M19="A",7,10)),IF(H19="SE",IF(M19="L",4,IF(M19="A",5,7)),IF(OR(H19="EE",H19="CE"),IF(M19="L",3,IF(M19="A",4,6)))))))</f>
        <v>3</v>
      </c>
      <c r="P19" s="104">
        <f>IF(I19="I",O19*Contagem!$U$10,IF(I19="E",O19*Contagem!$U$12,IF(I19="A",O19*Contagem!$U$11,IF(I19="T",O19*Contagem!$U$13,""))))</f>
        <v>3</v>
      </c>
      <c r="Q19" s="12"/>
      <c r="R19" s="12"/>
      <c r="S19" s="12"/>
      <c r="T19" s="12"/>
      <c r="U19" s="12"/>
    </row>
    <row r="20" spans="1:21" ht="18" customHeight="1" x14ac:dyDescent="0.25">
      <c r="A20" s="139" t="s">
        <v>136</v>
      </c>
      <c r="B20" s="140"/>
      <c r="C20" s="140"/>
      <c r="D20" s="140"/>
      <c r="E20" s="140"/>
      <c r="F20" s="141"/>
      <c r="G20" s="85" t="s">
        <v>130</v>
      </c>
      <c r="H20" s="99" t="s">
        <v>46</v>
      </c>
      <c r="I20" s="100" t="s">
        <v>67</v>
      </c>
      <c r="J20" s="60">
        <v>6</v>
      </c>
      <c r="K20" s="60">
        <v>1</v>
      </c>
      <c r="L20" s="100" t="str">
        <f>CONCATENATE(H20,M20)</f>
        <v>CEL</v>
      </c>
      <c r="M20" s="101" t="str">
        <f>IF(OR(ISBLANK(J20),ISBLANK(K20)),IF(OR(H20="ALI",H20="AIE"),"L",IF(ISBLANK(H20),"","A")),IF(H20="EE",IF(K20&gt;=3,IF(J20&gt;=5,"H","A"),IF(K20&gt;=2,IF(J20&gt;=16,"H",IF(J20&lt;=4,"L","A")),IF(J20&lt;=15,"L","A"))),IF(OR(H20="SE",H20="CE"),IF(K20&gt;=4,IF(J20&gt;=6,"H","A"),IF(K20&gt;=2,IF(J20&gt;=20,"H",IF(J20&lt;=5,"L","A")),IF(J20&lt;=19,"L","A"))),IF(OR(H20="ALI",H20="AIE"),IF(K20&gt;=6,IF(J20&gt;=20,"H","A"),IF(K20&gt;=2,IF(J20&gt;=51,"H",IF(J20&lt;=19,"L","A")),IF(J20&lt;=50,"L","A")))))))</f>
        <v>L</v>
      </c>
      <c r="N20" s="102" t="str">
        <f t="shared" si="8"/>
        <v>Baixa</v>
      </c>
      <c r="O20" s="103">
        <f t="shared" si="9"/>
        <v>3</v>
      </c>
      <c r="P20" s="104">
        <f>IF(I20="I",O20*Contagem!$U$10,IF(I20="E",O20*Contagem!$U$12,IF(I20="A",O20*Contagem!$U$11,IF(I20="T",O20*Contagem!$U$13,""))))</f>
        <v>3</v>
      </c>
      <c r="Q20" s="12"/>
      <c r="R20" s="12"/>
      <c r="S20" s="12"/>
      <c r="T20" s="12"/>
      <c r="U20" s="12"/>
    </row>
    <row r="21" spans="1:21" ht="18" customHeight="1" x14ac:dyDescent="0.25">
      <c r="A21" s="139" t="s">
        <v>141</v>
      </c>
      <c r="B21" s="140"/>
      <c r="C21" s="140"/>
      <c r="D21" s="140"/>
      <c r="E21" s="140"/>
      <c r="F21" s="141"/>
      <c r="G21" s="85" t="s">
        <v>140</v>
      </c>
      <c r="H21" s="100" t="s">
        <v>35</v>
      </c>
      <c r="I21" s="100" t="s">
        <v>67</v>
      </c>
      <c r="J21" s="60">
        <v>6</v>
      </c>
      <c r="K21" s="60">
        <v>1</v>
      </c>
      <c r="L21" s="100" t="str">
        <f t="shared" si="4"/>
        <v>EEL</v>
      </c>
      <c r="M21" s="101" t="str">
        <f t="shared" si="5"/>
        <v>L</v>
      </c>
      <c r="N21" s="102" t="str">
        <f t="shared" si="8"/>
        <v>Baixa</v>
      </c>
      <c r="O21" s="103">
        <f t="shared" si="9"/>
        <v>3</v>
      </c>
      <c r="P21" s="104">
        <f>IF(I21="I",O21*Contagem!$U$10,IF(I21="E",O21*Contagem!$U$12,IF(I21="A",O21*Contagem!$U$11,IF(I21="T",O21*Contagem!$U$13,""))))</f>
        <v>3</v>
      </c>
      <c r="Q21" s="12"/>
      <c r="R21" s="12"/>
      <c r="S21" s="12"/>
      <c r="T21" s="12"/>
      <c r="U21" s="12"/>
    </row>
    <row r="22" spans="1:21" ht="18" customHeight="1" x14ac:dyDescent="0.25">
      <c r="A22" s="139" t="s">
        <v>142</v>
      </c>
      <c r="B22" s="140"/>
      <c r="C22" s="140"/>
      <c r="D22" s="140"/>
      <c r="E22" s="140"/>
      <c r="F22" s="141"/>
      <c r="G22" s="85" t="s">
        <v>140</v>
      </c>
      <c r="H22" s="100" t="s">
        <v>35</v>
      </c>
      <c r="I22" s="100" t="s">
        <v>67</v>
      </c>
      <c r="J22" s="60">
        <v>4</v>
      </c>
      <c r="K22" s="60">
        <v>1</v>
      </c>
      <c r="L22" s="100" t="str">
        <f t="shared" si="4"/>
        <v>EEL</v>
      </c>
      <c r="M22" s="101" t="str">
        <f t="shared" si="5"/>
        <v>L</v>
      </c>
      <c r="N22" s="102" t="str">
        <f t="shared" si="8"/>
        <v>Baixa</v>
      </c>
      <c r="O22" s="103">
        <f t="shared" si="9"/>
        <v>3</v>
      </c>
      <c r="P22" s="104">
        <f>IF(I22="I",O22*Contagem!$U$10,IF(I22="E",O22*Contagem!$U$12,IF(I22="A",O22*Contagem!$U$11,IF(I22="T",O22*Contagem!$U$13,""))))</f>
        <v>3</v>
      </c>
      <c r="Q22" s="12"/>
      <c r="R22" s="12"/>
      <c r="S22" s="12"/>
      <c r="T22" s="12"/>
      <c r="U22" s="12"/>
    </row>
    <row r="23" spans="1:21" ht="18" customHeight="1" x14ac:dyDescent="0.25">
      <c r="A23" s="139" t="s">
        <v>128</v>
      </c>
      <c r="B23" s="140"/>
      <c r="C23" s="140"/>
      <c r="D23" s="140"/>
      <c r="E23" s="140"/>
      <c r="F23" s="141"/>
      <c r="G23" s="85" t="s">
        <v>140</v>
      </c>
      <c r="H23" s="100" t="s">
        <v>35</v>
      </c>
      <c r="I23" s="100" t="s">
        <v>67</v>
      </c>
      <c r="J23" s="60">
        <v>3</v>
      </c>
      <c r="K23" s="60">
        <v>1</v>
      </c>
      <c r="L23" s="100" t="str">
        <f>CONCATENATE(H23,M23)</f>
        <v>EEL</v>
      </c>
      <c r="M23" s="101" t="str">
        <f>IF(OR(ISBLANK(J23),ISBLANK(K23)),IF(OR(H23="ALI",H23="AIE"),"L",IF(ISBLANK(H23),"","A")),IF(H23="EE",IF(K23&gt;=3,IF(J23&gt;=5,"H","A"),IF(K23&gt;=2,IF(J23&gt;=16,"H",IF(J23&lt;=4,"L","A")),IF(J23&lt;=15,"L","A"))),IF(OR(H23="SE",H23="CE"),IF(K23&gt;=4,IF(J23&gt;=6,"H","A"),IF(K23&gt;=2,IF(J23&gt;=20,"H",IF(J23&lt;=5,"L","A")),IF(J23&lt;=19,"L","A"))),IF(OR(H23="ALI",H23="AIE"),IF(K23&gt;=6,IF(J23&gt;=20,"H","A"),IF(K23&gt;=2,IF(J23&gt;=51,"H",IF(J23&lt;=19,"L","A")),IF(J23&lt;=50,"L","A")))))))</f>
        <v>L</v>
      </c>
      <c r="N23" s="102" t="str">
        <f t="shared" si="8"/>
        <v>Baixa</v>
      </c>
      <c r="O23" s="103">
        <f t="shared" si="9"/>
        <v>3</v>
      </c>
      <c r="P23" s="104">
        <f>IF(I23="I",O23*Contagem!$U$10,IF(I23="E",O23*Contagem!$U$12,IF(I23="A",O23*Contagem!$U$11,IF(I23="T",O23*Contagem!$U$13,""))))</f>
        <v>3</v>
      </c>
      <c r="Q23" s="12"/>
      <c r="R23" s="12"/>
      <c r="S23" s="12"/>
      <c r="T23" s="12"/>
      <c r="U23" s="12"/>
    </row>
    <row r="24" spans="1:21" ht="18" customHeight="1" x14ac:dyDescent="0.25">
      <c r="A24" s="139" t="s">
        <v>143</v>
      </c>
      <c r="B24" s="140"/>
      <c r="C24" s="140"/>
      <c r="D24" s="140"/>
      <c r="E24" s="140"/>
      <c r="F24" s="141"/>
      <c r="G24" s="85" t="s">
        <v>140</v>
      </c>
      <c r="H24" s="100" t="s">
        <v>46</v>
      </c>
      <c r="I24" s="100" t="s">
        <v>67</v>
      </c>
      <c r="J24" s="60">
        <v>3</v>
      </c>
      <c r="K24" s="60">
        <v>1</v>
      </c>
      <c r="L24" s="100" t="str">
        <f t="shared" si="4"/>
        <v>CEL</v>
      </c>
      <c r="M24" s="101" t="str">
        <f t="shared" si="5"/>
        <v>L</v>
      </c>
      <c r="N24" s="102" t="str">
        <f t="shared" si="8"/>
        <v>Baixa</v>
      </c>
      <c r="O24" s="103">
        <f t="shared" si="9"/>
        <v>3</v>
      </c>
      <c r="P24" s="104">
        <f>IF(I24="I",O24*Contagem!$U$10,IF(I24="E",O24*Contagem!$U$12,IF(I24="A",O24*Contagem!$U$11,IF(I24="T",O24*Contagem!$U$13,""))))</f>
        <v>3</v>
      </c>
      <c r="Q24" s="12"/>
      <c r="R24" s="12"/>
      <c r="S24" s="12"/>
      <c r="T24" s="12"/>
      <c r="U24" s="12"/>
    </row>
    <row r="25" spans="1:21" ht="18" customHeight="1" x14ac:dyDescent="0.25">
      <c r="A25" s="139" t="s">
        <v>144</v>
      </c>
      <c r="B25" s="140"/>
      <c r="C25" s="140"/>
      <c r="D25" s="140"/>
      <c r="E25" s="140"/>
      <c r="F25" s="141"/>
      <c r="G25" s="85" t="s">
        <v>140</v>
      </c>
      <c r="H25" s="100" t="s">
        <v>35</v>
      </c>
      <c r="I25" s="100" t="s">
        <v>67</v>
      </c>
      <c r="J25" s="60">
        <v>3</v>
      </c>
      <c r="K25" s="60">
        <v>1</v>
      </c>
      <c r="L25" s="100" t="str">
        <f>CONCATENATE(H25,M25)</f>
        <v>EEL</v>
      </c>
      <c r="M25" s="101" t="str">
        <f>IF(OR(ISBLANK(J25),ISBLANK(K25)),IF(OR(H25="ALI",H25="AIE"),"L",IF(ISBLANK(H25),"","A")),IF(H25="EE",IF(K25&gt;=3,IF(J25&gt;=5,"H","A"),IF(K25&gt;=2,IF(J25&gt;=16,"H",IF(J25&lt;=4,"L","A")),IF(J25&lt;=15,"L","A"))),IF(OR(H25="SE",H25="CE"),IF(K25&gt;=4,IF(J25&gt;=6,"H","A"),IF(K25&gt;=2,IF(J25&gt;=20,"H",IF(J25&lt;=5,"L","A")),IF(J25&lt;=19,"L","A"))),IF(OR(H25="ALI",H25="AIE"),IF(K25&gt;=6,IF(J25&gt;=20,"H","A"),IF(K25&gt;=2,IF(J25&gt;=51,"H",IF(J25&lt;=19,"L","A")),IF(J25&lt;=50,"L","A")))))))</f>
        <v>L</v>
      </c>
      <c r="N25" s="102" t="str">
        <f t="shared" si="8"/>
        <v>Baixa</v>
      </c>
      <c r="O25" s="103">
        <f t="shared" si="9"/>
        <v>3</v>
      </c>
      <c r="P25" s="104">
        <f>IF(I25="I",O25*Contagem!$U$10,IF(I25="E",O25*Contagem!$U$12,IF(I25="A",O25*Contagem!$U$11,IF(I25="T",O25*Contagem!$U$13,""))))</f>
        <v>3</v>
      </c>
      <c r="Q25" s="12"/>
      <c r="R25" s="12"/>
      <c r="S25" s="12"/>
      <c r="T25" s="12"/>
      <c r="U25" s="12"/>
    </row>
    <row r="26" spans="1:21" ht="18" customHeight="1" x14ac:dyDescent="0.25">
      <c r="A26" s="139" t="s">
        <v>146</v>
      </c>
      <c r="B26" s="140"/>
      <c r="C26" s="140"/>
      <c r="D26" s="140"/>
      <c r="E26" s="140"/>
      <c r="F26" s="141"/>
      <c r="G26" s="85" t="s">
        <v>140</v>
      </c>
      <c r="H26" s="100" t="s">
        <v>46</v>
      </c>
      <c r="I26" s="100" t="s">
        <v>67</v>
      </c>
      <c r="J26" s="60">
        <v>8</v>
      </c>
      <c r="K26" s="60">
        <v>1</v>
      </c>
      <c r="L26" s="100" t="str">
        <f t="shared" si="4"/>
        <v>CEL</v>
      </c>
      <c r="M26" s="101" t="str">
        <f t="shared" si="5"/>
        <v>L</v>
      </c>
      <c r="N26" s="102" t="str">
        <f t="shared" si="8"/>
        <v>Baixa</v>
      </c>
      <c r="O26" s="103">
        <f t="shared" si="9"/>
        <v>3</v>
      </c>
      <c r="P26" s="104">
        <f>IF(I26="I",O26*Contagem!$U$10,IF(I26="E",O26*Contagem!$U$12,IF(I26="A",O26*Contagem!$U$11,IF(I26="T",O26*Contagem!$U$13,""))))</f>
        <v>3</v>
      </c>
      <c r="Q26" s="12"/>
      <c r="R26" s="12"/>
      <c r="S26" s="12"/>
      <c r="T26" s="12"/>
      <c r="U26" s="12"/>
    </row>
    <row r="27" spans="1:21" ht="18" customHeight="1" x14ac:dyDescent="0.25">
      <c r="A27" s="139" t="s">
        <v>145</v>
      </c>
      <c r="B27" s="140"/>
      <c r="C27" s="140"/>
      <c r="D27" s="140"/>
      <c r="E27" s="140"/>
      <c r="F27" s="141"/>
      <c r="G27" s="85" t="s">
        <v>140</v>
      </c>
      <c r="H27" s="100" t="s">
        <v>46</v>
      </c>
      <c r="I27" s="100" t="s">
        <v>67</v>
      </c>
      <c r="J27" s="60">
        <v>3</v>
      </c>
      <c r="K27" s="60">
        <v>1</v>
      </c>
      <c r="L27" s="100" t="str">
        <f t="shared" si="4"/>
        <v>CEL</v>
      </c>
      <c r="M27" s="101" t="str">
        <f t="shared" si="5"/>
        <v>L</v>
      </c>
      <c r="N27" s="102" t="str">
        <f t="shared" si="8"/>
        <v>Baixa</v>
      </c>
      <c r="O27" s="103">
        <f t="shared" si="9"/>
        <v>3</v>
      </c>
      <c r="P27" s="104">
        <f>IF(I27="I",O27*Contagem!$U$10,IF(I27="E",O27*Contagem!$U$12,IF(I27="A",O27*Contagem!$U$11,IF(I27="T",O27*Contagem!$U$13,""))))</f>
        <v>3</v>
      </c>
      <c r="Q27" s="12"/>
      <c r="R27" s="12"/>
      <c r="S27" s="12"/>
      <c r="T27" s="12"/>
      <c r="U27" s="12"/>
    </row>
    <row r="28" spans="1:21" ht="18" customHeight="1" x14ac:dyDescent="0.25">
      <c r="A28" s="139" t="s">
        <v>149</v>
      </c>
      <c r="B28" s="140"/>
      <c r="C28" s="140"/>
      <c r="D28" s="140"/>
      <c r="E28" s="140"/>
      <c r="F28" s="141"/>
      <c r="G28" s="85" t="s">
        <v>140</v>
      </c>
      <c r="H28" s="100" t="s">
        <v>46</v>
      </c>
      <c r="I28" s="100" t="s">
        <v>67</v>
      </c>
      <c r="J28" s="60">
        <v>3</v>
      </c>
      <c r="K28" s="60">
        <v>1</v>
      </c>
      <c r="L28" s="100" t="str">
        <f t="shared" si="4"/>
        <v>CEL</v>
      </c>
      <c r="M28" s="101" t="str">
        <f t="shared" si="5"/>
        <v>L</v>
      </c>
      <c r="N28" s="102" t="str">
        <f t="shared" si="8"/>
        <v>Baixa</v>
      </c>
      <c r="O28" s="103">
        <f t="shared" si="9"/>
        <v>3</v>
      </c>
      <c r="P28" s="104">
        <f>IF(I28="I",O28*Contagem!$U$10,IF(I28="E",O28*Contagem!$U$12,IF(I28="A",O28*Contagem!$U$11,IF(I28="T",O28*Contagem!$U$13,""))))</f>
        <v>3</v>
      </c>
      <c r="Q28" s="12"/>
      <c r="R28" s="12"/>
      <c r="S28" s="12"/>
      <c r="T28" s="12"/>
      <c r="U28" s="12"/>
    </row>
    <row r="29" spans="1:21" ht="18" customHeight="1" x14ac:dyDescent="0.25">
      <c r="A29" s="139" t="s">
        <v>147</v>
      </c>
      <c r="B29" s="140"/>
      <c r="C29" s="140"/>
      <c r="D29" s="140"/>
      <c r="E29" s="140"/>
      <c r="F29" s="141"/>
      <c r="G29" s="85" t="s">
        <v>140</v>
      </c>
      <c r="H29" s="100" t="s">
        <v>35</v>
      </c>
      <c r="I29" s="100" t="s">
        <v>67</v>
      </c>
      <c r="J29" s="60">
        <v>4</v>
      </c>
      <c r="K29" s="60">
        <v>1</v>
      </c>
      <c r="L29" s="100" t="str">
        <f t="shared" si="4"/>
        <v>EEL</v>
      </c>
      <c r="M29" s="101" t="str">
        <f t="shared" si="5"/>
        <v>L</v>
      </c>
      <c r="N29" s="102" t="str">
        <f t="shared" si="8"/>
        <v>Baixa</v>
      </c>
      <c r="O29" s="103">
        <f t="shared" si="9"/>
        <v>3</v>
      </c>
      <c r="P29" s="104">
        <f>IF(I29="I",O29*Contagem!$U$10,IF(I29="E",O29*Contagem!$U$12,IF(I29="A",O29*Contagem!$U$11,IF(I29="T",O29*Contagem!$U$13,""))))</f>
        <v>3</v>
      </c>
      <c r="Q29" s="12"/>
      <c r="R29" s="12"/>
      <c r="S29" s="12"/>
      <c r="T29" s="12"/>
      <c r="U29" s="12"/>
    </row>
    <row r="30" spans="1:21" ht="18" customHeight="1" x14ac:dyDescent="0.25">
      <c r="A30" s="139" t="s">
        <v>148</v>
      </c>
      <c r="B30" s="140"/>
      <c r="C30" s="140"/>
      <c r="D30" s="140"/>
      <c r="E30" s="140"/>
      <c r="F30" s="141"/>
      <c r="G30" s="85" t="s">
        <v>140</v>
      </c>
      <c r="H30" s="100" t="s">
        <v>46</v>
      </c>
      <c r="I30" s="100" t="s">
        <v>67</v>
      </c>
      <c r="J30" s="60">
        <v>4</v>
      </c>
      <c r="K30" s="60">
        <v>1</v>
      </c>
      <c r="L30" s="100" t="str">
        <f t="shared" ref="L30:L41" si="10">CONCATENATE(H30,M30)</f>
        <v>CEL</v>
      </c>
      <c r="M30" s="101" t="str">
        <f t="shared" ref="M30:M41" si="11">IF(OR(ISBLANK(J30),ISBLANK(K30)),IF(OR(H30="ALI",H30="AIE"),"L",IF(ISBLANK(H30),"","A")),IF(H30="EE",IF(K30&gt;=3,IF(J30&gt;=5,"H","A"),IF(K30&gt;=2,IF(J30&gt;=16,"H",IF(J30&lt;=4,"L","A")),IF(J30&lt;=15,"L","A"))),IF(OR(H30="SE",H30="CE"),IF(K30&gt;=4,IF(J30&gt;=6,"H","A"),IF(K30&gt;=2,IF(J30&gt;=20,"H",IF(J30&lt;=5,"L","A")),IF(J30&lt;=19,"L","A"))),IF(OR(H30="ALI",H30="AIE"),IF(K30&gt;=6,IF(J30&gt;=20,"H","A"),IF(K30&gt;=2,IF(J30&gt;=51,"H",IF(J30&lt;=19,"L","A")),IF(J30&lt;=50,"L","A")))))))</f>
        <v>L</v>
      </c>
      <c r="N30" s="102" t="str">
        <f t="shared" si="8"/>
        <v>Baixa</v>
      </c>
      <c r="O30" s="103">
        <f t="shared" si="9"/>
        <v>3</v>
      </c>
      <c r="P30" s="104">
        <f>IF(I30="I",O30*Contagem!$U$10,IF(I30="E",O30*Contagem!$U$12,IF(I30="A",O30*Contagem!$U$11,IF(I30="T",O30*Contagem!$U$13,""))))</f>
        <v>3</v>
      </c>
      <c r="Q30" s="12"/>
      <c r="R30" s="12"/>
      <c r="S30" s="12"/>
      <c r="T30" s="12"/>
      <c r="U30" s="12"/>
    </row>
    <row r="31" spans="1:21" ht="18" customHeight="1" x14ac:dyDescent="0.25">
      <c r="A31" s="139" t="s">
        <v>150</v>
      </c>
      <c r="B31" s="140"/>
      <c r="C31" s="140"/>
      <c r="D31" s="140"/>
      <c r="E31" s="140"/>
      <c r="F31" s="141"/>
      <c r="G31" s="85" t="s">
        <v>140</v>
      </c>
      <c r="H31" s="100" t="s">
        <v>46</v>
      </c>
      <c r="I31" s="100" t="s">
        <v>67</v>
      </c>
      <c r="J31" s="60">
        <v>4</v>
      </c>
      <c r="K31" s="60">
        <v>1</v>
      </c>
      <c r="L31" s="100" t="str">
        <f t="shared" si="10"/>
        <v>CEL</v>
      </c>
      <c r="M31" s="101" t="str">
        <f t="shared" si="11"/>
        <v>L</v>
      </c>
      <c r="N31" s="102" t="str">
        <f t="shared" si="8"/>
        <v>Baixa</v>
      </c>
      <c r="O31" s="103">
        <f t="shared" si="9"/>
        <v>3</v>
      </c>
      <c r="P31" s="104">
        <f>IF(I31="I",O31*Contagem!$U$10,IF(I31="E",O31*Contagem!$U$12,IF(I31="A",O31*Contagem!$U$11,IF(I31="T",O31*Contagem!$U$13,""))))</f>
        <v>3</v>
      </c>
      <c r="Q31" s="12"/>
      <c r="R31" s="12"/>
      <c r="S31" s="12"/>
      <c r="T31" s="12"/>
      <c r="U31" s="12"/>
    </row>
    <row r="32" spans="1:21" ht="18" customHeight="1" x14ac:dyDescent="0.25">
      <c r="A32" s="139" t="s">
        <v>151</v>
      </c>
      <c r="B32" s="140"/>
      <c r="C32" s="140"/>
      <c r="D32" s="140"/>
      <c r="E32" s="140"/>
      <c r="F32" s="141"/>
      <c r="G32" s="85" t="s">
        <v>140</v>
      </c>
      <c r="H32" s="100" t="s">
        <v>35</v>
      </c>
      <c r="I32" s="100" t="s">
        <v>67</v>
      </c>
      <c r="J32" s="60">
        <v>3</v>
      </c>
      <c r="K32" s="60">
        <v>1</v>
      </c>
      <c r="L32" s="100" t="str">
        <f t="shared" si="10"/>
        <v>EEL</v>
      </c>
      <c r="M32" s="101" t="str">
        <f t="shared" si="11"/>
        <v>L</v>
      </c>
      <c r="N32" s="102" t="str">
        <f t="shared" si="8"/>
        <v>Baixa</v>
      </c>
      <c r="O32" s="103">
        <f t="shared" si="9"/>
        <v>3</v>
      </c>
      <c r="P32" s="104">
        <f>IF(I32="I",O32*Contagem!$U$10,IF(I32="E",O32*Contagem!$U$12,IF(I32="A",O32*Contagem!$U$11,IF(I32="T",O32*Contagem!$U$13,""))))</f>
        <v>3</v>
      </c>
      <c r="Q32" s="12"/>
      <c r="R32" s="12"/>
      <c r="S32" s="12"/>
      <c r="T32" s="12"/>
      <c r="U32" s="12"/>
    </row>
    <row r="33" spans="1:21" ht="18" customHeight="1" x14ac:dyDescent="0.25">
      <c r="A33" s="139" t="s">
        <v>152</v>
      </c>
      <c r="B33" s="140"/>
      <c r="C33" s="140"/>
      <c r="D33" s="140"/>
      <c r="E33" s="140"/>
      <c r="F33" s="141"/>
      <c r="G33" s="85" t="s">
        <v>140</v>
      </c>
      <c r="H33" s="100" t="s">
        <v>46</v>
      </c>
      <c r="I33" s="100" t="s">
        <v>67</v>
      </c>
      <c r="J33" s="60">
        <v>9</v>
      </c>
      <c r="K33" s="60">
        <v>1</v>
      </c>
      <c r="L33" s="100" t="str">
        <f t="shared" si="10"/>
        <v>CEL</v>
      </c>
      <c r="M33" s="101" t="str">
        <f t="shared" si="11"/>
        <v>L</v>
      </c>
      <c r="N33" s="102" t="str">
        <f t="shared" si="8"/>
        <v>Baixa</v>
      </c>
      <c r="O33" s="103">
        <f t="shared" si="9"/>
        <v>3</v>
      </c>
      <c r="P33" s="104">
        <f>IF(I33="I",O33*Contagem!$U$10,IF(I33="E",O33*Contagem!$U$12,IF(I33="A",O33*Contagem!$U$11,IF(I33="T",O33*Contagem!$U$13,""))))</f>
        <v>3</v>
      </c>
      <c r="Q33" s="12"/>
      <c r="R33" s="12"/>
      <c r="S33" s="12"/>
      <c r="T33" s="12"/>
      <c r="U33" s="12"/>
    </row>
    <row r="34" spans="1:21" ht="18" customHeight="1" x14ac:dyDescent="0.25">
      <c r="A34" s="139" t="s">
        <v>153</v>
      </c>
      <c r="B34" s="140"/>
      <c r="C34" s="140"/>
      <c r="D34" s="140"/>
      <c r="E34" s="140"/>
      <c r="F34" s="141"/>
      <c r="G34" s="85" t="s">
        <v>140</v>
      </c>
      <c r="H34" s="100" t="s">
        <v>46</v>
      </c>
      <c r="I34" s="100" t="s">
        <v>67</v>
      </c>
      <c r="J34" s="60">
        <v>3</v>
      </c>
      <c r="K34" s="60">
        <v>1</v>
      </c>
      <c r="L34" s="100" t="str">
        <f t="shared" si="10"/>
        <v>CEL</v>
      </c>
      <c r="M34" s="101" t="str">
        <f t="shared" si="11"/>
        <v>L</v>
      </c>
      <c r="N34" s="102" t="str">
        <f t="shared" si="8"/>
        <v>Baixa</v>
      </c>
      <c r="O34" s="103">
        <f t="shared" si="9"/>
        <v>3</v>
      </c>
      <c r="P34" s="104">
        <f>IF(I34="I",O34*Contagem!$U$10,IF(I34="E",O34*Contagem!$U$12,IF(I34="A",O34*Contagem!$U$11,IF(I34="T",O34*Contagem!$U$13,""))))</f>
        <v>3</v>
      </c>
      <c r="Q34" s="12"/>
      <c r="R34" s="12"/>
      <c r="S34" s="12"/>
      <c r="T34" s="12"/>
      <c r="U34" s="12"/>
    </row>
    <row r="35" spans="1:21" ht="18" customHeight="1" x14ac:dyDescent="0.25">
      <c r="A35" s="139" t="s">
        <v>154</v>
      </c>
      <c r="B35" s="140"/>
      <c r="C35" s="140"/>
      <c r="D35" s="140"/>
      <c r="E35" s="140"/>
      <c r="F35" s="141"/>
      <c r="G35" s="85" t="s">
        <v>140</v>
      </c>
      <c r="H35" s="100" t="s">
        <v>35</v>
      </c>
      <c r="I35" s="100" t="s">
        <v>67</v>
      </c>
      <c r="J35" s="60">
        <v>5</v>
      </c>
      <c r="K35" s="60">
        <v>1</v>
      </c>
      <c r="L35" s="100" t="str">
        <f t="shared" si="10"/>
        <v>EEL</v>
      </c>
      <c r="M35" s="101" t="str">
        <f t="shared" si="11"/>
        <v>L</v>
      </c>
      <c r="N35" s="102" t="str">
        <f t="shared" si="8"/>
        <v>Baixa</v>
      </c>
      <c r="O35" s="103">
        <f t="shared" si="9"/>
        <v>3</v>
      </c>
      <c r="P35" s="104">
        <f>IF(I35="I",O35*Contagem!$U$10,IF(I35="E",O35*Contagem!$U$12,IF(I35="A",O35*Contagem!$U$11,IF(I35="T",O35*Contagem!$U$13,""))))</f>
        <v>3</v>
      </c>
      <c r="Q35" s="12"/>
      <c r="R35" s="12"/>
      <c r="S35" s="12"/>
      <c r="T35" s="12"/>
      <c r="U35" s="12"/>
    </row>
    <row r="36" spans="1:21" ht="18" customHeight="1" x14ac:dyDescent="0.25">
      <c r="A36" s="139" t="s">
        <v>156</v>
      </c>
      <c r="B36" s="140"/>
      <c r="C36" s="140"/>
      <c r="D36" s="140"/>
      <c r="E36" s="140"/>
      <c r="F36" s="141"/>
      <c r="G36" s="85" t="s">
        <v>155</v>
      </c>
      <c r="H36" s="100" t="s">
        <v>35</v>
      </c>
      <c r="I36" s="100" t="s">
        <v>67</v>
      </c>
      <c r="J36" s="60">
        <v>5</v>
      </c>
      <c r="K36" s="60">
        <v>1</v>
      </c>
      <c r="L36" s="100" t="str">
        <f t="shared" si="10"/>
        <v>EEL</v>
      </c>
      <c r="M36" s="101" t="str">
        <f t="shared" si="11"/>
        <v>L</v>
      </c>
      <c r="N36" s="102" t="str">
        <f t="shared" si="8"/>
        <v>Baixa</v>
      </c>
      <c r="O36" s="103">
        <f t="shared" si="9"/>
        <v>3</v>
      </c>
      <c r="P36" s="104">
        <f>IF(I36="I",O36*Contagem!$U$10,IF(I36="E",O36*Contagem!$U$12,IF(I36="A",O36*Contagem!$U$11,IF(I36="T",O36*Contagem!$U$13,""))))</f>
        <v>3</v>
      </c>
      <c r="Q36" s="12"/>
      <c r="R36" s="12"/>
      <c r="S36" s="12"/>
      <c r="T36" s="12"/>
      <c r="U36" s="12"/>
    </row>
    <row r="37" spans="1:21" ht="18" customHeight="1" x14ac:dyDescent="0.25">
      <c r="A37" s="139" t="s">
        <v>128</v>
      </c>
      <c r="B37" s="140"/>
      <c r="C37" s="140"/>
      <c r="D37" s="140"/>
      <c r="E37" s="140"/>
      <c r="F37" s="141"/>
      <c r="G37" s="85" t="s">
        <v>155</v>
      </c>
      <c r="H37" s="100" t="s">
        <v>35</v>
      </c>
      <c r="I37" s="100" t="s">
        <v>67</v>
      </c>
      <c r="J37" s="60">
        <v>3</v>
      </c>
      <c r="K37" s="60">
        <v>1</v>
      </c>
      <c r="L37" s="100" t="str">
        <f t="shared" si="10"/>
        <v>EEL</v>
      </c>
      <c r="M37" s="101" t="str">
        <f t="shared" si="11"/>
        <v>L</v>
      </c>
      <c r="N37" s="102" t="str">
        <f t="shared" si="8"/>
        <v>Baixa</v>
      </c>
      <c r="O37" s="103">
        <f t="shared" si="9"/>
        <v>3</v>
      </c>
      <c r="P37" s="104">
        <f>IF(I37="I",O37*Contagem!$U$10,IF(I37="E",O37*Contagem!$U$12,IF(I37="A",O37*Contagem!$U$11,IF(I37="T",O37*Contagem!$U$13,""))))</f>
        <v>3</v>
      </c>
      <c r="Q37" s="12"/>
      <c r="R37" s="12"/>
      <c r="S37" s="12"/>
      <c r="T37" s="12"/>
      <c r="U37" s="12"/>
    </row>
    <row r="38" spans="1:21" ht="18" customHeight="1" x14ac:dyDescent="0.25">
      <c r="A38" s="139" t="s">
        <v>157</v>
      </c>
      <c r="B38" s="140"/>
      <c r="C38" s="140"/>
      <c r="D38" s="140"/>
      <c r="E38" s="140"/>
      <c r="F38" s="141"/>
      <c r="G38" s="85" t="s">
        <v>155</v>
      </c>
      <c r="H38" s="100" t="s">
        <v>46</v>
      </c>
      <c r="I38" s="100" t="s">
        <v>67</v>
      </c>
      <c r="J38" s="60">
        <v>5</v>
      </c>
      <c r="K38" s="60">
        <v>1</v>
      </c>
      <c r="L38" s="100" t="str">
        <f t="shared" si="10"/>
        <v>CEL</v>
      </c>
      <c r="M38" s="101" t="str">
        <f t="shared" si="11"/>
        <v>L</v>
      </c>
      <c r="N38" s="102" t="str">
        <f t="shared" si="8"/>
        <v>Baixa</v>
      </c>
      <c r="O38" s="103">
        <f t="shared" si="9"/>
        <v>3</v>
      </c>
      <c r="P38" s="104">
        <f>IF(I38="I",O38*Contagem!$U$10,IF(I38="E",O38*Contagem!$U$12,IF(I38="A",O38*Contagem!$U$11,IF(I38="T",O38*Contagem!$U$13,""))))</f>
        <v>3</v>
      </c>
      <c r="Q38" s="12"/>
      <c r="R38" s="12"/>
      <c r="S38" s="12"/>
      <c r="T38" s="12"/>
      <c r="U38" s="12"/>
    </row>
    <row r="39" spans="1:21" ht="18" customHeight="1" x14ac:dyDescent="0.25">
      <c r="A39" s="139" t="s">
        <v>158</v>
      </c>
      <c r="B39" s="140"/>
      <c r="C39" s="140"/>
      <c r="D39" s="140"/>
      <c r="E39" s="140"/>
      <c r="F39" s="141"/>
      <c r="G39" s="85" t="s">
        <v>155</v>
      </c>
      <c r="H39" s="100" t="s">
        <v>35</v>
      </c>
      <c r="I39" s="100" t="s">
        <v>67</v>
      </c>
      <c r="J39" s="60">
        <v>7</v>
      </c>
      <c r="K39" s="60">
        <v>1</v>
      </c>
      <c r="L39" s="100" t="str">
        <f t="shared" si="10"/>
        <v>EEL</v>
      </c>
      <c r="M39" s="101" t="str">
        <f t="shared" si="11"/>
        <v>L</v>
      </c>
      <c r="N39" s="102" t="str">
        <f t="shared" si="8"/>
        <v>Baixa</v>
      </c>
      <c r="O39" s="103">
        <f t="shared" si="9"/>
        <v>3</v>
      </c>
      <c r="P39" s="104">
        <f>IF(I39="I",O39*Contagem!$U$10,IF(I39="E",O39*Contagem!$U$12,IF(I39="A",O39*Contagem!$U$11,IF(I39="T",O39*Contagem!$U$13,""))))</f>
        <v>3</v>
      </c>
      <c r="Q39" s="12"/>
      <c r="R39" s="12"/>
      <c r="S39" s="12"/>
      <c r="T39" s="12"/>
      <c r="U39" s="12"/>
    </row>
    <row r="40" spans="1:21" ht="18" customHeight="1" x14ac:dyDescent="0.25">
      <c r="A40" s="139" t="s">
        <v>154</v>
      </c>
      <c r="B40" s="140"/>
      <c r="C40" s="140"/>
      <c r="D40" s="140"/>
      <c r="E40" s="140"/>
      <c r="F40" s="141"/>
      <c r="G40" s="85" t="s">
        <v>155</v>
      </c>
      <c r="H40" s="100" t="s">
        <v>35</v>
      </c>
      <c r="I40" s="100" t="s">
        <v>67</v>
      </c>
      <c r="J40" s="60">
        <v>5</v>
      </c>
      <c r="K40" s="60">
        <v>1</v>
      </c>
      <c r="L40" s="100" t="str">
        <f t="shared" si="10"/>
        <v>EEL</v>
      </c>
      <c r="M40" s="101" t="str">
        <f t="shared" si="11"/>
        <v>L</v>
      </c>
      <c r="N40" s="102" t="str">
        <f t="shared" si="8"/>
        <v>Baixa</v>
      </c>
      <c r="O40" s="103">
        <f t="shared" si="9"/>
        <v>3</v>
      </c>
      <c r="P40" s="104">
        <f>IF(I40="I",O40*Contagem!$U$10,IF(I40="E",O40*Contagem!$U$12,IF(I40="A",O40*Contagem!$U$11,IF(I40="T",O40*Contagem!$U$13,""))))</f>
        <v>3</v>
      </c>
      <c r="Q40" s="12"/>
      <c r="R40" s="12"/>
      <c r="S40" s="12"/>
      <c r="T40" s="12"/>
      <c r="U40" s="12"/>
    </row>
    <row r="41" spans="1:21" ht="18" customHeight="1" x14ac:dyDescent="0.25">
      <c r="A41" s="139"/>
      <c r="B41" s="140"/>
      <c r="C41" s="140"/>
      <c r="D41" s="140"/>
      <c r="E41" s="140"/>
      <c r="F41" s="141"/>
      <c r="G41" s="85"/>
      <c r="H41" s="100"/>
      <c r="I41" s="100"/>
      <c r="J41" s="60"/>
      <c r="K41" s="60"/>
      <c r="L41" s="100" t="str">
        <f t="shared" si="10"/>
        <v/>
      </c>
      <c r="M41" s="101" t="str">
        <f t="shared" si="11"/>
        <v/>
      </c>
      <c r="N41" s="102" t="str">
        <f t="shared" si="8"/>
        <v/>
      </c>
      <c r="O41" s="103" t="str">
        <f t="shared" si="9"/>
        <v/>
      </c>
      <c r="P41" s="104" t="str">
        <f>IF(I41="I",O41*Contagem!$U$10,IF(I41="E",O41*Contagem!$U$12,IF(I41="A",O41*Contagem!$U$11,IF(I41="T",O41*Contagem!$U$13,""))))</f>
        <v/>
      </c>
      <c r="Q41" s="12"/>
      <c r="R41" s="12"/>
      <c r="S41" s="12"/>
      <c r="T41" s="12"/>
      <c r="U41" s="12"/>
    </row>
    <row r="42" spans="1:21" ht="18" customHeight="1" x14ac:dyDescent="0.25">
      <c r="A42" s="139"/>
      <c r="B42" s="140"/>
      <c r="C42" s="140"/>
      <c r="D42" s="140"/>
      <c r="E42" s="140"/>
      <c r="F42" s="141"/>
      <c r="G42" s="85"/>
      <c r="H42" s="100"/>
      <c r="I42" s="100"/>
      <c r="J42" s="60"/>
      <c r="K42" s="60"/>
      <c r="L42" s="100" t="str">
        <f>CONCATENATE(H42,M42)</f>
        <v/>
      </c>
      <c r="M42" s="101" t="str">
        <f>IF(OR(ISBLANK(J42),ISBLANK(K42)),IF(OR(H42="ALI",H42="AIE"),"L",IF(ISBLANK(H42),"","A")),IF(H42="EE",IF(K42&gt;=3,IF(J42&gt;=5,"H","A"),IF(K42&gt;=2,IF(J42&gt;=16,"H",IF(J42&lt;=4,"L","A")),IF(J42&lt;=15,"L","A"))),IF(OR(H42="SE",H42="CE"),IF(K42&gt;=4,IF(J42&gt;=6,"H","A"),IF(K42&gt;=2,IF(J42&gt;=20,"H",IF(J42&lt;=5,"L","A")),IF(J42&lt;=19,"L","A"))),IF(OR(H42="ALI",H42="AIE"),IF(K42&gt;=6,IF(J42&gt;=20,"H","A"),IF(K42&gt;=2,IF(J42&gt;=51,"H",IF(J42&lt;=19,"L","A")),IF(J42&lt;=50,"L","A")))))))</f>
        <v/>
      </c>
      <c r="N42" s="102" t="str">
        <f t="shared" si="8"/>
        <v/>
      </c>
      <c r="O42" s="103" t="str">
        <f t="shared" si="9"/>
        <v/>
      </c>
      <c r="P42" s="104" t="str">
        <f>IF(I42="I",O42*Contagem!$U$10,IF(I42="E",O42*Contagem!$U$12,IF(I42="A",O42*Contagem!$U$11,IF(I42="T",O42*Contagem!$U$13,""))))</f>
        <v/>
      </c>
      <c r="Q42" s="12"/>
      <c r="R42" s="12"/>
      <c r="S42" s="12"/>
      <c r="T42" s="12"/>
      <c r="U42" s="12"/>
    </row>
    <row r="43" spans="1:21" ht="18" customHeight="1" x14ac:dyDescent="0.25">
      <c r="A43" s="139"/>
      <c r="B43" s="140"/>
      <c r="C43" s="140"/>
      <c r="D43" s="140"/>
      <c r="E43" s="140"/>
      <c r="F43" s="141"/>
      <c r="G43" s="85"/>
      <c r="H43" s="100"/>
      <c r="I43" s="100"/>
      <c r="J43" s="60"/>
      <c r="K43" s="60"/>
      <c r="L43" s="100"/>
      <c r="M43" s="101"/>
      <c r="N43" s="102" t="str">
        <f t="shared" si="8"/>
        <v/>
      </c>
      <c r="O43" s="103" t="str">
        <f t="shared" si="9"/>
        <v/>
      </c>
      <c r="P43" s="104" t="str">
        <f>IF(I43="I",O43*Contagem!$U$10,IF(I43="E",O43*Contagem!$U$12,IF(I43="A",O43*Contagem!$U$11,IF(I43="T",O43*Contagem!$U$13,""))))</f>
        <v/>
      </c>
      <c r="Q43" s="12"/>
      <c r="R43" s="12"/>
      <c r="S43" s="12"/>
      <c r="T43" s="12"/>
      <c r="U43" s="12"/>
    </row>
    <row r="44" spans="1:21" ht="18" customHeight="1" x14ac:dyDescent="0.25">
      <c r="A44" s="139"/>
      <c r="B44" s="140"/>
      <c r="C44" s="140"/>
      <c r="D44" s="140"/>
      <c r="E44" s="140"/>
      <c r="F44" s="141"/>
      <c r="G44" s="85"/>
      <c r="H44" s="100"/>
      <c r="I44" s="100"/>
      <c r="J44" s="60"/>
      <c r="K44" s="60"/>
      <c r="L44" s="100"/>
      <c r="M44" s="101"/>
      <c r="N44" s="102" t="str">
        <f t="shared" si="8"/>
        <v/>
      </c>
      <c r="O44" s="103" t="str">
        <f t="shared" si="9"/>
        <v/>
      </c>
      <c r="P44" s="104" t="str">
        <f>IF(I44="I",O44*Contagem!$U$10,IF(I44="E",O44*Contagem!$U$12,IF(I44="A",O44*Contagem!$U$11,IF(I44="T",O44*Contagem!$U$13,""))))</f>
        <v/>
      </c>
      <c r="Q44" s="12"/>
      <c r="R44" s="12"/>
      <c r="S44" s="12"/>
      <c r="T44" s="12"/>
      <c r="U44" s="12"/>
    </row>
    <row r="45" spans="1:21" ht="18" customHeight="1" x14ac:dyDescent="0.25">
      <c r="A45" s="139"/>
      <c r="B45" s="140"/>
      <c r="C45" s="140"/>
      <c r="D45" s="140"/>
      <c r="E45" s="140"/>
      <c r="F45" s="141"/>
      <c r="G45" s="85"/>
      <c r="H45" s="100"/>
      <c r="I45" s="100"/>
      <c r="J45" s="60"/>
      <c r="K45" s="60"/>
      <c r="L45" s="100"/>
      <c r="M45" s="101"/>
      <c r="N45" s="102" t="str">
        <f t="shared" si="8"/>
        <v/>
      </c>
      <c r="O45" s="103" t="str">
        <f t="shared" si="9"/>
        <v/>
      </c>
      <c r="P45" s="104" t="str">
        <f>IF(I45="I",O45*Contagem!$U$10,IF(I45="E",O45*Contagem!$U$12,IF(I45="A",O45*Contagem!$U$11,IF(I45="T",O45*Contagem!$U$13,""))))</f>
        <v/>
      </c>
      <c r="Q45" s="12"/>
      <c r="R45" s="12"/>
      <c r="S45" s="12"/>
      <c r="T45" s="12"/>
      <c r="U45" s="12"/>
    </row>
    <row r="46" spans="1:21" ht="18" customHeight="1" x14ac:dyDescent="0.25">
      <c r="A46" s="139"/>
      <c r="B46" s="140"/>
      <c r="C46" s="140"/>
      <c r="D46" s="140"/>
      <c r="E46" s="140"/>
      <c r="F46" s="141"/>
      <c r="G46" s="85"/>
      <c r="H46" s="100"/>
      <c r="I46" s="100"/>
      <c r="J46" s="60"/>
      <c r="K46" s="60"/>
      <c r="L46" s="100"/>
      <c r="M46" s="101"/>
      <c r="N46" s="102" t="str">
        <f t="shared" si="8"/>
        <v/>
      </c>
      <c r="O46" s="103" t="str">
        <f t="shared" si="9"/>
        <v/>
      </c>
      <c r="P46" s="104" t="str">
        <f>IF(I46="I",O46*Contagem!$U$10,IF(I46="E",O46*Contagem!$U$12,IF(I46="A",O46*Contagem!$U$11,IF(I46="T",O46*Contagem!$U$13,""))))</f>
        <v/>
      </c>
      <c r="Q46" s="12"/>
      <c r="R46" s="12"/>
      <c r="S46" s="12"/>
      <c r="T46" s="12"/>
      <c r="U46" s="12"/>
    </row>
    <row r="47" spans="1:21" ht="18" customHeight="1" x14ac:dyDescent="0.25">
      <c r="A47" s="139"/>
      <c r="B47" s="140"/>
      <c r="C47" s="140"/>
      <c r="D47" s="140"/>
      <c r="E47" s="140"/>
      <c r="F47" s="141"/>
      <c r="G47" s="85"/>
      <c r="H47" s="100"/>
      <c r="I47" s="100"/>
      <c r="J47" s="60"/>
      <c r="K47" s="60"/>
      <c r="L47" s="100"/>
      <c r="M47" s="101"/>
      <c r="N47" s="102" t="str">
        <f t="shared" si="8"/>
        <v/>
      </c>
      <c r="O47" s="103" t="str">
        <f t="shared" si="9"/>
        <v/>
      </c>
      <c r="P47" s="104" t="str">
        <f>IF(I47="I",O47*Contagem!$U$10,IF(I47="E",O47*Contagem!$U$12,IF(I47="A",O47*Contagem!$U$11,IF(I47="T",O47*Contagem!$U$13,""))))</f>
        <v/>
      </c>
      <c r="Q47" s="12"/>
      <c r="R47" s="12"/>
      <c r="S47" s="12"/>
      <c r="T47" s="12"/>
      <c r="U47" s="12"/>
    </row>
    <row r="48" spans="1:21" ht="18" customHeight="1" x14ac:dyDescent="0.25">
      <c r="A48" s="139"/>
      <c r="B48" s="140"/>
      <c r="C48" s="140"/>
      <c r="D48" s="140"/>
      <c r="E48" s="140"/>
      <c r="F48" s="141"/>
      <c r="G48" s="85"/>
      <c r="H48" s="100"/>
      <c r="I48" s="100"/>
      <c r="J48" s="60"/>
      <c r="K48" s="60"/>
      <c r="L48" s="100"/>
      <c r="M48" s="101"/>
      <c r="N48" s="102" t="str">
        <f t="shared" si="8"/>
        <v/>
      </c>
      <c r="O48" s="103" t="str">
        <f t="shared" si="9"/>
        <v/>
      </c>
      <c r="P48" s="104" t="str">
        <f>IF(I48="I",O48*Contagem!$U$10,IF(I48="E",O48*Contagem!$U$12,IF(I48="A",O48*Contagem!$U$11,IF(I48="T",O48*Contagem!$U$13,""))))</f>
        <v/>
      </c>
      <c r="Q48" s="12"/>
      <c r="R48" s="12"/>
      <c r="S48" s="12"/>
      <c r="T48" s="12"/>
      <c r="U48" s="12"/>
    </row>
    <row r="49" spans="1:21" ht="18" customHeight="1" x14ac:dyDescent="0.25">
      <c r="A49" s="139"/>
      <c r="B49" s="140"/>
      <c r="C49" s="140"/>
      <c r="D49" s="140"/>
      <c r="E49" s="140"/>
      <c r="F49" s="141"/>
      <c r="G49" s="85"/>
      <c r="H49" s="100"/>
      <c r="I49" s="100"/>
      <c r="J49" s="60"/>
      <c r="K49" s="60"/>
      <c r="L49" s="100"/>
      <c r="M49" s="101"/>
      <c r="N49" s="102"/>
      <c r="O49" s="103"/>
      <c r="P49" s="104"/>
      <c r="Q49" s="12"/>
      <c r="R49" s="12"/>
      <c r="S49" s="12"/>
      <c r="T49" s="12"/>
      <c r="U49" s="12"/>
    </row>
    <row r="50" spans="1:21" ht="18" customHeight="1" x14ac:dyDescent="0.25">
      <c r="A50" s="139"/>
      <c r="B50" s="140"/>
      <c r="C50" s="140"/>
      <c r="D50" s="140"/>
      <c r="E50" s="140"/>
      <c r="F50" s="141"/>
      <c r="G50" s="85"/>
      <c r="H50" s="100"/>
      <c r="I50" s="100"/>
      <c r="J50" s="60"/>
      <c r="K50" s="60"/>
      <c r="L50" s="100"/>
      <c r="M50" s="101"/>
      <c r="N50" s="102"/>
      <c r="O50" s="103"/>
      <c r="P50" s="104"/>
      <c r="Q50" s="12"/>
      <c r="R50" s="12"/>
      <c r="S50" s="12"/>
      <c r="T50" s="12"/>
      <c r="U50" s="12"/>
    </row>
    <row r="51" spans="1:21" ht="18" customHeight="1" x14ac:dyDescent="0.25">
      <c r="A51" s="139"/>
      <c r="B51" s="140"/>
      <c r="C51" s="140"/>
      <c r="D51" s="140"/>
      <c r="E51" s="140"/>
      <c r="F51" s="141"/>
      <c r="G51" s="85"/>
      <c r="H51" s="100"/>
      <c r="I51" s="100"/>
      <c r="J51" s="60"/>
      <c r="K51" s="60"/>
      <c r="L51" s="100"/>
      <c r="M51" s="101"/>
      <c r="N51" s="102"/>
      <c r="O51" s="103"/>
      <c r="P51" s="104"/>
      <c r="Q51" s="12"/>
      <c r="R51" s="12"/>
      <c r="S51" s="12"/>
      <c r="T51" s="12"/>
      <c r="U51" s="12"/>
    </row>
    <row r="52" spans="1:21" ht="18" customHeight="1" x14ac:dyDescent="0.25">
      <c r="A52" s="139"/>
      <c r="B52" s="140"/>
      <c r="C52" s="140"/>
      <c r="D52" s="140"/>
      <c r="E52" s="140"/>
      <c r="F52" s="141"/>
      <c r="G52" s="85"/>
      <c r="H52" s="100"/>
      <c r="I52" s="100"/>
      <c r="J52" s="60"/>
      <c r="K52" s="60"/>
      <c r="L52" s="100"/>
      <c r="M52" s="101"/>
      <c r="N52" s="102"/>
      <c r="O52" s="103"/>
      <c r="P52" s="104"/>
      <c r="Q52" s="12"/>
      <c r="R52" s="12"/>
      <c r="S52" s="12"/>
      <c r="T52" s="12"/>
      <c r="U52" s="12"/>
    </row>
    <row r="53" spans="1:21" ht="18" customHeight="1" x14ac:dyDescent="0.25">
      <c r="A53" s="139"/>
      <c r="B53" s="140"/>
      <c r="C53" s="140"/>
      <c r="D53" s="140"/>
      <c r="E53" s="140"/>
      <c r="F53" s="141"/>
      <c r="G53" s="85"/>
      <c r="H53" s="100"/>
      <c r="I53" s="100"/>
      <c r="J53" s="60"/>
      <c r="K53" s="60"/>
      <c r="L53" s="100"/>
      <c r="M53" s="101"/>
      <c r="N53" s="102"/>
      <c r="O53" s="103"/>
      <c r="P53" s="104"/>
      <c r="Q53" s="12"/>
      <c r="R53" s="12"/>
      <c r="S53" s="12"/>
      <c r="T53" s="12"/>
      <c r="U53" s="12"/>
    </row>
    <row r="54" spans="1:21" ht="18" customHeight="1" x14ac:dyDescent="0.25">
      <c r="A54" s="139"/>
      <c r="B54" s="140"/>
      <c r="C54" s="140"/>
      <c r="D54" s="140"/>
      <c r="E54" s="140"/>
      <c r="F54" s="141"/>
      <c r="G54" s="85"/>
      <c r="H54" s="100"/>
      <c r="I54" s="100"/>
      <c r="J54" s="60"/>
      <c r="K54" s="60"/>
      <c r="L54" s="100"/>
      <c r="M54" s="101"/>
      <c r="N54" s="102"/>
      <c r="O54" s="103"/>
      <c r="P54" s="104"/>
      <c r="Q54" s="12"/>
      <c r="R54" s="12"/>
      <c r="S54" s="12"/>
      <c r="T54" s="12"/>
      <c r="U54" s="12"/>
    </row>
    <row r="55" spans="1:21" ht="18" customHeight="1" x14ac:dyDescent="0.25">
      <c r="A55" s="139"/>
      <c r="B55" s="140"/>
      <c r="C55" s="140"/>
      <c r="D55" s="140"/>
      <c r="E55" s="140"/>
      <c r="F55" s="141"/>
      <c r="G55" s="85"/>
      <c r="H55" s="100"/>
      <c r="I55" s="100"/>
      <c r="J55" s="60"/>
      <c r="K55" s="60"/>
      <c r="L55" s="100"/>
      <c r="M55" s="101"/>
      <c r="N55" s="102"/>
      <c r="O55" s="103"/>
      <c r="P55" s="104"/>
      <c r="Q55" s="12"/>
      <c r="R55" s="12"/>
      <c r="S55" s="12"/>
      <c r="T55" s="12"/>
      <c r="U55" s="12"/>
    </row>
    <row r="56" spans="1:21" ht="18" customHeight="1" x14ac:dyDescent="0.25">
      <c r="A56" s="139"/>
      <c r="B56" s="140"/>
      <c r="C56" s="140"/>
      <c r="D56" s="140"/>
      <c r="E56" s="140"/>
      <c r="F56" s="141"/>
      <c r="G56" s="85"/>
      <c r="H56" s="100"/>
      <c r="I56" s="100"/>
      <c r="J56" s="60"/>
      <c r="K56" s="60"/>
      <c r="L56" s="100"/>
      <c r="M56" s="101"/>
      <c r="N56" s="102"/>
      <c r="O56" s="103"/>
      <c r="P56" s="104"/>
      <c r="Q56" s="12"/>
      <c r="R56" s="12"/>
      <c r="S56" s="12"/>
      <c r="T56" s="12"/>
      <c r="U56" s="12"/>
    </row>
    <row r="57" spans="1:21" ht="18" customHeight="1" x14ac:dyDescent="0.25">
      <c r="A57" s="139"/>
      <c r="B57" s="140"/>
      <c r="C57" s="140"/>
      <c r="D57" s="140"/>
      <c r="E57" s="140"/>
      <c r="F57" s="141"/>
      <c r="G57" s="85"/>
      <c r="H57" s="100"/>
      <c r="I57" s="100"/>
      <c r="J57" s="60"/>
      <c r="K57" s="60"/>
      <c r="L57" s="100"/>
      <c r="M57" s="101"/>
      <c r="N57" s="102"/>
      <c r="O57" s="103"/>
      <c r="P57" s="104"/>
      <c r="Q57" s="12"/>
      <c r="R57" s="12"/>
      <c r="S57" s="12"/>
      <c r="T57" s="12"/>
      <c r="U57" s="12"/>
    </row>
    <row r="58" spans="1:21" ht="18" customHeight="1" x14ac:dyDescent="0.25">
      <c r="A58" s="139"/>
      <c r="B58" s="140"/>
      <c r="C58" s="140"/>
      <c r="D58" s="140"/>
      <c r="E58" s="140"/>
      <c r="F58" s="141"/>
      <c r="G58" s="85"/>
      <c r="H58" s="100"/>
      <c r="I58" s="100"/>
      <c r="J58" s="60"/>
      <c r="K58" s="60"/>
      <c r="L58" s="100"/>
      <c r="M58" s="101"/>
      <c r="N58" s="102"/>
      <c r="O58" s="103"/>
      <c r="P58" s="104"/>
      <c r="Q58" s="12"/>
      <c r="R58" s="12"/>
      <c r="S58" s="12"/>
      <c r="T58" s="12"/>
      <c r="U58" s="12"/>
    </row>
    <row r="59" spans="1:21" ht="18" customHeight="1" x14ac:dyDescent="0.25">
      <c r="A59" s="139"/>
      <c r="B59" s="140"/>
      <c r="C59" s="140"/>
      <c r="D59" s="140"/>
      <c r="E59" s="140"/>
      <c r="F59" s="141"/>
      <c r="G59" s="85"/>
      <c r="H59" s="100"/>
      <c r="I59" s="100"/>
      <c r="J59" s="60"/>
      <c r="K59" s="60"/>
      <c r="L59" s="100"/>
      <c r="M59" s="101"/>
      <c r="N59" s="102"/>
      <c r="O59" s="103"/>
      <c r="P59" s="104"/>
      <c r="Q59" s="12"/>
      <c r="R59" s="12"/>
      <c r="S59" s="12"/>
      <c r="T59" s="12"/>
      <c r="U59" s="12"/>
    </row>
    <row r="60" spans="1:21" ht="18" customHeight="1" x14ac:dyDescent="0.25">
      <c r="A60" s="139"/>
      <c r="B60" s="140"/>
      <c r="C60" s="140"/>
      <c r="D60" s="140"/>
      <c r="E60" s="140"/>
      <c r="F60" s="141"/>
      <c r="G60" s="85"/>
      <c r="H60" s="100"/>
      <c r="I60" s="100"/>
      <c r="J60" s="60"/>
      <c r="K60" s="60"/>
      <c r="L60" s="100"/>
      <c r="M60" s="101"/>
      <c r="N60" s="102"/>
      <c r="O60" s="103"/>
      <c r="P60" s="104"/>
      <c r="Q60" s="12"/>
      <c r="R60" s="12"/>
      <c r="S60" s="12"/>
      <c r="T60" s="12"/>
      <c r="U60" s="12"/>
    </row>
    <row r="61" spans="1:21" ht="18" customHeight="1" x14ac:dyDescent="0.25">
      <c r="A61" s="139"/>
      <c r="B61" s="140"/>
      <c r="C61" s="140"/>
      <c r="D61" s="140"/>
      <c r="E61" s="140"/>
      <c r="F61" s="141"/>
      <c r="G61" s="85"/>
      <c r="H61" s="100"/>
      <c r="I61" s="100"/>
      <c r="J61" s="60"/>
      <c r="K61" s="60"/>
      <c r="L61" s="100"/>
      <c r="M61" s="101"/>
      <c r="N61" s="102"/>
      <c r="O61" s="103"/>
      <c r="P61" s="104"/>
      <c r="Q61" s="12"/>
      <c r="R61" s="12"/>
      <c r="S61" s="12"/>
      <c r="T61" s="12"/>
      <c r="U61" s="12"/>
    </row>
    <row r="62" spans="1:21" ht="18" customHeight="1" x14ac:dyDescent="0.25">
      <c r="A62" s="139"/>
      <c r="B62" s="140"/>
      <c r="C62" s="140"/>
      <c r="D62" s="140"/>
      <c r="E62" s="140"/>
      <c r="F62" s="141"/>
      <c r="G62" s="85"/>
      <c r="H62" s="100"/>
      <c r="I62" s="100"/>
      <c r="J62" s="60"/>
      <c r="K62" s="60"/>
      <c r="L62" s="100"/>
      <c r="M62" s="101"/>
      <c r="N62" s="102"/>
      <c r="O62" s="103"/>
      <c r="P62" s="104"/>
      <c r="Q62" s="12"/>
      <c r="R62" s="12"/>
      <c r="S62" s="12"/>
      <c r="T62" s="12"/>
      <c r="U62" s="12"/>
    </row>
    <row r="63" spans="1:21" ht="18" customHeight="1" x14ac:dyDescent="0.25">
      <c r="A63" s="139"/>
      <c r="B63" s="140"/>
      <c r="C63" s="140"/>
      <c r="D63" s="140"/>
      <c r="E63" s="140"/>
      <c r="F63" s="141"/>
      <c r="G63" s="85"/>
      <c r="H63" s="100"/>
      <c r="I63" s="100"/>
      <c r="J63" s="60"/>
      <c r="K63" s="60"/>
      <c r="L63" s="100"/>
      <c r="M63" s="101"/>
      <c r="N63" s="102"/>
      <c r="O63" s="103"/>
      <c r="P63" s="104"/>
      <c r="Q63" s="12"/>
      <c r="R63" s="12"/>
      <c r="S63" s="12"/>
      <c r="T63" s="12"/>
      <c r="U63" s="12"/>
    </row>
    <row r="64" spans="1:21" ht="18" customHeight="1" x14ac:dyDescent="0.25">
      <c r="A64" s="139"/>
      <c r="B64" s="140"/>
      <c r="C64" s="140"/>
      <c r="D64" s="140"/>
      <c r="E64" s="140"/>
      <c r="F64" s="141"/>
      <c r="G64" s="85"/>
      <c r="H64" s="100"/>
      <c r="I64" s="100"/>
      <c r="J64" s="60"/>
      <c r="K64" s="60"/>
      <c r="L64" s="100"/>
      <c r="M64" s="101"/>
      <c r="N64" s="102"/>
      <c r="O64" s="103"/>
      <c r="P64" s="104"/>
      <c r="Q64" s="12"/>
      <c r="R64" s="12"/>
      <c r="S64" s="12"/>
      <c r="T64" s="12"/>
      <c r="U64" s="12"/>
    </row>
    <row r="65" spans="1:21" ht="18" customHeight="1" x14ac:dyDescent="0.25">
      <c r="A65" s="139"/>
      <c r="B65" s="140"/>
      <c r="C65" s="140"/>
      <c r="D65" s="140"/>
      <c r="E65" s="140"/>
      <c r="F65" s="141"/>
      <c r="G65" s="85"/>
      <c r="H65" s="100"/>
      <c r="I65" s="100"/>
      <c r="J65" s="60"/>
      <c r="K65" s="60"/>
      <c r="L65" s="100"/>
      <c r="M65" s="101"/>
      <c r="N65" s="102"/>
      <c r="O65" s="103"/>
      <c r="P65" s="104"/>
      <c r="Q65" s="12"/>
      <c r="R65" s="12"/>
      <c r="S65" s="12"/>
      <c r="T65" s="12"/>
      <c r="U65" s="12"/>
    </row>
    <row r="66" spans="1:21" ht="18" customHeight="1" x14ac:dyDescent="0.25">
      <c r="A66" s="139"/>
      <c r="B66" s="140"/>
      <c r="C66" s="140"/>
      <c r="D66" s="140"/>
      <c r="E66" s="140"/>
      <c r="F66" s="141"/>
      <c r="G66" s="85"/>
      <c r="H66" s="100"/>
      <c r="I66" s="100"/>
      <c r="J66" s="60"/>
      <c r="K66" s="60"/>
      <c r="L66" s="100"/>
      <c r="M66" s="101"/>
      <c r="N66" s="102"/>
      <c r="O66" s="103"/>
      <c r="P66" s="104"/>
      <c r="Q66" s="12"/>
      <c r="R66" s="12"/>
      <c r="S66" s="12"/>
      <c r="T66" s="12"/>
      <c r="U66" s="12"/>
    </row>
    <row r="67" spans="1:21" ht="18" customHeight="1" x14ac:dyDescent="0.25">
      <c r="A67" s="139"/>
      <c r="B67" s="140"/>
      <c r="C67" s="140"/>
      <c r="D67" s="140"/>
      <c r="E67" s="140"/>
      <c r="F67" s="141"/>
      <c r="G67" s="85"/>
      <c r="H67" s="100"/>
      <c r="I67" s="100"/>
      <c r="J67" s="60"/>
      <c r="K67" s="60"/>
      <c r="L67" s="100"/>
      <c r="M67" s="101"/>
      <c r="N67" s="102"/>
      <c r="O67" s="103"/>
      <c r="P67" s="104"/>
      <c r="Q67" s="12"/>
      <c r="R67" s="12"/>
      <c r="S67" s="12"/>
      <c r="T67" s="12"/>
      <c r="U67" s="12"/>
    </row>
    <row r="68" spans="1:21" ht="18" customHeight="1" x14ac:dyDescent="0.25">
      <c r="A68" s="139"/>
      <c r="B68" s="140"/>
      <c r="C68" s="140"/>
      <c r="D68" s="140"/>
      <c r="E68" s="140"/>
      <c r="F68" s="141"/>
      <c r="G68" s="85"/>
      <c r="H68" s="100"/>
      <c r="I68" s="100"/>
      <c r="J68" s="60"/>
      <c r="K68" s="60"/>
      <c r="L68" s="100"/>
      <c r="M68" s="101"/>
      <c r="N68" s="102"/>
      <c r="O68" s="103"/>
      <c r="P68" s="104"/>
      <c r="Q68" s="12"/>
      <c r="R68" s="12"/>
      <c r="S68" s="12"/>
      <c r="T68" s="12"/>
      <c r="U68" s="12"/>
    </row>
    <row r="69" spans="1:21" ht="18" customHeight="1" x14ac:dyDescent="0.25">
      <c r="A69" s="139"/>
      <c r="B69" s="140"/>
      <c r="C69" s="140"/>
      <c r="D69" s="140"/>
      <c r="E69" s="140"/>
      <c r="F69" s="141"/>
      <c r="G69" s="85"/>
      <c r="H69" s="100"/>
      <c r="I69" s="100"/>
      <c r="J69" s="60"/>
      <c r="K69" s="60"/>
      <c r="L69" s="100"/>
      <c r="M69" s="101"/>
      <c r="N69" s="102"/>
      <c r="O69" s="103"/>
      <c r="P69" s="104"/>
      <c r="Q69" s="12"/>
      <c r="R69" s="12"/>
      <c r="S69" s="12"/>
      <c r="T69" s="12"/>
      <c r="U69" s="12"/>
    </row>
    <row r="70" spans="1:21" ht="18" customHeight="1" x14ac:dyDescent="0.25">
      <c r="A70" s="139"/>
      <c r="B70" s="140"/>
      <c r="C70" s="140"/>
      <c r="D70" s="140"/>
      <c r="E70" s="140"/>
      <c r="F70" s="141"/>
      <c r="G70" s="85"/>
      <c r="H70" s="100"/>
      <c r="I70" s="100"/>
      <c r="J70" s="60"/>
      <c r="K70" s="60"/>
      <c r="L70" s="100"/>
      <c r="M70" s="101"/>
      <c r="N70" s="102"/>
      <c r="O70" s="103"/>
      <c r="P70" s="104"/>
      <c r="Q70" s="12"/>
      <c r="R70" s="12"/>
      <c r="S70" s="12"/>
      <c r="T70" s="12"/>
      <c r="U70" s="12"/>
    </row>
    <row r="71" spans="1:21" ht="18" customHeight="1" x14ac:dyDescent="0.25">
      <c r="A71" s="139"/>
      <c r="B71" s="140"/>
      <c r="C71" s="140"/>
      <c r="D71" s="140"/>
      <c r="E71" s="140"/>
      <c r="F71" s="141"/>
      <c r="G71" s="85"/>
      <c r="H71" s="100"/>
      <c r="I71" s="100"/>
      <c r="J71" s="60"/>
      <c r="K71" s="60"/>
      <c r="L71" s="100"/>
      <c r="M71" s="101"/>
      <c r="N71" s="102"/>
      <c r="O71" s="103"/>
      <c r="P71" s="104"/>
      <c r="Q71" s="12"/>
      <c r="R71" s="12"/>
      <c r="S71" s="12"/>
      <c r="T71" s="12"/>
      <c r="U71" s="12"/>
    </row>
    <row r="72" spans="1:21" ht="18" customHeight="1" x14ac:dyDescent="0.25">
      <c r="A72" s="139"/>
      <c r="B72" s="140"/>
      <c r="C72" s="140"/>
      <c r="D72" s="140"/>
      <c r="E72" s="140"/>
      <c r="F72" s="141"/>
      <c r="G72" s="85"/>
      <c r="H72" s="100"/>
      <c r="I72" s="100"/>
      <c r="J72" s="60"/>
      <c r="K72" s="60"/>
      <c r="L72" s="100"/>
      <c r="M72" s="101"/>
      <c r="N72" s="102"/>
      <c r="O72" s="103"/>
      <c r="P72" s="104"/>
      <c r="Q72" s="12"/>
      <c r="R72" s="12"/>
      <c r="S72" s="12"/>
      <c r="T72" s="12"/>
      <c r="U72" s="12"/>
    </row>
    <row r="73" spans="1:21" ht="18" customHeight="1" x14ac:dyDescent="0.25">
      <c r="A73" s="139"/>
      <c r="B73" s="140"/>
      <c r="C73" s="140"/>
      <c r="D73" s="140"/>
      <c r="E73" s="140"/>
      <c r="F73" s="141"/>
      <c r="G73" s="85"/>
      <c r="H73" s="100"/>
      <c r="I73" s="100"/>
      <c r="J73" s="60"/>
      <c r="K73" s="60"/>
      <c r="L73" s="100"/>
      <c r="M73" s="101"/>
      <c r="N73" s="102"/>
      <c r="O73" s="103"/>
      <c r="P73" s="104"/>
      <c r="Q73" s="12"/>
      <c r="R73" s="12"/>
      <c r="S73" s="12"/>
      <c r="T73" s="12"/>
      <c r="U73" s="12"/>
    </row>
    <row r="74" spans="1:21" ht="18" customHeight="1" x14ac:dyDescent="0.25">
      <c r="A74" s="139"/>
      <c r="B74" s="140"/>
      <c r="C74" s="140"/>
      <c r="D74" s="140"/>
      <c r="E74" s="140"/>
      <c r="F74" s="141"/>
      <c r="G74" s="85"/>
      <c r="H74" s="100"/>
      <c r="I74" s="100"/>
      <c r="J74" s="60"/>
      <c r="K74" s="60"/>
      <c r="L74" s="100"/>
      <c r="M74" s="101"/>
      <c r="N74" s="102"/>
      <c r="O74" s="103"/>
      <c r="P74" s="104"/>
      <c r="Q74" s="12"/>
      <c r="R74" s="12"/>
      <c r="S74" s="12"/>
      <c r="T74" s="12"/>
      <c r="U74" s="12"/>
    </row>
    <row r="75" spans="1:21" ht="18" customHeight="1" x14ac:dyDescent="0.25">
      <c r="A75" s="139"/>
      <c r="B75" s="140"/>
      <c r="C75" s="140"/>
      <c r="D75" s="140"/>
      <c r="E75" s="140"/>
      <c r="F75" s="141"/>
      <c r="G75" s="85"/>
      <c r="H75" s="100"/>
      <c r="I75" s="100"/>
      <c r="J75" s="60"/>
      <c r="K75" s="60"/>
      <c r="L75" s="100"/>
      <c r="M75" s="101"/>
      <c r="N75" s="102"/>
      <c r="O75" s="103"/>
      <c r="P75" s="104"/>
      <c r="Q75" s="12"/>
      <c r="R75" s="12"/>
      <c r="S75" s="12"/>
      <c r="T75" s="12"/>
      <c r="U75" s="12"/>
    </row>
    <row r="76" spans="1:21" ht="18" customHeight="1" x14ac:dyDescent="0.25">
      <c r="A76" s="139"/>
      <c r="B76" s="140"/>
      <c r="C76" s="140"/>
      <c r="D76" s="140"/>
      <c r="E76" s="140"/>
      <c r="F76" s="141"/>
      <c r="G76" s="85"/>
      <c r="H76" s="100"/>
      <c r="I76" s="100"/>
      <c r="J76" s="60"/>
      <c r="K76" s="60"/>
      <c r="L76" s="100"/>
      <c r="M76" s="101"/>
      <c r="N76" s="102"/>
      <c r="O76" s="103"/>
      <c r="P76" s="104"/>
      <c r="Q76" s="12"/>
      <c r="R76" s="12"/>
      <c r="S76" s="12"/>
      <c r="T76" s="12"/>
      <c r="U76" s="12"/>
    </row>
    <row r="77" spans="1:21" ht="18" customHeight="1" x14ac:dyDescent="0.25">
      <c r="A77" s="139"/>
      <c r="B77" s="140"/>
      <c r="C77" s="140"/>
      <c r="D77" s="140"/>
      <c r="E77" s="140"/>
      <c r="F77" s="141"/>
      <c r="G77" s="85"/>
      <c r="H77" s="100"/>
      <c r="I77" s="100"/>
      <c r="J77" s="60"/>
      <c r="K77" s="60"/>
      <c r="L77" s="100"/>
      <c r="M77" s="101"/>
      <c r="N77" s="102"/>
      <c r="O77" s="103"/>
      <c r="P77" s="104"/>
      <c r="Q77" s="12"/>
      <c r="R77" s="12"/>
      <c r="S77" s="12"/>
      <c r="T77" s="12"/>
      <c r="U77" s="12"/>
    </row>
  </sheetData>
  <mergeCells count="81">
    <mergeCell ref="A75:F75"/>
    <mergeCell ref="A76:F76"/>
    <mergeCell ref="A77:F77"/>
    <mergeCell ref="A70:F70"/>
    <mergeCell ref="A71:F71"/>
    <mergeCell ref="A72:F72"/>
    <mergeCell ref="A73:F73"/>
    <mergeCell ref="A74:F74"/>
    <mergeCell ref="A65:F65"/>
    <mergeCell ref="A66:F66"/>
    <mergeCell ref="A67:F67"/>
    <mergeCell ref="A68:F68"/>
    <mergeCell ref="A69:F69"/>
    <mergeCell ref="A60:F60"/>
    <mergeCell ref="A61:F61"/>
    <mergeCell ref="A62:F62"/>
    <mergeCell ref="A63:F63"/>
    <mergeCell ref="A64:F64"/>
    <mergeCell ref="A55:F55"/>
    <mergeCell ref="A56:F56"/>
    <mergeCell ref="A57:F57"/>
    <mergeCell ref="A58:F58"/>
    <mergeCell ref="A59:F59"/>
    <mergeCell ref="A50:F50"/>
    <mergeCell ref="A51:F51"/>
    <mergeCell ref="A52:F52"/>
    <mergeCell ref="A53:F53"/>
    <mergeCell ref="A54:F54"/>
    <mergeCell ref="A45:F45"/>
    <mergeCell ref="A46:F46"/>
    <mergeCell ref="A47:F47"/>
    <mergeCell ref="A48:F48"/>
    <mergeCell ref="A49:F49"/>
    <mergeCell ref="A40:F40"/>
    <mergeCell ref="A41:F41"/>
    <mergeCell ref="A42:F42"/>
    <mergeCell ref="A43:F43"/>
    <mergeCell ref="A44:F44"/>
    <mergeCell ref="A35:F35"/>
    <mergeCell ref="A36:F36"/>
    <mergeCell ref="A37:F37"/>
    <mergeCell ref="A38:F38"/>
    <mergeCell ref="A39:F39"/>
    <mergeCell ref="A30:F30"/>
    <mergeCell ref="A31:F31"/>
    <mergeCell ref="A32:F32"/>
    <mergeCell ref="A33:F33"/>
    <mergeCell ref="A34:F34"/>
    <mergeCell ref="A25:F25"/>
    <mergeCell ref="A26:F26"/>
    <mergeCell ref="A27:F27"/>
    <mergeCell ref="A28:F28"/>
    <mergeCell ref="A29:F29"/>
    <mergeCell ref="A20:F20"/>
    <mergeCell ref="A21:F21"/>
    <mergeCell ref="A22:F22"/>
    <mergeCell ref="A23:F23"/>
    <mergeCell ref="A24:F24"/>
    <mergeCell ref="A18:F18"/>
    <mergeCell ref="A19:F19"/>
    <mergeCell ref="A11:F11"/>
    <mergeCell ref="A12:F12"/>
    <mergeCell ref="A13:F13"/>
    <mergeCell ref="A14:F14"/>
    <mergeCell ref="A15:F15"/>
    <mergeCell ref="A16:F16"/>
    <mergeCell ref="A17:F17"/>
    <mergeCell ref="A8:F8"/>
    <mergeCell ref="A9:F9"/>
    <mergeCell ref="A10:F10"/>
    <mergeCell ref="A1:P3"/>
    <mergeCell ref="A4:F4"/>
    <mergeCell ref="H4:U4"/>
    <mergeCell ref="A5:F5"/>
    <mergeCell ref="H5:U5"/>
    <mergeCell ref="A7:F7"/>
    <mergeCell ref="Q7:U7"/>
    <mergeCell ref="A6:E6"/>
    <mergeCell ref="F6:H6"/>
    <mergeCell ref="I6:N6"/>
    <mergeCell ref="O6:P6"/>
  </mergeCells>
  <phoneticPr fontId="0" type="noConversion"/>
  <conditionalFormatting sqref="I76:I77 I53 I58:I59 I64:I69 I16:I36">
    <cfRule type="cellIs" dxfId="62" priority="247" stopIfTrue="1" operator="equal">
      <formula>"I"</formula>
    </cfRule>
    <cfRule type="cellIs" dxfId="61" priority="248" stopIfTrue="1" operator="equal">
      <formula>"A"</formula>
    </cfRule>
    <cfRule type="cellIs" dxfId="60" priority="249" stopIfTrue="1" operator="equal">
      <formula>"E"</formula>
    </cfRule>
  </conditionalFormatting>
  <conditionalFormatting sqref="I70:I73">
    <cfRule type="cellIs" dxfId="59" priority="205" stopIfTrue="1" operator="equal">
      <formula>"I"</formula>
    </cfRule>
    <cfRule type="cellIs" dxfId="58" priority="206" stopIfTrue="1" operator="equal">
      <formula>"A"</formula>
    </cfRule>
    <cfRule type="cellIs" dxfId="57" priority="207" stopIfTrue="1" operator="equal">
      <formula>"E"</formula>
    </cfRule>
  </conditionalFormatting>
  <conditionalFormatting sqref="I74">
    <cfRule type="cellIs" dxfId="56" priority="202" stopIfTrue="1" operator="equal">
      <formula>"I"</formula>
    </cfRule>
    <cfRule type="cellIs" dxfId="55" priority="203" stopIfTrue="1" operator="equal">
      <formula>"A"</formula>
    </cfRule>
    <cfRule type="cellIs" dxfId="54" priority="204" stopIfTrue="1" operator="equal">
      <formula>"E"</formula>
    </cfRule>
  </conditionalFormatting>
  <conditionalFormatting sqref="I75">
    <cfRule type="cellIs" dxfId="53" priority="199" stopIfTrue="1" operator="equal">
      <formula>"I"</formula>
    </cfRule>
    <cfRule type="cellIs" dxfId="52" priority="200" stopIfTrue="1" operator="equal">
      <formula>"A"</formula>
    </cfRule>
    <cfRule type="cellIs" dxfId="51" priority="201" stopIfTrue="1" operator="equal">
      <formula>"E"</formula>
    </cfRule>
  </conditionalFormatting>
  <conditionalFormatting sqref="I44 I48">
    <cfRule type="cellIs" dxfId="50" priority="115" stopIfTrue="1" operator="equal">
      <formula>"I"</formula>
    </cfRule>
    <cfRule type="cellIs" dxfId="49" priority="116" stopIfTrue="1" operator="equal">
      <formula>"A"</formula>
    </cfRule>
    <cfRule type="cellIs" dxfId="48" priority="117" stopIfTrue="1" operator="equal">
      <formula>"E"</formula>
    </cfRule>
  </conditionalFormatting>
  <conditionalFormatting sqref="I45">
    <cfRule type="cellIs" dxfId="47" priority="73" stopIfTrue="1" operator="equal">
      <formula>"I"</formula>
    </cfRule>
    <cfRule type="cellIs" dxfId="46" priority="74" stopIfTrue="1" operator="equal">
      <formula>"A"</formula>
    </cfRule>
    <cfRule type="cellIs" dxfId="45" priority="75" stopIfTrue="1" operator="equal">
      <formula>"E"</formula>
    </cfRule>
  </conditionalFormatting>
  <conditionalFormatting sqref="I43">
    <cfRule type="cellIs" dxfId="44" priority="79" stopIfTrue="1" operator="equal">
      <formula>"I"</formula>
    </cfRule>
    <cfRule type="cellIs" dxfId="43" priority="80" stopIfTrue="1" operator="equal">
      <formula>"A"</formula>
    </cfRule>
    <cfRule type="cellIs" dxfId="42" priority="81" stopIfTrue="1" operator="equal">
      <formula>"E"</formula>
    </cfRule>
  </conditionalFormatting>
  <conditionalFormatting sqref="I49">
    <cfRule type="cellIs" dxfId="41" priority="67" stopIfTrue="1" operator="equal">
      <formula>"I"</formula>
    </cfRule>
    <cfRule type="cellIs" dxfId="40" priority="68" stopIfTrue="1" operator="equal">
      <formula>"A"</formula>
    </cfRule>
    <cfRule type="cellIs" dxfId="39" priority="69" stopIfTrue="1" operator="equal">
      <formula>"E"</formula>
    </cfRule>
  </conditionalFormatting>
  <conditionalFormatting sqref="I46:I47">
    <cfRule type="cellIs" dxfId="38" priority="70" stopIfTrue="1" operator="equal">
      <formula>"I"</formula>
    </cfRule>
    <cfRule type="cellIs" dxfId="37" priority="71" stopIfTrue="1" operator="equal">
      <formula>"A"</formula>
    </cfRule>
    <cfRule type="cellIs" dxfId="36" priority="72" stopIfTrue="1" operator="equal">
      <formula>"E"</formula>
    </cfRule>
  </conditionalFormatting>
  <conditionalFormatting sqref="I50:I52">
    <cfRule type="cellIs" dxfId="35" priority="64" stopIfTrue="1" operator="equal">
      <formula>"I"</formula>
    </cfRule>
    <cfRule type="cellIs" dxfId="34" priority="65" stopIfTrue="1" operator="equal">
      <formula>"A"</formula>
    </cfRule>
    <cfRule type="cellIs" dxfId="33" priority="66" stopIfTrue="1" operator="equal">
      <formula>"E"</formula>
    </cfRule>
  </conditionalFormatting>
  <conditionalFormatting sqref="I54">
    <cfRule type="cellIs" dxfId="32" priority="61" stopIfTrue="1" operator="equal">
      <formula>"I"</formula>
    </cfRule>
    <cfRule type="cellIs" dxfId="31" priority="62" stopIfTrue="1" operator="equal">
      <formula>"A"</formula>
    </cfRule>
    <cfRule type="cellIs" dxfId="30" priority="63" stopIfTrue="1" operator="equal">
      <formula>"E"</formula>
    </cfRule>
  </conditionalFormatting>
  <conditionalFormatting sqref="I55:I57">
    <cfRule type="cellIs" dxfId="29" priority="58" stopIfTrue="1" operator="equal">
      <formula>"I"</formula>
    </cfRule>
    <cfRule type="cellIs" dxfId="28" priority="59" stopIfTrue="1" operator="equal">
      <formula>"A"</formula>
    </cfRule>
    <cfRule type="cellIs" dxfId="27" priority="60" stopIfTrue="1" operator="equal">
      <formula>"E"</formula>
    </cfRule>
  </conditionalFormatting>
  <conditionalFormatting sqref="I60:I63">
    <cfRule type="cellIs" dxfId="26" priority="55" stopIfTrue="1" operator="equal">
      <formula>"I"</formula>
    </cfRule>
    <cfRule type="cellIs" dxfId="25" priority="56" stopIfTrue="1" operator="equal">
      <formula>"A"</formula>
    </cfRule>
    <cfRule type="cellIs" dxfId="24" priority="57" stopIfTrue="1" operator="equal">
      <formula>"E"</formula>
    </cfRule>
  </conditionalFormatting>
  <conditionalFormatting sqref="I37:I42">
    <cfRule type="cellIs" dxfId="11" priority="10" stopIfTrue="1" operator="equal">
      <formula>"I"</formula>
    </cfRule>
    <cfRule type="cellIs" dxfId="10" priority="11" stopIfTrue="1" operator="equal">
      <formula>"A"</formula>
    </cfRule>
    <cfRule type="cellIs" dxfId="9" priority="12" stopIfTrue="1" operator="equal">
      <formula>"E"</formula>
    </cfRule>
  </conditionalFormatting>
  <conditionalFormatting sqref="I8 I11:I15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I10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I9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allowBlank="1" showInputMessage="1" showErrorMessage="1" promptTitle="Tipo da Função" prompt="ALI, AIE, EE, SE, CE" sqref="H8:H77" xr:uid="{00000000-0002-0000-0100-000000000000}">
      <formula1>0</formula1>
      <formula2>0</formula2>
    </dataValidation>
    <dataValidation allowBlank="1" showInputMessage="1" showErrorMessage="1" promptTitle="Tipo da Manutenção na Função" prompt="I - Inclusão  _x000a_A - Alteração  _x000a_E - Exclusão  _x000a_T - Teste" sqref="I8:I77" xr:uid="{00000000-0002-0000-0100-000001000000}"/>
  </dataValidations>
  <printOptions headings="1"/>
  <pageMargins left="0.39374999999999999" right="0.31527777777777777" top="0.23611111111111113" bottom="0.39375000000000004" header="0.51180555555555562" footer="0.23611111111111113"/>
  <pageSetup paperSize="9" scale="73" firstPageNumber="0" orientation="landscape" horizontalDpi="300" verticalDpi="300" r:id="rId1"/>
  <headerFooter alignWithMargins="0">
    <oddHeader>&amp;C&amp;"Arial"&amp;8&amp;K000000INTERNAL&amp;1#</oddHeader>
    <oddFooter>&amp;L&amp;P/&amp;N&amp;C&amp;D&amp;R  &amp;F - &amp;A         .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O61"/>
  <sheetViews>
    <sheetView showGridLines="0" topLeftCell="A16" zoomScaleNormal="100" zoomScaleSheetLayoutView="100" workbookViewId="0">
      <selection activeCell="G47" sqref="G47"/>
    </sheetView>
  </sheetViews>
  <sheetFormatPr defaultColWidth="9.109375" defaultRowHeight="12.6" x14ac:dyDescent="0.3"/>
  <cols>
    <col min="1" max="1" width="2.88671875" style="3" customWidth="1"/>
    <col min="2" max="2" width="8.33203125" style="3" customWidth="1"/>
    <col min="3" max="3" width="10.6640625" style="3" customWidth="1"/>
    <col min="4" max="4" width="2.33203125" style="3" customWidth="1"/>
    <col min="5" max="5" width="21.6640625" style="3" customWidth="1"/>
    <col min="6" max="6" width="5" style="3" customWidth="1"/>
    <col min="7" max="7" width="10.6640625" style="3" customWidth="1"/>
    <col min="8" max="8" width="4.6640625" style="3" customWidth="1"/>
    <col min="9" max="9" width="6.6640625" style="3" customWidth="1"/>
    <col min="10" max="10" width="4.6640625" style="3" customWidth="1"/>
    <col min="11" max="11" width="9.88671875" style="3" customWidth="1"/>
    <col min="12" max="12" width="7.33203125" style="3" customWidth="1"/>
    <col min="13" max="16384" width="9.109375" style="3"/>
  </cols>
  <sheetData>
    <row r="1" spans="1:15" ht="12" customHeight="1" x14ac:dyDescent="0.3">
      <c r="A1" s="157" t="s">
        <v>30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</row>
    <row r="2" spans="1:15" ht="12" customHeight="1" x14ac:dyDescent="0.3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</row>
    <row r="3" spans="1:15" ht="12" customHeight="1" x14ac:dyDescent="0.3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</row>
    <row r="4" spans="1:15" ht="12" customHeight="1" x14ac:dyDescent="0.3">
      <c r="A4" s="158" t="str">
        <f>Contagem!A5&amp;" : "&amp;Contagem!F5</f>
        <v>Aplicação : EXEMPLO DE GESTÃO DE PRODUTOS</v>
      </c>
      <c r="B4" s="158"/>
      <c r="C4" s="158"/>
      <c r="D4" s="158"/>
      <c r="E4" s="158"/>
      <c r="F4" s="159" t="str">
        <f>Contagem!A6&amp;" : "&amp;Contagem!F6</f>
        <v>Projeto : GESTÃO DE PROJETOS ADS</v>
      </c>
      <c r="G4" s="159"/>
      <c r="H4" s="159"/>
      <c r="I4" s="159"/>
      <c r="J4" s="159"/>
      <c r="K4" s="159"/>
      <c r="L4" s="159"/>
    </row>
    <row r="5" spans="1:15" ht="12" customHeight="1" x14ac:dyDescent="0.3">
      <c r="A5" s="160" t="str">
        <f>Contagem!A7&amp;" : "&amp;Contagem!F7</f>
        <v>Responsável : HEUBER LIMA</v>
      </c>
      <c r="B5" s="160"/>
      <c r="C5" s="160"/>
      <c r="D5" s="160"/>
      <c r="E5" s="160"/>
      <c r="F5" s="159" t="str">
        <f>Contagem!A8&amp;" : "&amp;Contagem!F8</f>
        <v xml:space="preserve">Revisor : </v>
      </c>
      <c r="G5" s="159"/>
      <c r="H5" s="159"/>
      <c r="I5" s="159"/>
      <c r="J5" s="159"/>
      <c r="K5" s="159"/>
      <c r="L5" s="159"/>
    </row>
    <row r="6" spans="1:15" ht="12" customHeight="1" x14ac:dyDescent="0.3">
      <c r="A6" s="10" t="str">
        <f>Contagem!A4&amp;" : "&amp;Contagem!F4</f>
        <v>Empresa : FATESG - ADS</v>
      </c>
      <c r="B6" s="13"/>
      <c r="C6" s="13"/>
      <c r="D6" s="14"/>
      <c r="E6" s="14"/>
      <c r="F6" s="152" t="str">
        <f>Contagem!R4&amp;" = "&amp;VALUE(Contagem!T4)</f>
        <v>R$/PF = 125</v>
      </c>
      <c r="G6" s="152"/>
      <c r="H6" s="152" t="str">
        <f>" Custo= "&amp;DOLLAR(Contagem!W4)</f>
        <v xml:space="preserve"> Custo= R$ 14.000,00</v>
      </c>
      <c r="I6" s="152"/>
      <c r="J6" s="152"/>
      <c r="K6" s="161" t="str">
        <f>"PF  = "&amp;VALUE(Contagem!W5)</f>
        <v>PF  = 112</v>
      </c>
      <c r="L6" s="161"/>
    </row>
    <row r="7" spans="1:15" ht="12" customHeight="1" x14ac:dyDescent="0.3">
      <c r="A7" s="153" t="s">
        <v>31</v>
      </c>
      <c r="B7" s="153"/>
      <c r="C7" s="154" t="s">
        <v>32</v>
      </c>
      <c r="D7" s="154"/>
      <c r="E7" s="154"/>
      <c r="F7" s="154"/>
      <c r="G7" s="155" t="s">
        <v>33</v>
      </c>
      <c r="H7" s="155"/>
      <c r="I7" s="156" t="s">
        <v>34</v>
      </c>
      <c r="J7" s="156"/>
      <c r="K7" s="156"/>
      <c r="L7" s="156"/>
    </row>
    <row r="8" spans="1:15" ht="12" customHeight="1" x14ac:dyDescent="0.3">
      <c r="A8" s="153"/>
      <c r="B8" s="153"/>
      <c r="C8" s="154"/>
      <c r="D8" s="154"/>
      <c r="E8" s="154"/>
      <c r="F8" s="154"/>
      <c r="G8" s="155"/>
      <c r="H8" s="155"/>
      <c r="I8" s="155"/>
      <c r="J8" s="156"/>
      <c r="K8" s="156"/>
      <c r="L8" s="156"/>
    </row>
    <row r="9" spans="1:15" ht="12" customHeight="1" x14ac:dyDescent="0.3">
      <c r="A9" s="15"/>
      <c r="B9" s="16"/>
      <c r="C9" s="17"/>
      <c r="D9" s="17"/>
      <c r="E9" s="17"/>
      <c r="F9" s="17"/>
      <c r="G9" s="17"/>
      <c r="H9" s="17"/>
      <c r="I9" s="17"/>
      <c r="J9" s="17"/>
      <c r="K9" s="17"/>
      <c r="L9" s="18"/>
    </row>
    <row r="10" spans="1:15" ht="12" customHeight="1" x14ac:dyDescent="0.3">
      <c r="A10" s="19"/>
      <c r="B10" s="20" t="s">
        <v>35</v>
      </c>
      <c r="C10" s="21">
        <f>COUNTIF(CF,"EEL")</f>
        <v>17</v>
      </c>
      <c r="D10" s="22"/>
      <c r="E10" s="23" t="s">
        <v>36</v>
      </c>
      <c r="F10" s="23" t="s">
        <v>37</v>
      </c>
      <c r="G10" s="21">
        <f>C10*3</f>
        <v>51</v>
      </c>
      <c r="H10" s="22"/>
      <c r="I10" s="24"/>
      <c r="J10" s="22"/>
      <c r="K10" s="22"/>
      <c r="L10" s="25"/>
    </row>
    <row r="11" spans="1:15" ht="12" customHeight="1" x14ac:dyDescent="0.3">
      <c r="A11" s="19"/>
      <c r="B11" s="20"/>
      <c r="C11" s="21">
        <f>COUNTIF(CF,"EEA")</f>
        <v>0</v>
      </c>
      <c r="D11" s="22"/>
      <c r="E11" s="23" t="s">
        <v>38</v>
      </c>
      <c r="F11" s="23" t="s">
        <v>39</v>
      </c>
      <c r="G11" s="21">
        <f>C11*4</f>
        <v>0</v>
      </c>
      <c r="H11" s="22"/>
      <c r="I11" s="24"/>
      <c r="J11" s="22"/>
      <c r="K11" s="22"/>
      <c r="L11" s="25"/>
    </row>
    <row r="12" spans="1:15" ht="12" customHeight="1" x14ac:dyDescent="0.3">
      <c r="A12" s="19"/>
      <c r="B12" s="20"/>
      <c r="C12" s="21">
        <f>COUNTIF(CF,"EEH")</f>
        <v>0</v>
      </c>
      <c r="D12" s="22"/>
      <c r="E12" s="23" t="s">
        <v>40</v>
      </c>
      <c r="F12" s="23" t="s">
        <v>41</v>
      </c>
      <c r="G12" s="21">
        <f>C12*6</f>
        <v>0</v>
      </c>
      <c r="H12" s="22"/>
      <c r="I12" s="24"/>
      <c r="J12" s="22"/>
      <c r="L12" s="26"/>
    </row>
    <row r="13" spans="1:15" ht="6.75" customHeight="1" x14ac:dyDescent="0.3">
      <c r="A13" s="19"/>
      <c r="B13" s="20"/>
      <c r="C13" s="17"/>
      <c r="D13" s="22"/>
      <c r="E13" s="22"/>
      <c r="F13" s="22"/>
      <c r="G13" s="17"/>
      <c r="H13" s="22"/>
      <c r="I13" s="22"/>
      <c r="J13" s="22"/>
      <c r="K13" s="22"/>
      <c r="L13" s="25"/>
    </row>
    <row r="14" spans="1:15" ht="12" customHeight="1" x14ac:dyDescent="0.3">
      <c r="A14" s="19"/>
      <c r="B14" s="27" t="s">
        <v>42</v>
      </c>
      <c r="C14" s="21">
        <f>SUM(C10:C12)</f>
        <v>17</v>
      </c>
      <c r="D14" s="22"/>
      <c r="E14" s="22"/>
      <c r="F14" s="27" t="s">
        <v>42</v>
      </c>
      <c r="G14" s="21">
        <f>SUM(G10:G12)</f>
        <v>51</v>
      </c>
      <c r="H14" s="22"/>
      <c r="I14" s="28">
        <f>IF($G$45&lt;&gt;0,G14/$G$45,"")</f>
        <v>0.45535714285714285</v>
      </c>
      <c r="J14" s="22"/>
      <c r="K14" s="22"/>
      <c r="L14" s="25"/>
      <c r="O14" s="29"/>
    </row>
    <row r="15" spans="1:15" ht="6" customHeight="1" x14ac:dyDescent="0.3">
      <c r="A15" s="30"/>
      <c r="B15" s="31"/>
      <c r="C15" s="21"/>
      <c r="D15" s="21"/>
      <c r="E15" s="21"/>
      <c r="F15" s="21"/>
      <c r="G15" s="21"/>
      <c r="H15" s="21"/>
      <c r="I15" s="21"/>
      <c r="J15" s="21"/>
      <c r="K15" s="21"/>
      <c r="L15" s="32"/>
    </row>
    <row r="16" spans="1:15" ht="12" customHeight="1" x14ac:dyDescent="0.3">
      <c r="A16" s="19"/>
      <c r="B16" s="20"/>
      <c r="C16" s="22"/>
      <c r="D16" s="22"/>
      <c r="E16" s="22"/>
      <c r="F16" s="22"/>
      <c r="G16" s="22"/>
      <c r="H16" s="22"/>
      <c r="I16" s="22"/>
      <c r="J16" s="22"/>
      <c r="K16" s="22"/>
      <c r="L16" s="25"/>
    </row>
    <row r="17" spans="1:12" ht="12" customHeight="1" x14ac:dyDescent="0.3">
      <c r="A17" s="19"/>
      <c r="B17" s="20" t="s">
        <v>43</v>
      </c>
      <c r="C17" s="21">
        <f>COUNTIF(CF,"SEL")</f>
        <v>0</v>
      </c>
      <c r="D17" s="22"/>
      <c r="E17" s="23" t="s">
        <v>36</v>
      </c>
      <c r="F17" s="23" t="s">
        <v>39</v>
      </c>
      <c r="G17" s="21">
        <f>C17*4</f>
        <v>0</v>
      </c>
      <c r="H17" s="22"/>
      <c r="I17" s="22"/>
      <c r="J17" s="22"/>
      <c r="K17" s="22"/>
      <c r="L17" s="25"/>
    </row>
    <row r="18" spans="1:12" ht="12" customHeight="1" x14ac:dyDescent="0.3">
      <c r="A18" s="19"/>
      <c r="B18" s="20"/>
      <c r="C18" s="21">
        <f>COUNTIF(CF,"SEA")</f>
        <v>0</v>
      </c>
      <c r="D18" s="22"/>
      <c r="E18" s="23" t="s">
        <v>38</v>
      </c>
      <c r="F18" s="23" t="s">
        <v>44</v>
      </c>
      <c r="G18" s="21">
        <f>C18*5</f>
        <v>0</v>
      </c>
      <c r="H18" s="22"/>
      <c r="I18" s="22"/>
      <c r="J18" s="22"/>
      <c r="K18" s="22"/>
      <c r="L18" s="25"/>
    </row>
    <row r="19" spans="1:12" ht="12" customHeight="1" x14ac:dyDescent="0.3">
      <c r="A19" s="19"/>
      <c r="B19" s="20"/>
      <c r="C19" s="21">
        <f>COUNTIF(CF,"SEH")</f>
        <v>0</v>
      </c>
      <c r="D19" s="22"/>
      <c r="E19" s="23" t="s">
        <v>40</v>
      </c>
      <c r="F19" s="23" t="s">
        <v>45</v>
      </c>
      <c r="G19" s="21">
        <f>C19*7</f>
        <v>0</v>
      </c>
      <c r="H19" s="22"/>
      <c r="I19" s="22"/>
      <c r="J19" s="22"/>
      <c r="K19" s="22"/>
      <c r="L19" s="26"/>
    </row>
    <row r="20" spans="1:12" ht="6.75" customHeight="1" x14ac:dyDescent="0.3">
      <c r="A20" s="19"/>
      <c r="B20" s="20"/>
      <c r="C20" s="17"/>
      <c r="D20" s="22"/>
      <c r="E20" s="22"/>
      <c r="F20" s="22"/>
      <c r="G20" s="17"/>
      <c r="H20" s="22"/>
      <c r="I20" s="22"/>
      <c r="J20" s="22"/>
      <c r="K20" s="22"/>
      <c r="L20" s="25"/>
    </row>
    <row r="21" spans="1:12" ht="12" customHeight="1" x14ac:dyDescent="0.3">
      <c r="A21" s="19"/>
      <c r="B21" s="27" t="s">
        <v>42</v>
      </c>
      <c r="C21" s="21">
        <f>SUM(C17:C19)</f>
        <v>0</v>
      </c>
      <c r="D21" s="22"/>
      <c r="E21" s="22"/>
      <c r="F21" s="27" t="s">
        <v>42</v>
      </c>
      <c r="G21" s="21">
        <f>SUM(G17:G19)</f>
        <v>0</v>
      </c>
      <c r="H21" s="22"/>
      <c r="I21" s="33">
        <f>IF($G$45&lt;&gt;0,G21/$G$45,"")</f>
        <v>0</v>
      </c>
      <c r="J21" s="22"/>
      <c r="K21" s="22"/>
      <c r="L21" s="25"/>
    </row>
    <row r="22" spans="1:12" ht="6" customHeight="1" x14ac:dyDescent="0.3">
      <c r="A22" s="30"/>
      <c r="B22" s="31"/>
      <c r="C22" s="21"/>
      <c r="D22" s="21"/>
      <c r="E22" s="21"/>
      <c r="F22" s="21"/>
      <c r="G22" s="21"/>
      <c r="H22" s="21"/>
      <c r="I22" s="21"/>
      <c r="J22" s="21"/>
      <c r="K22" s="21"/>
      <c r="L22" s="32"/>
    </row>
    <row r="23" spans="1:12" ht="12" customHeight="1" x14ac:dyDescent="0.3">
      <c r="A23" s="15"/>
      <c r="B23" s="16"/>
      <c r="C23" s="22"/>
      <c r="D23" s="17"/>
      <c r="E23" s="17"/>
      <c r="F23" s="17"/>
      <c r="G23" s="22"/>
      <c r="H23" s="17"/>
      <c r="I23" s="17"/>
      <c r="J23" s="17"/>
      <c r="K23" s="17"/>
      <c r="L23" s="18"/>
    </row>
    <row r="24" spans="1:12" ht="12" customHeight="1" x14ac:dyDescent="0.3">
      <c r="A24" s="19"/>
      <c r="B24" s="20" t="s">
        <v>46</v>
      </c>
      <c r="C24" s="21">
        <f>COUNTIF(CF,"CEL")</f>
        <v>12</v>
      </c>
      <c r="D24" s="22"/>
      <c r="E24" s="23" t="s">
        <v>36</v>
      </c>
      <c r="F24" s="23" t="s">
        <v>37</v>
      </c>
      <c r="G24" s="21">
        <f>C24*3</f>
        <v>36</v>
      </c>
      <c r="H24" s="22"/>
      <c r="I24" s="22"/>
      <c r="J24" s="22"/>
      <c r="K24" s="22"/>
      <c r="L24" s="25"/>
    </row>
    <row r="25" spans="1:12" ht="12" customHeight="1" x14ac:dyDescent="0.3">
      <c r="A25" s="19"/>
      <c r="B25" s="20"/>
      <c r="C25" s="21">
        <f>COUNTIF(CF,"CEA")</f>
        <v>1</v>
      </c>
      <c r="D25" s="22"/>
      <c r="E25" s="23" t="s">
        <v>38</v>
      </c>
      <c r="F25" s="23" t="s">
        <v>39</v>
      </c>
      <c r="G25" s="21">
        <f>C25*4</f>
        <v>4</v>
      </c>
      <c r="H25" s="22"/>
      <c r="I25" s="22"/>
      <c r="J25" s="22"/>
      <c r="K25" s="22"/>
      <c r="L25" s="25"/>
    </row>
    <row r="26" spans="1:12" ht="12" customHeight="1" x14ac:dyDescent="0.3">
      <c r="A26" s="19"/>
      <c r="B26" s="20"/>
      <c r="C26" s="21">
        <f>COUNTIF(CF,"CEH")</f>
        <v>0</v>
      </c>
      <c r="D26" s="22"/>
      <c r="E26" s="23" t="s">
        <v>40</v>
      </c>
      <c r="F26" s="23" t="s">
        <v>41</v>
      </c>
      <c r="G26" s="21">
        <f>C26*6</f>
        <v>0</v>
      </c>
      <c r="H26" s="22"/>
      <c r="I26" s="22"/>
      <c r="J26" s="22"/>
      <c r="K26" s="22"/>
      <c r="L26" s="26"/>
    </row>
    <row r="27" spans="1:12" ht="6.75" customHeight="1" x14ac:dyDescent="0.3">
      <c r="A27" s="19"/>
      <c r="B27" s="20"/>
      <c r="C27" s="17"/>
      <c r="D27" s="22"/>
      <c r="E27" s="22"/>
      <c r="F27" s="22"/>
      <c r="G27" s="17"/>
      <c r="H27" s="22"/>
      <c r="I27" s="22"/>
      <c r="J27" s="22"/>
      <c r="K27" s="22"/>
      <c r="L27" s="25"/>
    </row>
    <row r="28" spans="1:12" ht="12" customHeight="1" x14ac:dyDescent="0.3">
      <c r="A28" s="19"/>
      <c r="B28" s="27" t="s">
        <v>42</v>
      </c>
      <c r="C28" s="21">
        <f>SUM(C24:C26)</f>
        <v>13</v>
      </c>
      <c r="D28" s="22"/>
      <c r="E28" s="22"/>
      <c r="F28" s="27" t="s">
        <v>42</v>
      </c>
      <c r="G28" s="21">
        <f>SUM(G24:G26)</f>
        <v>40</v>
      </c>
      <c r="H28" s="22"/>
      <c r="I28" s="34">
        <f>IF($G$45&lt;&gt;0,G28/$G$45,"")</f>
        <v>0.35714285714285715</v>
      </c>
      <c r="J28" s="22"/>
      <c r="K28" s="22"/>
      <c r="L28" s="25"/>
    </row>
    <row r="29" spans="1:12" ht="6" customHeight="1" x14ac:dyDescent="0.3">
      <c r="A29" s="30"/>
      <c r="B29" s="31"/>
      <c r="C29" s="21"/>
      <c r="D29" s="21"/>
      <c r="E29" s="21"/>
      <c r="F29" s="21"/>
      <c r="G29" s="21"/>
      <c r="H29" s="21"/>
      <c r="I29" s="21"/>
      <c r="J29" s="21"/>
      <c r="K29" s="21"/>
      <c r="L29" s="32"/>
    </row>
    <row r="30" spans="1:12" ht="12" customHeight="1" x14ac:dyDescent="0.3">
      <c r="A30" s="15"/>
      <c r="B30" s="16"/>
      <c r="C30" s="22"/>
      <c r="D30" s="17"/>
      <c r="E30" s="17"/>
      <c r="F30" s="17"/>
      <c r="G30" s="22"/>
      <c r="H30" s="17"/>
      <c r="I30" s="17"/>
      <c r="J30" s="17"/>
      <c r="K30" s="17"/>
      <c r="L30" s="18"/>
    </row>
    <row r="31" spans="1:12" ht="12" customHeight="1" x14ac:dyDescent="0.3">
      <c r="A31" s="19"/>
      <c r="B31" s="20" t="s">
        <v>47</v>
      </c>
      <c r="C31" s="21">
        <f>COUNTIF(CF,"ALIL")</f>
        <v>3</v>
      </c>
      <c r="D31" s="22"/>
      <c r="E31" s="22" t="s">
        <v>36</v>
      </c>
      <c r="F31" s="22" t="s">
        <v>45</v>
      </c>
      <c r="G31" s="21">
        <f>C31*7</f>
        <v>21</v>
      </c>
      <c r="H31" s="22"/>
      <c r="I31" s="22"/>
      <c r="J31" s="22"/>
      <c r="K31" s="22"/>
      <c r="L31" s="25"/>
    </row>
    <row r="32" spans="1:12" ht="12" customHeight="1" x14ac:dyDescent="0.3">
      <c r="A32" s="19"/>
      <c r="B32" s="20"/>
      <c r="C32" s="21">
        <f>COUNTIF(CF,"ALIA")</f>
        <v>0</v>
      </c>
      <c r="D32" s="22"/>
      <c r="E32" s="22" t="s">
        <v>38</v>
      </c>
      <c r="F32" s="22" t="s">
        <v>48</v>
      </c>
      <c r="G32" s="21">
        <f>C32*10</f>
        <v>0</v>
      </c>
      <c r="H32" s="22"/>
      <c r="I32" s="22"/>
      <c r="J32" s="22"/>
      <c r="K32" s="22"/>
      <c r="L32" s="25"/>
    </row>
    <row r="33" spans="1:12" ht="12" customHeight="1" x14ac:dyDescent="0.3">
      <c r="A33" s="19"/>
      <c r="B33" s="20"/>
      <c r="C33" s="21">
        <f>COUNTIF(CF,"ALIH")</f>
        <v>0</v>
      </c>
      <c r="D33" s="22"/>
      <c r="E33" s="22" t="s">
        <v>40</v>
      </c>
      <c r="F33" s="22" t="s">
        <v>49</v>
      </c>
      <c r="G33" s="21">
        <f>C33*15</f>
        <v>0</v>
      </c>
      <c r="H33" s="22"/>
      <c r="I33" s="22"/>
      <c r="J33" s="22"/>
      <c r="K33" s="22"/>
      <c r="L33" s="26"/>
    </row>
    <row r="34" spans="1:12" ht="6.75" customHeight="1" x14ac:dyDescent="0.3">
      <c r="A34" s="19"/>
      <c r="B34" s="20"/>
      <c r="C34" s="17"/>
      <c r="D34" s="22"/>
      <c r="E34" s="22"/>
      <c r="F34" s="22"/>
      <c r="G34" s="17"/>
      <c r="H34" s="22"/>
      <c r="I34" s="22"/>
      <c r="J34" s="22"/>
      <c r="K34" s="22"/>
      <c r="L34" s="25"/>
    </row>
    <row r="35" spans="1:12" ht="12" customHeight="1" x14ac:dyDescent="0.3">
      <c r="A35" s="19"/>
      <c r="B35" s="27" t="s">
        <v>42</v>
      </c>
      <c r="C35" s="21">
        <f>SUM(C31:C33)</f>
        <v>3</v>
      </c>
      <c r="D35" s="22"/>
      <c r="E35" s="22"/>
      <c r="F35" s="27" t="s">
        <v>42</v>
      </c>
      <c r="G35" s="21">
        <f>SUM(G31:G33)</f>
        <v>21</v>
      </c>
      <c r="H35" s="22"/>
      <c r="I35" s="35">
        <f>IF($G$45&lt;&gt;0,G35/$G$45,"")</f>
        <v>0.1875</v>
      </c>
      <c r="J35" s="22"/>
      <c r="K35" s="22"/>
      <c r="L35" s="25"/>
    </row>
    <row r="36" spans="1:12" ht="6" customHeight="1" x14ac:dyDescent="0.3">
      <c r="A36" s="30"/>
      <c r="B36" s="31"/>
      <c r="C36" s="21"/>
      <c r="D36" s="21"/>
      <c r="E36" s="21"/>
      <c r="F36" s="21"/>
      <c r="G36" s="21"/>
      <c r="H36" s="21"/>
      <c r="I36" s="21"/>
      <c r="J36" s="21"/>
      <c r="K36" s="21"/>
      <c r="L36" s="32"/>
    </row>
    <row r="37" spans="1:12" ht="12" customHeight="1" x14ac:dyDescent="0.3">
      <c r="A37" s="15"/>
      <c r="B37" s="16"/>
      <c r="C37" s="22"/>
      <c r="D37" s="17"/>
      <c r="E37" s="17"/>
      <c r="F37" s="17"/>
      <c r="G37" s="22"/>
      <c r="H37" s="17"/>
      <c r="I37" s="17"/>
      <c r="J37" s="17"/>
      <c r="K37" s="17"/>
      <c r="L37" s="18"/>
    </row>
    <row r="38" spans="1:12" ht="12" customHeight="1" x14ac:dyDescent="0.3">
      <c r="A38" s="19"/>
      <c r="B38" s="20" t="s">
        <v>50</v>
      </c>
      <c r="C38" s="21">
        <f>COUNTIF(CF,"AIEL")</f>
        <v>0</v>
      </c>
      <c r="D38" s="22"/>
      <c r="E38" s="22" t="s">
        <v>36</v>
      </c>
      <c r="F38" s="22" t="s">
        <v>44</v>
      </c>
      <c r="G38" s="21">
        <f>C38*5</f>
        <v>0</v>
      </c>
      <c r="H38" s="22"/>
      <c r="I38" s="22"/>
      <c r="J38" s="22"/>
      <c r="K38" s="22"/>
      <c r="L38" s="25"/>
    </row>
    <row r="39" spans="1:12" ht="12" customHeight="1" x14ac:dyDescent="0.3">
      <c r="A39" s="19"/>
      <c r="B39" s="20"/>
      <c r="C39" s="21">
        <f>COUNTIF(CF,"AIEA")</f>
        <v>0</v>
      </c>
      <c r="D39" s="22"/>
      <c r="E39" s="22" t="s">
        <v>38</v>
      </c>
      <c r="F39" s="22" t="s">
        <v>45</v>
      </c>
      <c r="G39" s="21">
        <f>C39*7</f>
        <v>0</v>
      </c>
      <c r="H39" s="22"/>
      <c r="I39" s="22"/>
      <c r="J39" s="22"/>
      <c r="K39" s="22"/>
      <c r="L39" s="25"/>
    </row>
    <row r="40" spans="1:12" ht="12" customHeight="1" x14ac:dyDescent="0.3">
      <c r="A40" s="19"/>
      <c r="B40" s="20"/>
      <c r="C40" s="21">
        <f>COUNTIF(CF,"AIEH")</f>
        <v>0</v>
      </c>
      <c r="D40" s="22"/>
      <c r="E40" s="22" t="s">
        <v>40</v>
      </c>
      <c r="F40" s="22" t="s">
        <v>48</v>
      </c>
      <c r="G40" s="21">
        <f>C40*10</f>
        <v>0</v>
      </c>
      <c r="H40" s="22"/>
      <c r="I40" s="22"/>
      <c r="J40" s="22"/>
      <c r="K40" s="22"/>
      <c r="L40" s="26"/>
    </row>
    <row r="41" spans="1:12" ht="6.75" customHeight="1" x14ac:dyDescent="0.3">
      <c r="A41" s="19"/>
      <c r="B41" s="20"/>
      <c r="C41" s="17"/>
      <c r="D41" s="22"/>
      <c r="E41" s="22"/>
      <c r="F41" s="22"/>
      <c r="G41" s="17"/>
      <c r="H41" s="22"/>
      <c r="I41" s="22"/>
      <c r="J41" s="22"/>
      <c r="K41" s="22"/>
      <c r="L41" s="25"/>
    </row>
    <row r="42" spans="1:12" ht="12" customHeight="1" x14ac:dyDescent="0.3">
      <c r="A42" s="19"/>
      <c r="B42" s="27" t="s">
        <v>42</v>
      </c>
      <c r="C42" s="21">
        <f>SUM(C38:C40)</f>
        <v>0</v>
      </c>
      <c r="D42" s="22"/>
      <c r="E42" s="22"/>
      <c r="F42" s="27" t="s">
        <v>42</v>
      </c>
      <c r="G42" s="21">
        <f>SUM(G38:G40)</f>
        <v>0</v>
      </c>
      <c r="H42" s="22"/>
      <c r="I42" s="36">
        <f>IF($G$45&lt;&gt;0,G42/$G$45,"")</f>
        <v>0</v>
      </c>
      <c r="J42" s="22"/>
      <c r="K42" s="22"/>
      <c r="L42" s="25"/>
    </row>
    <row r="43" spans="1:12" ht="6" customHeight="1" x14ac:dyDescent="0.3">
      <c r="A43" s="30"/>
      <c r="B43" s="31"/>
      <c r="C43" s="21"/>
      <c r="D43" s="21"/>
      <c r="E43" s="21"/>
      <c r="F43" s="21"/>
      <c r="G43" s="21"/>
      <c r="H43" s="21"/>
      <c r="I43" s="21"/>
      <c r="J43" s="21"/>
      <c r="K43" s="21"/>
      <c r="L43" s="32"/>
    </row>
    <row r="44" spans="1:12" ht="12" customHeight="1" x14ac:dyDescent="0.3">
      <c r="A44" s="19"/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5"/>
    </row>
    <row r="45" spans="1:12" ht="12" customHeight="1" x14ac:dyDescent="0.3">
      <c r="A45" s="19"/>
      <c r="B45" s="20" t="s">
        <v>61</v>
      </c>
      <c r="C45" s="22"/>
      <c r="D45" s="22"/>
      <c r="E45" s="22"/>
      <c r="F45" s="22"/>
      <c r="G45" s="21">
        <f>SUM(G14+G21+G28+G35+G42)</f>
        <v>112</v>
      </c>
      <c r="H45" s="22"/>
      <c r="I45" s="22"/>
      <c r="J45" s="22"/>
      <c r="K45" s="22"/>
      <c r="L45" s="25"/>
    </row>
    <row r="46" spans="1:12" ht="12" customHeight="1" x14ac:dyDescent="0.3">
      <c r="A46" s="19"/>
      <c r="B46" s="20" t="s">
        <v>62</v>
      </c>
      <c r="C46" s="22"/>
      <c r="D46" s="22"/>
      <c r="E46" s="22"/>
      <c r="F46" s="22"/>
      <c r="G46" s="21">
        <f>(C10+C11+C12)*4+(C17+C18+C19)*5+(C24+C25+C26)*4+(C31+C32+C33)*7+(C38+C39+C40)*5</f>
        <v>141</v>
      </c>
      <c r="H46" s="22"/>
      <c r="I46" s="22"/>
      <c r="J46" s="22"/>
      <c r="K46" s="22"/>
      <c r="L46" s="25"/>
    </row>
    <row r="47" spans="1:12" ht="12" customHeight="1" x14ac:dyDescent="0.3">
      <c r="A47" s="19"/>
      <c r="B47" s="20" t="s">
        <v>63</v>
      </c>
      <c r="C47" s="22"/>
      <c r="D47" s="22"/>
      <c r="E47" s="22"/>
      <c r="F47" s="22"/>
      <c r="G47" s="21">
        <f>(C31+C32+C33)*35+(C38+C39+C40)*15</f>
        <v>105</v>
      </c>
      <c r="H47" s="22"/>
      <c r="I47" s="22"/>
      <c r="J47" s="22"/>
      <c r="K47" s="22"/>
      <c r="L47" s="25"/>
    </row>
    <row r="48" spans="1:12" ht="12" customHeight="1" x14ac:dyDescent="0.3">
      <c r="A48" s="19"/>
      <c r="B48" s="20"/>
      <c r="C48" s="22"/>
      <c r="D48" s="22"/>
      <c r="E48" s="22"/>
      <c r="F48" s="22"/>
      <c r="G48" s="22"/>
      <c r="H48" s="22"/>
      <c r="I48" s="22"/>
      <c r="J48" s="22"/>
      <c r="K48" s="22"/>
      <c r="L48" s="25"/>
    </row>
    <row r="49" spans="1:12" ht="12" customHeight="1" x14ac:dyDescent="0.3">
      <c r="A49" s="19"/>
      <c r="B49" s="20"/>
      <c r="C49" s="22"/>
      <c r="D49" s="22"/>
      <c r="E49" s="22"/>
      <c r="F49" s="22"/>
      <c r="G49" s="22"/>
      <c r="H49" s="22"/>
      <c r="I49" s="22"/>
      <c r="J49" s="22"/>
      <c r="K49" s="22"/>
      <c r="L49" s="25"/>
    </row>
    <row r="50" spans="1:12" ht="12" customHeight="1" x14ac:dyDescent="0.3">
      <c r="A50" s="19"/>
      <c r="H50" s="22"/>
      <c r="I50" s="22"/>
      <c r="J50" s="22"/>
      <c r="L50" s="25"/>
    </row>
    <row r="51" spans="1:12" ht="13.5" customHeight="1" x14ac:dyDescent="0.3">
      <c r="A51" s="19"/>
      <c r="H51" s="22"/>
      <c r="I51" s="22"/>
      <c r="J51" s="22"/>
      <c r="L51" s="25"/>
    </row>
    <row r="52" spans="1:12" ht="12" customHeight="1" x14ac:dyDescent="0.3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8"/>
    </row>
    <row r="53" spans="1:12" ht="12" customHeight="1" x14ac:dyDescent="0.3">
      <c r="A53" s="19"/>
      <c r="B53" s="20" t="s">
        <v>58</v>
      </c>
      <c r="C53" s="20"/>
      <c r="D53" s="20"/>
      <c r="E53" s="20"/>
      <c r="F53" s="20"/>
      <c r="G53" s="20"/>
      <c r="H53" s="20"/>
      <c r="I53" s="20"/>
      <c r="J53" s="20"/>
      <c r="K53" s="20"/>
      <c r="L53" s="25"/>
    </row>
    <row r="54" spans="1:12" ht="12" customHeight="1" x14ac:dyDescent="0.3">
      <c r="A54" s="19"/>
      <c r="B54" s="20"/>
      <c r="C54" s="20"/>
      <c r="D54" s="20"/>
      <c r="E54" s="37" t="s">
        <v>5</v>
      </c>
      <c r="F54" s="37" t="s">
        <v>51</v>
      </c>
      <c r="G54" s="37" t="s">
        <v>64</v>
      </c>
      <c r="H54" s="20"/>
      <c r="I54" s="20"/>
      <c r="J54" s="20"/>
      <c r="K54" s="20"/>
      <c r="L54" s="25"/>
    </row>
    <row r="55" spans="1:12" ht="12" customHeight="1" x14ac:dyDescent="0.3">
      <c r="A55" s="19"/>
      <c r="B55" s="151" t="s">
        <v>52</v>
      </c>
      <c r="C55" s="151"/>
      <c r="D55" s="151"/>
      <c r="E55" s="5">
        <f>SUMIF(Funções!$I$8:$I$77,"I",Funções!$O$8:$O$77)</f>
        <v>112</v>
      </c>
      <c r="F55" s="5">
        <f>Contagem!U10</f>
        <v>1</v>
      </c>
      <c r="G55" s="38">
        <f>F55*E55</f>
        <v>112</v>
      </c>
      <c r="H55" s="39"/>
      <c r="I55" s="39"/>
      <c r="J55" s="39"/>
      <c r="K55" s="40" t="s">
        <v>53</v>
      </c>
      <c r="L55" s="25"/>
    </row>
    <row r="56" spans="1:12" ht="12" customHeight="1" x14ac:dyDescent="0.3">
      <c r="A56" s="19"/>
      <c r="B56" s="151" t="s">
        <v>54</v>
      </c>
      <c r="C56" s="151"/>
      <c r="D56" s="151"/>
      <c r="E56" s="5">
        <f>SUMIF(Funções!$I$8:$I$77,"A",Funções!$O$8:$O$77)</f>
        <v>0</v>
      </c>
      <c r="F56" s="5">
        <f>Contagem!U11</f>
        <v>1</v>
      </c>
      <c r="G56" s="38">
        <f>F56*E56</f>
        <v>0</v>
      </c>
      <c r="H56" s="39"/>
      <c r="I56" s="39"/>
      <c r="J56" s="39"/>
      <c r="K56" s="41">
        <f>Contagem!W5</f>
        <v>112</v>
      </c>
      <c r="L56" s="25"/>
    </row>
    <row r="57" spans="1:12" ht="12" customHeight="1" x14ac:dyDescent="0.3">
      <c r="A57" s="19"/>
      <c r="B57" s="151" t="s">
        <v>55</v>
      </c>
      <c r="C57" s="151"/>
      <c r="D57" s="151"/>
      <c r="E57" s="5">
        <f>SUMIF(Funções!$I$8:$I$77,"E",Funções!$O$8:$O$77)</f>
        <v>0</v>
      </c>
      <c r="F57" s="5">
        <f>Contagem!U12</f>
        <v>1</v>
      </c>
      <c r="G57" s="38">
        <f>F57*E57</f>
        <v>0</v>
      </c>
      <c r="H57" s="39"/>
      <c r="I57" s="39"/>
      <c r="J57" s="39"/>
      <c r="K57" s="20"/>
      <c r="L57" s="25"/>
    </row>
    <row r="58" spans="1:12" ht="12" customHeight="1" x14ac:dyDescent="0.3">
      <c r="A58" s="19"/>
      <c r="B58" s="151" t="s">
        <v>56</v>
      </c>
      <c r="C58" s="151"/>
      <c r="D58" s="151"/>
      <c r="E58" s="5">
        <f>SUMIF(Funções!$I$8:$I$77,"T",Funções!$O$8:$O$77)</f>
        <v>0</v>
      </c>
      <c r="F58" s="5">
        <f>Contagem!U13</f>
        <v>0</v>
      </c>
      <c r="G58" s="38">
        <f>F58*E58</f>
        <v>0</v>
      </c>
      <c r="H58" s="39"/>
      <c r="I58" s="39"/>
      <c r="J58" s="39"/>
      <c r="K58" s="20"/>
      <c r="L58" s="25"/>
    </row>
    <row r="59" spans="1:12" ht="12" customHeight="1" x14ac:dyDescent="0.3">
      <c r="A59" s="42"/>
      <c r="B59" s="43"/>
      <c r="C59" s="44"/>
      <c r="D59" s="45"/>
      <c r="E59" s="46"/>
      <c r="F59" s="45"/>
      <c r="G59" s="47"/>
      <c r="H59" s="48"/>
      <c r="I59" s="48"/>
      <c r="J59" s="48"/>
      <c r="K59" s="49"/>
      <c r="L59" s="50"/>
    </row>
    <row r="60" spans="1:12" ht="12" customHeight="1" x14ac:dyDescent="0.3">
      <c r="B60" s="51"/>
      <c r="C60" s="52"/>
      <c r="E60" s="53"/>
      <c r="G60" s="54"/>
      <c r="H60" s="39"/>
      <c r="I60" s="39"/>
      <c r="J60" s="39"/>
      <c r="K60" s="55"/>
    </row>
    <row r="61" spans="1:12" ht="12" customHeight="1" x14ac:dyDescent="0.3">
      <c r="B61" s="51"/>
      <c r="C61" s="52"/>
      <c r="E61" s="53"/>
      <c r="G61" s="54"/>
      <c r="H61" s="39"/>
      <c r="I61" s="39"/>
      <c r="J61" s="39"/>
      <c r="K61" s="55"/>
    </row>
  </sheetData>
  <mergeCells count="18">
    <mergeCell ref="I7:J8"/>
    <mergeCell ref="K7:L8"/>
    <mergeCell ref="A1:L3"/>
    <mergeCell ref="A4:E4"/>
    <mergeCell ref="F4:L4"/>
    <mergeCell ref="A5:E5"/>
    <mergeCell ref="F5:L5"/>
    <mergeCell ref="K6:L6"/>
    <mergeCell ref="H6:J6"/>
    <mergeCell ref="H7:H8"/>
    <mergeCell ref="B55:D55"/>
    <mergeCell ref="B56:D56"/>
    <mergeCell ref="B58:D58"/>
    <mergeCell ref="B57:D57"/>
    <mergeCell ref="F6:G6"/>
    <mergeCell ref="A7:B8"/>
    <mergeCell ref="C7:F8"/>
    <mergeCell ref="G7:G8"/>
  </mergeCells>
  <phoneticPr fontId="0" type="noConversion"/>
  <pageMargins left="0.74791666666666667" right="0.74791666666666667" top="1.3097222222222222" bottom="0.98402777777777783" header="0.51180555555555562" footer="0.49236111111111114"/>
  <pageSetup paperSize="9" firstPageNumber="0" orientation="portrait" horizontalDpi="300" verticalDpi="300" r:id="rId1"/>
  <headerFooter alignWithMargins="0">
    <oddHeader>&amp;C&amp;"Arial"&amp;8&amp;K000000INTERNAL&amp;1#</oddHeader>
    <oddFooter>&amp;R&amp;"Tahoma,Normal"&amp;8&amp;F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zoomScale="145" zoomScaleNormal="145" workbookViewId="0">
      <selection activeCell="D11" sqref="D11"/>
    </sheetView>
  </sheetViews>
  <sheetFormatPr defaultRowHeight="14.25" customHeight="1" x14ac:dyDescent="0.25"/>
  <cols>
    <col min="1" max="1" width="41.88671875" customWidth="1"/>
    <col min="2" max="2" width="28.44140625" style="63" customWidth="1"/>
    <col min="3" max="3" width="8.44140625" customWidth="1"/>
    <col min="4" max="4" width="8.109375" customWidth="1"/>
    <col min="10" max="10" width="9.109375" customWidth="1"/>
  </cols>
  <sheetData>
    <row r="1" spans="1:6" s="61" customFormat="1" ht="14.25" customHeight="1" x14ac:dyDescent="0.25">
      <c r="A1" s="79" t="s">
        <v>69</v>
      </c>
      <c r="B1" s="80" t="s">
        <v>5</v>
      </c>
    </row>
    <row r="2" spans="1:6" ht="14.25" customHeight="1" x14ac:dyDescent="0.25">
      <c r="A2" s="74"/>
      <c r="B2" s="75"/>
    </row>
    <row r="3" spans="1:6" ht="14.25" customHeight="1" x14ac:dyDescent="0.25">
      <c r="A3" s="76" t="s">
        <v>42</v>
      </c>
      <c r="B3" s="77">
        <f>VALUE(Contagem!W5)</f>
        <v>112</v>
      </c>
    </row>
    <row r="5" spans="1:6" ht="14.25" customHeight="1" x14ac:dyDescent="0.25">
      <c r="A5" s="81" t="s">
        <v>80</v>
      </c>
      <c r="B5" s="82">
        <v>1</v>
      </c>
    </row>
    <row r="7" spans="1:6" ht="14.25" customHeight="1" x14ac:dyDescent="0.25">
      <c r="A7" s="162" t="s">
        <v>86</v>
      </c>
      <c r="B7" s="162"/>
    </row>
    <row r="8" spans="1:6" ht="14.25" customHeight="1" x14ac:dyDescent="0.25">
      <c r="A8" s="61"/>
      <c r="B8"/>
    </row>
    <row r="9" spans="1:6" ht="14.25" customHeight="1" x14ac:dyDescent="0.25">
      <c r="A9" s="78" t="s">
        <v>121</v>
      </c>
      <c r="B9" s="64" t="s">
        <v>102</v>
      </c>
      <c r="D9" s="62"/>
    </row>
    <row r="10" spans="1:6" ht="14.25" customHeight="1" x14ac:dyDescent="0.25">
      <c r="A10" s="66" t="s">
        <v>77</v>
      </c>
      <c r="B10" s="94">
        <f>1/VLOOKUP(B9,'Produtividade Histórica'!A2:B40,2)</f>
        <v>0.5</v>
      </c>
      <c r="D10" s="62" t="s">
        <v>138</v>
      </c>
    </row>
    <row r="11" spans="1:6" ht="14.25" customHeight="1" x14ac:dyDescent="0.25">
      <c r="A11" s="96" t="s">
        <v>70</v>
      </c>
      <c r="B11" s="95">
        <f>B3/B10</f>
        <v>224</v>
      </c>
      <c r="C11" t="s">
        <v>137</v>
      </c>
      <c r="D11" s="107">
        <f>B11/8</f>
        <v>28</v>
      </c>
      <c r="E11">
        <v>5</v>
      </c>
    </row>
    <row r="12" spans="1:6" ht="14.25" customHeight="1" x14ac:dyDescent="0.25">
      <c r="A12" s="66" t="s">
        <v>85</v>
      </c>
      <c r="B12" s="65">
        <f>8*22</f>
        <v>176</v>
      </c>
      <c r="E12">
        <v>2</v>
      </c>
    </row>
    <row r="13" spans="1:6" ht="14.25" customHeight="1" x14ac:dyDescent="0.25">
      <c r="A13" s="67" t="s">
        <v>76</v>
      </c>
      <c r="B13" s="86">
        <v>1</v>
      </c>
      <c r="E13">
        <v>5</v>
      </c>
    </row>
    <row r="14" spans="1:6" ht="14.25" customHeight="1" x14ac:dyDescent="0.25">
      <c r="E14">
        <v>2</v>
      </c>
    </row>
    <row r="15" spans="1:6" ht="14.25" customHeight="1" x14ac:dyDescent="0.25">
      <c r="A15" s="68" t="s">
        <v>71</v>
      </c>
      <c r="B15" s="69"/>
      <c r="D15" s="62"/>
      <c r="E15">
        <v>3</v>
      </c>
    </row>
    <row r="16" spans="1:6" ht="14.25" customHeight="1" x14ac:dyDescent="0.25">
      <c r="A16" s="70" t="s">
        <v>72</v>
      </c>
      <c r="B16" s="71">
        <f>B$11*0.2</f>
        <v>44.800000000000004</v>
      </c>
      <c r="D16" s="62"/>
      <c r="E16">
        <f>SUM(E11:E15)</f>
        <v>17</v>
      </c>
      <c r="F16" t="s">
        <v>139</v>
      </c>
    </row>
    <row r="17" spans="1:2" ht="14.25" customHeight="1" x14ac:dyDescent="0.25">
      <c r="A17" s="70" t="s">
        <v>73</v>
      </c>
      <c r="B17" s="71">
        <f>B$11*0.3</f>
        <v>67.2</v>
      </c>
    </row>
    <row r="18" spans="1:2" ht="14.25" customHeight="1" x14ac:dyDescent="0.25">
      <c r="A18" s="70" t="s">
        <v>74</v>
      </c>
      <c r="B18" s="71">
        <f>B$11*0.4</f>
        <v>89.600000000000009</v>
      </c>
    </row>
    <row r="19" spans="1:2" ht="14.25" customHeight="1" x14ac:dyDescent="0.25">
      <c r="A19" s="72" t="s">
        <v>75</v>
      </c>
      <c r="B19" s="73">
        <f>B$11*0.1</f>
        <v>22.400000000000002</v>
      </c>
    </row>
    <row r="20" spans="1:2" ht="14.25" customHeight="1" x14ac:dyDescent="0.25">
      <c r="B20"/>
    </row>
    <row r="21" spans="1:2" ht="14.25" customHeight="1" x14ac:dyDescent="0.25">
      <c r="A21" s="68" t="s">
        <v>78</v>
      </c>
      <c r="B21" s="69"/>
    </row>
    <row r="22" spans="1:2" ht="14.25" customHeight="1" x14ac:dyDescent="0.25">
      <c r="A22" s="70" t="s">
        <v>72</v>
      </c>
      <c r="B22" s="71">
        <f>(B$11*0.2)/$B$5</f>
        <v>44.800000000000004</v>
      </c>
    </row>
    <row r="23" spans="1:2" ht="14.25" customHeight="1" x14ac:dyDescent="0.25">
      <c r="A23" s="70" t="s">
        <v>73</v>
      </c>
      <c r="B23" s="71">
        <f>B$11*0.3/$B$5</f>
        <v>67.2</v>
      </c>
    </row>
    <row r="24" spans="1:2" ht="14.25" customHeight="1" x14ac:dyDescent="0.25">
      <c r="A24" s="70" t="s">
        <v>74</v>
      </c>
      <c r="B24" s="71">
        <f>B$11*0.4/$B$5</f>
        <v>89.600000000000009</v>
      </c>
    </row>
    <row r="25" spans="1:2" ht="14.25" customHeight="1" x14ac:dyDescent="0.25">
      <c r="A25" s="72" t="s">
        <v>75</v>
      </c>
      <c r="B25" s="73">
        <f>B$11*0.1/$B$5</f>
        <v>22.400000000000002</v>
      </c>
    </row>
    <row r="27" spans="1:2" ht="14.25" customHeight="1" x14ac:dyDescent="0.25">
      <c r="A27" s="68" t="s">
        <v>79</v>
      </c>
      <c r="B27" s="69"/>
    </row>
    <row r="28" spans="1:2" ht="14.25" customHeight="1" x14ac:dyDescent="0.25">
      <c r="A28" s="70" t="s">
        <v>72</v>
      </c>
      <c r="B28" s="71">
        <f>$B$3*0.2/$B$5</f>
        <v>22.400000000000002</v>
      </c>
    </row>
    <row r="29" spans="1:2" ht="14.25" customHeight="1" x14ac:dyDescent="0.25">
      <c r="A29" s="70" t="s">
        <v>73</v>
      </c>
      <c r="B29" s="71">
        <f>$B$3*0.3/$B$5</f>
        <v>33.6</v>
      </c>
    </row>
    <row r="30" spans="1:2" ht="14.25" customHeight="1" x14ac:dyDescent="0.25">
      <c r="A30" s="70" t="s">
        <v>74</v>
      </c>
      <c r="B30" s="71">
        <f>$B$3*0.4/$B$5</f>
        <v>44.800000000000004</v>
      </c>
    </row>
    <row r="31" spans="1:2" ht="14.25" customHeight="1" x14ac:dyDescent="0.25">
      <c r="A31" s="72" t="s">
        <v>75</v>
      </c>
      <c r="B31" s="73">
        <f>$B$3*0.1/$B$5</f>
        <v>11.200000000000001</v>
      </c>
    </row>
    <row r="33" spans="1:3" ht="14.25" customHeight="1" x14ac:dyDescent="0.25">
      <c r="A33" s="88" t="s">
        <v>87</v>
      </c>
      <c r="B33" s="87">
        <f>B3/(19*LN(B3)-42)</f>
        <v>2.3503992614133109</v>
      </c>
      <c r="C33" t="s">
        <v>120</v>
      </c>
    </row>
  </sheetData>
  <mergeCells count="1">
    <mergeCell ref="A7:B7"/>
  </mergeCells>
  <pageMargins left="0.511811024" right="0.511811024" top="0.78740157499999996" bottom="0.78740157499999996" header="0.31496062000000002" footer="0.31496062000000002"/>
  <pageSetup paperSize="9" orientation="landscape" horizontalDpi="4294967294" verticalDpi="4294967294" r:id="rId1"/>
  <headerFooter>
    <oddHeader>&amp;C&amp;"Arial"&amp;8&amp;K000000INTERNAL&amp;1#</oddHead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300-000000000000}">
          <x14:formula1>
            <xm:f>'Produtividade Histórica'!$A$2:$A$28</xm:f>
          </x14:formula1>
          <xm:sqref>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8"/>
  <sheetViews>
    <sheetView zoomScale="160" zoomScaleNormal="160" workbookViewId="0">
      <selection activeCell="A13" sqref="A13"/>
    </sheetView>
  </sheetViews>
  <sheetFormatPr defaultRowHeight="13.2" x14ac:dyDescent="0.25"/>
  <cols>
    <col min="1" max="1" width="30.6640625" bestFit="1" customWidth="1"/>
    <col min="2" max="2" width="11.33203125" customWidth="1"/>
  </cols>
  <sheetData>
    <row r="1" spans="1:2" x14ac:dyDescent="0.25">
      <c r="A1" s="89" t="s">
        <v>92</v>
      </c>
      <c r="B1" s="89" t="s">
        <v>93</v>
      </c>
    </row>
    <row r="2" spans="1:2" x14ac:dyDescent="0.25">
      <c r="A2" s="90" t="s">
        <v>94</v>
      </c>
      <c r="B2" s="91">
        <v>2</v>
      </c>
    </row>
    <row r="3" spans="1:2" x14ac:dyDescent="0.25">
      <c r="A3" s="90" t="s">
        <v>95</v>
      </c>
      <c r="B3" s="91">
        <v>3</v>
      </c>
    </row>
    <row r="4" spans="1:2" x14ac:dyDescent="0.25">
      <c r="A4" s="90" t="s">
        <v>96</v>
      </c>
      <c r="B4" s="91">
        <v>2</v>
      </c>
    </row>
    <row r="5" spans="1:2" x14ac:dyDescent="0.25">
      <c r="A5" s="90" t="s">
        <v>27</v>
      </c>
      <c r="B5" s="91">
        <v>5</v>
      </c>
    </row>
    <row r="6" spans="1:2" x14ac:dyDescent="0.25">
      <c r="A6" s="90" t="s">
        <v>97</v>
      </c>
      <c r="B6" s="91">
        <v>3</v>
      </c>
    </row>
    <row r="7" spans="1:2" x14ac:dyDescent="0.25">
      <c r="A7" s="90" t="s">
        <v>98</v>
      </c>
      <c r="B7" s="91">
        <v>3</v>
      </c>
    </row>
    <row r="8" spans="1:2" x14ac:dyDescent="0.25">
      <c r="A8" s="90" t="s">
        <v>99</v>
      </c>
      <c r="B8" s="91">
        <v>2</v>
      </c>
    </row>
    <row r="9" spans="1:2" x14ac:dyDescent="0.25">
      <c r="A9" s="90" t="s">
        <v>100</v>
      </c>
      <c r="B9" s="91">
        <v>3</v>
      </c>
    </row>
    <row r="10" spans="1:2" x14ac:dyDescent="0.25">
      <c r="A10" s="90" t="s">
        <v>101</v>
      </c>
      <c r="B10" s="91">
        <v>2</v>
      </c>
    </row>
    <row r="11" spans="1:2" x14ac:dyDescent="0.25">
      <c r="A11" s="92" t="s">
        <v>102</v>
      </c>
      <c r="B11" s="93">
        <v>2</v>
      </c>
    </row>
    <row r="12" spans="1:2" x14ac:dyDescent="0.25">
      <c r="A12" s="90" t="s">
        <v>103</v>
      </c>
      <c r="B12" s="91">
        <v>3</v>
      </c>
    </row>
    <row r="13" spans="1:2" x14ac:dyDescent="0.25">
      <c r="A13" s="90" t="s">
        <v>104</v>
      </c>
      <c r="B13" s="91">
        <v>4</v>
      </c>
    </row>
    <row r="14" spans="1:2" x14ac:dyDescent="0.25">
      <c r="A14" s="90" t="s">
        <v>105</v>
      </c>
      <c r="B14" s="91">
        <v>3</v>
      </c>
    </row>
    <row r="15" spans="1:2" x14ac:dyDescent="0.25">
      <c r="A15" s="90" t="s">
        <v>106</v>
      </c>
      <c r="B15" s="91">
        <v>2</v>
      </c>
    </row>
    <row r="16" spans="1:2" x14ac:dyDescent="0.25">
      <c r="A16" s="90" t="s">
        <v>107</v>
      </c>
      <c r="B16" s="91">
        <v>5</v>
      </c>
    </row>
    <row r="17" spans="1:2" x14ac:dyDescent="0.25">
      <c r="A17" s="90" t="s">
        <v>108</v>
      </c>
      <c r="B17" s="91">
        <v>5</v>
      </c>
    </row>
    <row r="18" spans="1:2" x14ac:dyDescent="0.25">
      <c r="A18" s="90" t="s">
        <v>109</v>
      </c>
      <c r="B18" s="91">
        <v>4</v>
      </c>
    </row>
    <row r="19" spans="1:2" x14ac:dyDescent="0.25">
      <c r="A19" s="90" t="s">
        <v>110</v>
      </c>
      <c r="B19" s="91">
        <v>4</v>
      </c>
    </row>
    <row r="20" spans="1:2" x14ac:dyDescent="0.25">
      <c r="A20" s="90" t="s">
        <v>111</v>
      </c>
      <c r="B20" s="91">
        <v>2</v>
      </c>
    </row>
    <row r="21" spans="1:2" x14ac:dyDescent="0.25">
      <c r="A21" s="90" t="s">
        <v>112</v>
      </c>
      <c r="B21" s="91">
        <v>4</v>
      </c>
    </row>
    <row r="22" spans="1:2" x14ac:dyDescent="0.25">
      <c r="A22" s="90" t="s">
        <v>113</v>
      </c>
      <c r="B22" s="91">
        <v>5</v>
      </c>
    </row>
    <row r="23" spans="1:2" x14ac:dyDescent="0.25">
      <c r="A23" s="90" t="s">
        <v>114</v>
      </c>
      <c r="B23" s="91">
        <v>7</v>
      </c>
    </row>
    <row r="24" spans="1:2" x14ac:dyDescent="0.25">
      <c r="A24" s="90" t="s">
        <v>115</v>
      </c>
      <c r="B24" s="91">
        <v>10</v>
      </c>
    </row>
    <row r="25" spans="1:2" x14ac:dyDescent="0.25">
      <c r="A25" s="90" t="s">
        <v>116</v>
      </c>
      <c r="B25" s="91">
        <v>7</v>
      </c>
    </row>
    <row r="26" spans="1:2" x14ac:dyDescent="0.25">
      <c r="A26" s="90" t="s">
        <v>117</v>
      </c>
      <c r="B26" s="91">
        <v>9</v>
      </c>
    </row>
    <row r="27" spans="1:2" x14ac:dyDescent="0.25">
      <c r="A27" s="90" t="s">
        <v>118</v>
      </c>
      <c r="B27" s="91">
        <v>8</v>
      </c>
    </row>
    <row r="28" spans="1:2" x14ac:dyDescent="0.25">
      <c r="A28" s="90" t="s">
        <v>119</v>
      </c>
      <c r="B28" s="91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&amp;C&amp;"Arial"&amp;8&amp;K000000INTERNAL&amp;1#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10</vt:i4>
      </vt:variant>
    </vt:vector>
  </HeadingPairs>
  <TitlesOfParts>
    <vt:vector size="15" baseType="lpstr">
      <vt:lpstr>Contagem</vt:lpstr>
      <vt:lpstr>Funções</vt:lpstr>
      <vt:lpstr>Sumário</vt:lpstr>
      <vt:lpstr>Estimativas</vt:lpstr>
      <vt:lpstr>Produtividade Histórica</vt:lpstr>
      <vt:lpstr>Funções!Area_de_impressao</vt:lpstr>
      <vt:lpstr>Sumário!Area_de_impressao</vt:lpstr>
      <vt:lpstr>CF</vt:lpstr>
      <vt:lpstr>Data</vt:lpstr>
      <vt:lpstr>Projeto</vt:lpstr>
      <vt:lpstr>Responsável</vt:lpstr>
      <vt:lpstr>Revisão</vt:lpstr>
      <vt:lpstr>Revisor</vt:lpstr>
      <vt:lpstr>Funções!Titulos_de_impressao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creator>Guilherme Simões e Carlos Vazqu</dc:creator>
  <cp:lastModifiedBy>Marcos Job Dias Lima</cp:lastModifiedBy>
  <cp:revision>1</cp:revision>
  <cp:lastPrinted>2014-09-03T16:48:44Z</cp:lastPrinted>
  <dcterms:created xsi:type="dcterms:W3CDTF">2001-07-23T10:50:56Z</dcterms:created>
  <dcterms:modified xsi:type="dcterms:W3CDTF">2020-10-22T16:40:34Z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183ae1-726f-4969-b787-1995b26b5e2f_Enabled">
    <vt:lpwstr>True</vt:lpwstr>
  </property>
  <property fmtid="{D5CDD505-2E9C-101B-9397-08002B2CF9AE}" pid="3" name="MSIP_Label_00183ae1-726f-4969-b787-1995b26b5e2f_SiteId">
    <vt:lpwstr>d539d4bf-5610-471a-afc2-1c76685cfefa</vt:lpwstr>
  </property>
  <property fmtid="{D5CDD505-2E9C-101B-9397-08002B2CF9AE}" pid="4" name="MSIP_Label_00183ae1-726f-4969-b787-1995b26b5e2f_Owner">
    <vt:lpwstr>heuber.lima@enel.com</vt:lpwstr>
  </property>
  <property fmtid="{D5CDD505-2E9C-101B-9397-08002B2CF9AE}" pid="5" name="MSIP_Label_00183ae1-726f-4969-b787-1995b26b5e2f_SetDate">
    <vt:lpwstr>2020-10-02T11:13:31.2556887Z</vt:lpwstr>
  </property>
  <property fmtid="{D5CDD505-2E9C-101B-9397-08002B2CF9AE}" pid="6" name="MSIP_Label_00183ae1-726f-4969-b787-1995b26b5e2f_Name">
    <vt:lpwstr>Internal</vt:lpwstr>
  </property>
  <property fmtid="{D5CDD505-2E9C-101B-9397-08002B2CF9AE}" pid="7" name="MSIP_Label_00183ae1-726f-4969-b787-1995b26b5e2f_Application">
    <vt:lpwstr>Microsoft Azure Information Protection</vt:lpwstr>
  </property>
  <property fmtid="{D5CDD505-2E9C-101B-9397-08002B2CF9AE}" pid="8" name="MSIP_Label_00183ae1-726f-4969-b787-1995b26b5e2f_ActionId">
    <vt:lpwstr>7da572bf-eea1-4be0-9ac0-3f78a49095e1</vt:lpwstr>
  </property>
  <property fmtid="{D5CDD505-2E9C-101B-9397-08002B2CF9AE}" pid="9" name="MSIP_Label_00183ae1-726f-4969-b787-1995b26b5e2f_Extended_MSFT_Method">
    <vt:lpwstr>Automatic</vt:lpwstr>
  </property>
  <property fmtid="{D5CDD505-2E9C-101B-9397-08002B2CF9AE}" pid="10" name="MSIP_Label_797ad33d-ed35-43c0-b526-22bc83c17deb_Enabled">
    <vt:lpwstr>True</vt:lpwstr>
  </property>
  <property fmtid="{D5CDD505-2E9C-101B-9397-08002B2CF9AE}" pid="11" name="MSIP_Label_797ad33d-ed35-43c0-b526-22bc83c17deb_SiteId">
    <vt:lpwstr>d539d4bf-5610-471a-afc2-1c76685cfefa</vt:lpwstr>
  </property>
  <property fmtid="{D5CDD505-2E9C-101B-9397-08002B2CF9AE}" pid="12" name="MSIP_Label_797ad33d-ed35-43c0-b526-22bc83c17deb_Owner">
    <vt:lpwstr>heuber.lima@enel.com</vt:lpwstr>
  </property>
  <property fmtid="{D5CDD505-2E9C-101B-9397-08002B2CF9AE}" pid="13" name="MSIP_Label_797ad33d-ed35-43c0-b526-22bc83c17deb_SetDate">
    <vt:lpwstr>2020-10-02T11:13:31.2556887Z</vt:lpwstr>
  </property>
  <property fmtid="{D5CDD505-2E9C-101B-9397-08002B2CF9AE}" pid="14" name="MSIP_Label_797ad33d-ed35-43c0-b526-22bc83c17deb_Name">
    <vt:lpwstr>Not Encrypted</vt:lpwstr>
  </property>
  <property fmtid="{D5CDD505-2E9C-101B-9397-08002B2CF9AE}" pid="15" name="MSIP_Label_797ad33d-ed35-43c0-b526-22bc83c17deb_Application">
    <vt:lpwstr>Microsoft Azure Information Protection</vt:lpwstr>
  </property>
  <property fmtid="{D5CDD505-2E9C-101B-9397-08002B2CF9AE}" pid="16" name="MSIP_Label_797ad33d-ed35-43c0-b526-22bc83c17deb_ActionId">
    <vt:lpwstr>7da572bf-eea1-4be0-9ac0-3f78a49095e1</vt:lpwstr>
  </property>
  <property fmtid="{D5CDD505-2E9C-101B-9397-08002B2CF9AE}" pid="17" name="MSIP_Label_797ad33d-ed35-43c0-b526-22bc83c17deb_Parent">
    <vt:lpwstr>00183ae1-726f-4969-b787-1995b26b5e2f</vt:lpwstr>
  </property>
  <property fmtid="{D5CDD505-2E9C-101B-9397-08002B2CF9AE}" pid="18" name="MSIP_Label_797ad33d-ed35-43c0-b526-22bc83c17deb_Extended_MSFT_Method">
    <vt:lpwstr>Automatic</vt:lpwstr>
  </property>
  <property fmtid="{D5CDD505-2E9C-101B-9397-08002B2CF9AE}" pid="19" name="Sensitivity">
    <vt:lpwstr>Internal Not Encrypted</vt:lpwstr>
  </property>
</Properties>
</file>