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nod\Desktop\jmeter files\Creditcardfees\"/>
    </mc:Choice>
  </mc:AlternateContent>
  <xr:revisionPtr revIDLastSave="0" documentId="8_{46BEEC4C-440E-4880-B57F-00A5C6C42921}" xr6:coauthVersionLast="47" xr6:coauthVersionMax="47" xr10:uidLastSave="{00000000-0000-0000-0000-000000000000}"/>
  <bookViews>
    <workbookView xWindow="28635" yWindow="-165" windowWidth="29130" windowHeight="15810" firstSheet="2" activeTab="5" xr2:uid="{82F1B295-1E0D-4939-B68C-1A75AF022691}"/>
  </bookViews>
  <sheets>
    <sheet name="Feb Statement" sheetId="12" r:id="rId1"/>
    <sheet name="March Statement" sheetId="16" r:id="rId2"/>
    <sheet name="October Statement" sheetId="15" r:id="rId3"/>
    <sheet name="November Statement" sheetId="13" r:id="rId4"/>
    <sheet name="Dec Statement" sheetId="14" r:id="rId5"/>
    <sheet name="Jan Statement"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 i="1" l="1"/>
  <c r="F7" i="14" l="1"/>
  <c r="F16" i="14"/>
  <c r="T60" i="14"/>
  <c r="V31" i="14"/>
  <c r="V30" i="14"/>
  <c r="V29" i="14"/>
  <c r="C59" i="14"/>
  <c r="B59" i="14"/>
  <c r="K65" i="13"/>
  <c r="C35" i="15"/>
  <c r="C59" i="15"/>
  <c r="C58" i="15"/>
  <c r="M78" i="13"/>
  <c r="M79" i="13" s="1"/>
  <c r="S60" i="16"/>
  <c r="R60" i="16"/>
  <c r="F7" i="16" s="1"/>
  <c r="J60" i="16"/>
  <c r="I60" i="16"/>
  <c r="F6" i="16" s="1"/>
  <c r="D60" i="16"/>
  <c r="E29" i="16"/>
  <c r="F23" i="16"/>
  <c r="F22" i="16"/>
  <c r="F18" i="16"/>
  <c r="I8" i="16"/>
  <c r="C8" i="16"/>
  <c r="I7" i="16"/>
  <c r="F8" i="16" s="1"/>
  <c r="S60" i="15"/>
  <c r="I8" i="15" s="1"/>
  <c r="R60" i="15"/>
  <c r="F7" i="15" s="1"/>
  <c r="J60" i="15"/>
  <c r="I7" i="15" s="1"/>
  <c r="I60" i="15"/>
  <c r="F6" i="15" s="1"/>
  <c r="D60" i="15"/>
  <c r="E29" i="15"/>
  <c r="F23" i="15"/>
  <c r="F22" i="15"/>
  <c r="F18" i="15"/>
  <c r="C16" i="15"/>
  <c r="C17" i="15" s="1"/>
  <c r="F17" i="15" s="1"/>
  <c r="C11" i="15"/>
  <c r="C8" i="15"/>
  <c r="S60" i="14"/>
  <c r="I8" i="14" s="1"/>
  <c r="R60" i="14"/>
  <c r="J60" i="14"/>
  <c r="I7" i="14" s="1"/>
  <c r="I60" i="14"/>
  <c r="F6" i="14" s="1"/>
  <c r="D60" i="14"/>
  <c r="S59" i="13"/>
  <c r="R59" i="13"/>
  <c r="J59" i="13"/>
  <c r="I59" i="13"/>
  <c r="D59" i="13"/>
  <c r="E29" i="14"/>
  <c r="E30" i="14" s="1"/>
  <c r="F23" i="14"/>
  <c r="F22" i="14"/>
  <c r="F18" i="14"/>
  <c r="C16" i="14"/>
  <c r="C11" i="14"/>
  <c r="C8" i="14"/>
  <c r="S60" i="1"/>
  <c r="R60" i="1"/>
  <c r="J60" i="1"/>
  <c r="D57" i="12"/>
  <c r="I65" i="12"/>
  <c r="F8" i="15" l="1"/>
  <c r="C10" i="13"/>
  <c r="C11" i="13" s="1"/>
  <c r="C29" i="15"/>
  <c r="B29" i="15" s="1"/>
  <c r="E30" i="16"/>
  <c r="E30" i="15"/>
  <c r="C19" i="15"/>
  <c r="F3" i="15"/>
  <c r="F8" i="14"/>
  <c r="C29" i="14"/>
  <c r="C17" i="14"/>
  <c r="E31" i="14"/>
  <c r="E29" i="1"/>
  <c r="E29" i="13"/>
  <c r="F4" i="1"/>
  <c r="D60" i="1"/>
  <c r="C30" i="15" l="1"/>
  <c r="C31" i="15" s="1"/>
  <c r="E31" i="16"/>
  <c r="E31" i="15"/>
  <c r="E32" i="14"/>
  <c r="F17" i="14"/>
  <c r="C19" i="14"/>
  <c r="F3" i="14"/>
  <c r="C30" i="14"/>
  <c r="B29" i="14"/>
  <c r="I60" i="1"/>
  <c r="E30" i="1"/>
  <c r="F29" i="1"/>
  <c r="H29" i="1" s="1"/>
  <c r="T29" i="1" s="1"/>
  <c r="W29" i="1" s="1"/>
  <c r="E30" i="13"/>
  <c r="B30" i="15" l="1"/>
  <c r="E32" i="16"/>
  <c r="E32" i="15"/>
  <c r="C32" i="15"/>
  <c r="B31" i="15"/>
  <c r="B30" i="14"/>
  <c r="C31" i="14"/>
  <c r="E33" i="14"/>
  <c r="E34" i="14" s="1"/>
  <c r="E35" i="14" s="1"/>
  <c r="F30" i="1"/>
  <c r="G29" i="1"/>
  <c r="E31" i="1"/>
  <c r="E31" i="13"/>
  <c r="E33" i="16" l="1"/>
  <c r="C33" i="15"/>
  <c r="B32" i="15"/>
  <c r="E33" i="15"/>
  <c r="B31" i="14"/>
  <c r="C32" i="14"/>
  <c r="E36" i="14"/>
  <c r="N29" i="1"/>
  <c r="E32" i="1"/>
  <c r="E32" i="13"/>
  <c r="E34" i="16" l="1"/>
  <c r="E34" i="15"/>
  <c r="E35" i="15"/>
  <c r="C34" i="15"/>
  <c r="B33" i="15"/>
  <c r="C33" i="14"/>
  <c r="B32" i="14"/>
  <c r="E37" i="14"/>
  <c r="E33" i="1"/>
  <c r="E34" i="1" s="1"/>
  <c r="E33" i="13"/>
  <c r="E36" i="15" l="1"/>
  <c r="E37" i="15" s="1"/>
  <c r="E35" i="16"/>
  <c r="B34" i="15"/>
  <c r="C34" i="14"/>
  <c r="B33" i="14"/>
  <c r="E38" i="14"/>
  <c r="E35" i="1"/>
  <c r="E34" i="13"/>
  <c r="E35" i="13" s="1"/>
  <c r="E38" i="15" l="1"/>
  <c r="E36" i="16"/>
  <c r="C36" i="15"/>
  <c r="B35" i="15"/>
  <c r="E39" i="15"/>
  <c r="E40" i="15" s="1"/>
  <c r="E41" i="15" s="1"/>
  <c r="C35" i="14"/>
  <c r="B34" i="14"/>
  <c r="E39" i="14"/>
  <c r="E40" i="14" s="1"/>
  <c r="E41" i="14" s="1"/>
  <c r="E42" i="14" s="1"/>
  <c r="E43" i="14" s="1"/>
  <c r="E44" i="14" s="1"/>
  <c r="E45" i="14" s="1"/>
  <c r="E46" i="14" s="1"/>
  <c r="E36" i="1"/>
  <c r="E37" i="1" s="1"/>
  <c r="E36" i="13"/>
  <c r="E37" i="16" l="1"/>
  <c r="E42" i="15"/>
  <c r="E43" i="15" s="1"/>
  <c r="B36" i="15"/>
  <c r="C37" i="15"/>
  <c r="C36" i="14"/>
  <c r="B35" i="14"/>
  <c r="E47" i="14"/>
  <c r="E48" i="14" s="1"/>
  <c r="E49" i="14" s="1"/>
  <c r="E50" i="14" s="1"/>
  <c r="E38" i="1"/>
  <c r="E39" i="1" s="1"/>
  <c r="E40" i="1" s="1"/>
  <c r="E41" i="1" s="1"/>
  <c r="E42" i="1" s="1"/>
  <c r="E43" i="1" s="1"/>
  <c r="E44" i="1" s="1"/>
  <c r="E45" i="1" s="1"/>
  <c r="E46" i="1" s="1"/>
  <c r="E47" i="1" s="1"/>
  <c r="E37" i="13"/>
  <c r="E48" i="1" l="1"/>
  <c r="E49" i="1" s="1"/>
  <c r="E50" i="1" s="1"/>
  <c r="E51" i="1" s="1"/>
  <c r="E52" i="1" s="1"/>
  <c r="E53" i="1" s="1"/>
  <c r="E54" i="1" s="1"/>
  <c r="E55" i="1" s="1"/>
  <c r="E56" i="1" s="1"/>
  <c r="E57" i="1" s="1"/>
  <c r="E58" i="1" s="1"/>
  <c r="E59" i="1" s="1"/>
  <c r="E60" i="1" s="1"/>
  <c r="E51" i="14"/>
  <c r="E52" i="14" s="1"/>
  <c r="E53" i="14" s="1"/>
  <c r="E54" i="14" s="1"/>
  <c r="E55" i="14" s="1"/>
  <c r="E56" i="14" s="1"/>
  <c r="E57" i="14" s="1"/>
  <c r="E58" i="14"/>
  <c r="E59" i="14" s="1"/>
  <c r="F59" i="14" s="1"/>
  <c r="E44" i="15"/>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B37" i="15"/>
  <c r="C38" i="15"/>
  <c r="B36" i="14"/>
  <c r="C37" i="14"/>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60" i="14" l="1"/>
  <c r="E59" i="13"/>
  <c r="E45" i="15"/>
  <c r="E46" i="15" s="1"/>
  <c r="E47" i="15" s="1"/>
  <c r="E48" i="15" s="1"/>
  <c r="E49" i="15" s="1"/>
  <c r="E50" i="15" s="1"/>
  <c r="E51" i="15" s="1"/>
  <c r="E52" i="15" s="1"/>
  <c r="E53" i="15" s="1"/>
  <c r="E54" i="15" s="1"/>
  <c r="E55" i="15" s="1"/>
  <c r="E56" i="15" s="1"/>
  <c r="C39" i="15"/>
  <c r="B38" i="15"/>
  <c r="B37" i="14"/>
  <c r="C38" i="14"/>
  <c r="E57" i="15" l="1"/>
  <c r="E59" i="15" s="1"/>
  <c r="E60" i="15" s="1"/>
  <c r="E58" i="15"/>
  <c r="C40" i="15"/>
  <c r="B39" i="15"/>
  <c r="C39" i="14"/>
  <c r="B38" i="14"/>
  <c r="C41" i="15" l="1"/>
  <c r="B40" i="15"/>
  <c r="C40" i="14"/>
  <c r="B39" i="14"/>
  <c r="C42" i="15" l="1"/>
  <c r="B41" i="15"/>
  <c r="C41" i="14"/>
  <c r="B40" i="14"/>
  <c r="C43" i="15" l="1"/>
  <c r="B42" i="15"/>
  <c r="C42" i="14"/>
  <c r="B41" i="14"/>
  <c r="C44" i="15" l="1"/>
  <c r="B43" i="15"/>
  <c r="C43" i="14"/>
  <c r="B42" i="14"/>
  <c r="B44" i="15" l="1"/>
  <c r="C45" i="15"/>
  <c r="C44" i="14"/>
  <c r="B43" i="14"/>
  <c r="B45" i="15" l="1"/>
  <c r="C46" i="15"/>
  <c r="C45" i="14"/>
  <c r="B44" i="14"/>
  <c r="C47" i="15" l="1"/>
  <c r="B46" i="15"/>
  <c r="C46" i="14"/>
  <c r="B45" i="14"/>
  <c r="C48" i="15" l="1"/>
  <c r="B47" i="15"/>
  <c r="B46" i="14"/>
  <c r="C47" i="14"/>
  <c r="C49" i="15" l="1"/>
  <c r="B48" i="15"/>
  <c r="B47" i="14"/>
  <c r="C48" i="14"/>
  <c r="C50" i="15" l="1"/>
  <c r="B49" i="15"/>
  <c r="B48" i="14"/>
  <c r="C49" i="14"/>
  <c r="C51" i="15" l="1"/>
  <c r="B50" i="15"/>
  <c r="C50" i="14"/>
  <c r="B49" i="14"/>
  <c r="C52" i="15" l="1"/>
  <c r="B51" i="15"/>
  <c r="C51" i="14"/>
  <c r="B50" i="14"/>
  <c r="B52" i="15" l="1"/>
  <c r="C53" i="15"/>
  <c r="C52" i="14"/>
  <c r="B51" i="14"/>
  <c r="B53" i="15" l="1"/>
  <c r="C54" i="15"/>
  <c r="C53" i="14"/>
  <c r="B52" i="14"/>
  <c r="C55" i="15" l="1"/>
  <c r="B54" i="15"/>
  <c r="C54" i="14"/>
  <c r="B53" i="14"/>
  <c r="C56" i="15" l="1"/>
  <c r="B58" i="15" s="1"/>
  <c r="B55" i="15"/>
  <c r="C55" i="14"/>
  <c r="B54" i="14"/>
  <c r="C57" i="15" l="1"/>
  <c r="B56" i="15"/>
  <c r="C56" i="14"/>
  <c r="C57" i="14" s="1"/>
  <c r="B57" i="14" s="1"/>
  <c r="B55" i="14"/>
  <c r="B59" i="15" l="1"/>
  <c r="B57" i="15"/>
  <c r="B56" i="14"/>
  <c r="Q29" i="1"/>
  <c r="C58" i="14" l="1"/>
  <c r="B58" i="14" s="1"/>
  <c r="E29" i="12"/>
  <c r="E30" i="12" l="1"/>
  <c r="C8" i="13"/>
  <c r="E31" i="12" l="1"/>
  <c r="I8" i="13"/>
  <c r="F7" i="13"/>
  <c r="I7" i="13"/>
  <c r="F6" i="13"/>
  <c r="F23" i="13"/>
  <c r="F22" i="13"/>
  <c r="M29" i="13" s="1"/>
  <c r="L29" i="13" s="1"/>
  <c r="F18" i="13"/>
  <c r="F18" i="1"/>
  <c r="S57" i="12"/>
  <c r="R57" i="12"/>
  <c r="J57" i="12"/>
  <c r="F8" i="13" l="1"/>
  <c r="E32" i="12"/>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E34" i="12"/>
  <c r="E35" i="12" s="1"/>
  <c r="E36" i="12" s="1"/>
  <c r="E37" i="12" s="1"/>
  <c r="H30" i="1"/>
  <c r="F31" i="1" s="1"/>
  <c r="C16" i="12"/>
  <c r="C29" i="12" l="1"/>
  <c r="C10" i="16"/>
  <c r="C32" i="1"/>
  <c r="B31" i="1"/>
  <c r="C16" i="13"/>
  <c r="G30" i="1"/>
  <c r="T30" i="1"/>
  <c r="E38" i="12"/>
  <c r="E39" i="12" s="1"/>
  <c r="E40" i="12" s="1"/>
  <c r="B29" i="12"/>
  <c r="C30" i="12"/>
  <c r="B30" i="12" s="1"/>
  <c r="F18" i="12"/>
  <c r="C17" i="12"/>
  <c r="C11" i="16" l="1"/>
  <c r="C16" i="16"/>
  <c r="N30" i="1"/>
  <c r="P30" i="1" s="1"/>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C29" i="16" l="1"/>
  <c r="C17" i="16"/>
  <c r="B33" i="1"/>
  <c r="C34" i="1"/>
  <c r="U30" i="1"/>
  <c r="O30" i="1"/>
  <c r="F3" i="13"/>
  <c r="F17" i="13"/>
  <c r="C30" i="13"/>
  <c r="B29" i="13"/>
  <c r="B32" i="12"/>
  <c r="C33" i="12"/>
  <c r="F17" i="1"/>
  <c r="C19" i="16" l="1"/>
  <c r="F3" i="16"/>
  <c r="F17" i="16"/>
  <c r="C30" i="16"/>
  <c r="B29" i="16"/>
  <c r="B34" i="1"/>
  <c r="C35" i="1"/>
  <c r="B30" i="13"/>
  <c r="C31" i="13"/>
  <c r="B33" i="12"/>
  <c r="C34" i="12"/>
  <c r="C31" i="16" l="1"/>
  <c r="B30" i="16"/>
  <c r="B35" i="1"/>
  <c r="C36" i="1"/>
  <c r="C32" i="13"/>
  <c r="B31" i="13"/>
  <c r="B34" i="12"/>
  <c r="C35" i="12"/>
  <c r="B31" i="16" l="1"/>
  <c r="C32" i="16"/>
  <c r="C37" i="1"/>
  <c r="B36" i="1"/>
  <c r="B32" i="13"/>
  <c r="C33" i="13"/>
  <c r="B35" i="12"/>
  <c r="C36" i="12"/>
  <c r="B32" i="16" l="1"/>
  <c r="C33" i="16"/>
  <c r="C38" i="1"/>
  <c r="B37" i="1"/>
  <c r="C34" i="13"/>
  <c r="B33" i="13"/>
  <c r="C37" i="12"/>
  <c r="B36" i="12"/>
  <c r="C34" i="16" l="1"/>
  <c r="B33" i="16"/>
  <c r="C39" i="1"/>
  <c r="B38" i="1"/>
  <c r="B34" i="13"/>
  <c r="C35" i="13"/>
  <c r="B37" i="12"/>
  <c r="C38" i="12"/>
  <c r="B34" i="16" l="1"/>
  <c r="C35" i="16"/>
  <c r="B39" i="1"/>
  <c r="C40" i="1"/>
  <c r="C36" i="13"/>
  <c r="B35" i="13"/>
  <c r="C39" i="12"/>
  <c r="B38" i="12"/>
  <c r="B35" i="16" l="1"/>
  <c r="C36" i="16"/>
  <c r="C41" i="1"/>
  <c r="B40" i="1"/>
  <c r="C37" i="13"/>
  <c r="B36" i="13"/>
  <c r="B39" i="12"/>
  <c r="C40" i="12"/>
  <c r="B36" i="16" l="1"/>
  <c r="C37" i="16"/>
  <c r="B41" i="1"/>
  <c r="C42" i="1"/>
  <c r="B37" i="13"/>
  <c r="C38" i="13"/>
  <c r="B40" i="12"/>
  <c r="C41" i="12"/>
  <c r="C38" i="16" l="1"/>
  <c r="B37" i="16"/>
  <c r="C43" i="1"/>
  <c r="B42" i="1"/>
  <c r="B38" i="13"/>
  <c r="C39" i="13"/>
  <c r="C42" i="12"/>
  <c r="B41" i="12"/>
  <c r="C39" i="16" l="1"/>
  <c r="B38" i="16"/>
  <c r="C44" i="1"/>
  <c r="B43" i="1"/>
  <c r="C40" i="13"/>
  <c r="B39" i="13"/>
  <c r="C43" i="12"/>
  <c r="B42" i="12"/>
  <c r="B39" i="16" l="1"/>
  <c r="C40" i="16"/>
  <c r="B44" i="1"/>
  <c r="C45" i="1"/>
  <c r="B40" i="13"/>
  <c r="C41" i="13"/>
  <c r="B43" i="12"/>
  <c r="C44" i="12"/>
  <c r="B40" i="16" l="1"/>
  <c r="C41" i="16"/>
  <c r="C46" i="1"/>
  <c r="B45" i="1"/>
  <c r="C42" i="13"/>
  <c r="B41" i="13"/>
  <c r="B44" i="12"/>
  <c r="C45" i="12"/>
  <c r="B41" i="16" l="1"/>
  <c r="C42" i="16"/>
  <c r="C47" i="1"/>
  <c r="B46" i="1"/>
  <c r="B42" i="13"/>
  <c r="C43" i="13"/>
  <c r="B45" i="12"/>
  <c r="C46" i="12"/>
  <c r="C43" i="16" l="1"/>
  <c r="B42" i="16"/>
  <c r="B47" i="1"/>
  <c r="C48" i="1"/>
  <c r="C44" i="13"/>
  <c r="B43" i="13"/>
  <c r="B46" i="12"/>
  <c r="C47" i="12"/>
  <c r="B43" i="16" l="1"/>
  <c r="C44" i="16"/>
  <c r="C49" i="1"/>
  <c r="B48" i="1"/>
  <c r="C45" i="13"/>
  <c r="B44" i="13"/>
  <c r="B47" i="12"/>
  <c r="C48" i="12"/>
  <c r="C45" i="16" l="1"/>
  <c r="B44" i="16"/>
  <c r="C50" i="1"/>
  <c r="B49" i="1"/>
  <c r="B45" i="13"/>
  <c r="C46" i="13"/>
  <c r="B48" i="12"/>
  <c r="C49" i="12"/>
  <c r="B45" i="16" l="1"/>
  <c r="C46" i="16"/>
  <c r="B50" i="1"/>
  <c r="C51" i="1"/>
  <c r="C47" i="13"/>
  <c r="B46" i="13"/>
  <c r="B49" i="12"/>
  <c r="C50" i="12"/>
  <c r="C47" i="16" l="1"/>
  <c r="B46" i="16"/>
  <c r="C52" i="1"/>
  <c r="B51" i="1"/>
  <c r="B47" i="13"/>
  <c r="C48" i="13"/>
  <c r="B50" i="12"/>
  <c r="C51" i="12"/>
  <c r="C48" i="16" l="1"/>
  <c r="B47" i="16"/>
  <c r="C53" i="1"/>
  <c r="B52" i="1"/>
  <c r="B48" i="13"/>
  <c r="C49" i="13"/>
  <c r="C52" i="12"/>
  <c r="B51" i="12"/>
  <c r="B48" i="16" l="1"/>
  <c r="C49" i="16"/>
  <c r="B53" i="1"/>
  <c r="C54" i="1"/>
  <c r="B49" i="13"/>
  <c r="C50" i="13"/>
  <c r="C53" i="12"/>
  <c r="B52" i="12"/>
  <c r="B49" i="16" l="1"/>
  <c r="C50" i="16"/>
  <c r="C55" i="1"/>
  <c r="B54" i="1"/>
  <c r="C51" i="13"/>
  <c r="B50" i="13"/>
  <c r="B53" i="12"/>
  <c r="C54" i="12"/>
  <c r="C51" i="16" l="1"/>
  <c r="B50" i="16"/>
  <c r="B55" i="1"/>
  <c r="C56" i="1"/>
  <c r="C52" i="13"/>
  <c r="B51" i="13"/>
  <c r="C55" i="12"/>
  <c r="B54" i="12"/>
  <c r="B51" i="16" l="1"/>
  <c r="C52" i="16"/>
  <c r="B56" i="1"/>
  <c r="C57" i="1"/>
  <c r="B52" i="13"/>
  <c r="C53" i="13"/>
  <c r="B55" i="12"/>
  <c r="C56" i="12"/>
  <c r="C53" i="16" l="1"/>
  <c r="B52" i="16"/>
  <c r="B57" i="1"/>
  <c r="C58" i="1"/>
  <c r="B53" i="13"/>
  <c r="C54" i="13"/>
  <c r="B56" i="12"/>
  <c r="B53" i="16" l="1"/>
  <c r="C54" i="16"/>
  <c r="B58" i="1"/>
  <c r="C59" i="1"/>
  <c r="B59" i="1" s="1"/>
  <c r="B54" i="13"/>
  <c r="C55" i="13"/>
  <c r="B54" i="16" l="1"/>
  <c r="C55" i="16"/>
  <c r="C56" i="13"/>
  <c r="B55" i="13"/>
  <c r="C56" i="16" l="1"/>
  <c r="B55" i="16"/>
  <c r="C57" i="13"/>
  <c r="C58" i="13" s="1"/>
  <c r="B58" i="13" s="1"/>
  <c r="B56" i="13"/>
  <c r="C57" i="16" l="1"/>
  <c r="B56" i="16"/>
  <c r="B57" i="13"/>
  <c r="C58" i="16" l="1"/>
  <c r="B57" i="16"/>
  <c r="F7" i="1"/>
  <c r="B58" i="16" l="1"/>
  <c r="C59" i="16"/>
  <c r="B59" i="16" s="1"/>
  <c r="F6" i="1"/>
  <c r="I8" i="1" l="1"/>
  <c r="F8" i="1" s="1"/>
  <c r="H31" i="1" l="1"/>
  <c r="F32" i="1" s="1"/>
  <c r="G31" i="1" l="1"/>
  <c r="T31" i="1"/>
  <c r="N31" i="1" l="1"/>
  <c r="W31" i="1"/>
  <c r="V31" i="1"/>
  <c r="P31" i="1" l="1"/>
  <c r="O31" i="1" s="1"/>
  <c r="U31" i="1"/>
  <c r="H32" i="1" l="1"/>
  <c r="G32" i="1" l="1"/>
  <c r="F33" i="1"/>
  <c r="N32" i="1"/>
  <c r="T32" i="1"/>
  <c r="V32" i="1" s="1"/>
  <c r="P32" i="1" l="1"/>
  <c r="O32" i="1" s="1"/>
  <c r="W32" i="1"/>
  <c r="U32" i="1"/>
  <c r="H33" i="1" l="1"/>
  <c r="G33" i="1" l="1"/>
  <c r="N33" i="1" s="1"/>
  <c r="F34" i="1"/>
  <c r="T33" i="1"/>
  <c r="P33" i="1" l="1"/>
  <c r="O33" i="1" s="1"/>
  <c r="W33" i="1"/>
  <c r="V33" i="1"/>
  <c r="U33" i="1" l="1"/>
  <c r="H34" i="1" l="1"/>
  <c r="G34" i="1" l="1"/>
  <c r="N34" i="1" s="1"/>
  <c r="F35" i="1"/>
  <c r="T34" i="1"/>
  <c r="W34" i="1" s="1"/>
  <c r="P34" i="1"/>
  <c r="V34" i="1" l="1"/>
  <c r="U34" i="1" s="1"/>
  <c r="O34" i="1"/>
  <c r="H35" i="1" l="1"/>
  <c r="G35" i="1" l="1"/>
  <c r="N35" i="1" s="1"/>
  <c r="F36" i="1"/>
  <c r="T35" i="1"/>
  <c r="P35" i="1"/>
  <c r="W35" i="1"/>
  <c r="V35" i="1"/>
  <c r="U35" i="1" l="1"/>
  <c r="O35" i="1"/>
  <c r="H36" i="1" l="1"/>
  <c r="G36" i="1" l="1"/>
  <c r="N36" i="1" s="1"/>
  <c r="P36" i="1" s="1"/>
  <c r="F37" i="1"/>
  <c r="T36" i="1"/>
  <c r="W36" i="1" l="1"/>
  <c r="V36" i="1"/>
  <c r="O36" i="1"/>
  <c r="U36" i="1" l="1"/>
  <c r="H37" i="1" l="1"/>
  <c r="G37" i="1" l="1"/>
  <c r="N37" i="1" s="1"/>
  <c r="P37" i="1" s="1"/>
  <c r="F38" i="1"/>
  <c r="T37" i="1"/>
  <c r="W37" i="1" s="1"/>
  <c r="V37" i="1" l="1"/>
  <c r="U37" i="1" s="1"/>
  <c r="O37" i="1"/>
  <c r="H38" i="1" l="1"/>
  <c r="G38" i="1" l="1"/>
  <c r="N38" i="1" s="1"/>
  <c r="P38" i="1" s="1"/>
  <c r="F39" i="1"/>
  <c r="T38" i="1"/>
  <c r="O38" i="1" l="1"/>
  <c r="W38" i="1"/>
  <c r="V38" i="1"/>
  <c r="U38" i="1" l="1"/>
  <c r="H39" i="1" l="1"/>
  <c r="F40" i="1" s="1"/>
  <c r="G39" i="1" l="1"/>
  <c r="T39" i="1"/>
  <c r="W39" i="1" l="1"/>
  <c r="V39" i="1"/>
  <c r="N39" i="1"/>
  <c r="P39" i="1" l="1"/>
  <c r="U39" i="1"/>
  <c r="O39" i="1" l="1"/>
  <c r="H40" i="1"/>
  <c r="F41" i="1" s="1"/>
  <c r="G40" i="1" l="1"/>
  <c r="N40" i="1" s="1"/>
  <c r="T40" i="1"/>
  <c r="W40" i="1" l="1"/>
  <c r="V40" i="1"/>
  <c r="P40" i="1"/>
  <c r="O40" i="1" s="1"/>
  <c r="U40" i="1" l="1"/>
  <c r="H41" i="1" l="1"/>
  <c r="F42" i="1" s="1"/>
  <c r="G41" i="1" l="1"/>
  <c r="T41" i="1"/>
  <c r="W41" i="1" l="1"/>
  <c r="V41" i="1"/>
  <c r="N41" i="1"/>
  <c r="P41" i="1" l="1"/>
  <c r="U41" i="1"/>
  <c r="H42" i="1" l="1"/>
  <c r="O41" i="1"/>
  <c r="T42" i="1" l="1"/>
  <c r="W42" i="1" s="1"/>
  <c r="F43" i="1"/>
  <c r="G42" i="1"/>
  <c r="V42" i="1" l="1"/>
  <c r="U42" i="1" s="1"/>
  <c r="N42" i="1"/>
  <c r="P42" i="1" l="1"/>
  <c r="H43" i="1"/>
  <c r="T43" i="1" l="1"/>
  <c r="W43" i="1" s="1"/>
  <c r="F44" i="1"/>
  <c r="G43" i="1"/>
  <c r="O42" i="1"/>
  <c r="V43" i="1" l="1"/>
  <c r="U43" i="1" s="1"/>
  <c r="N43" i="1"/>
  <c r="H44" i="1" l="1"/>
  <c r="P43" i="1"/>
  <c r="O43" i="1" s="1"/>
  <c r="G44" i="1" l="1"/>
  <c r="N44" i="1" s="1"/>
  <c r="F45" i="1"/>
  <c r="T44" i="1"/>
  <c r="W44" i="1" l="1"/>
  <c r="V44" i="1"/>
  <c r="P44" i="1"/>
  <c r="U44" i="1" l="1"/>
  <c r="O44" i="1"/>
  <c r="H45" i="1" l="1"/>
  <c r="G45" i="1" l="1"/>
  <c r="N45" i="1" s="1"/>
  <c r="P45" i="1" s="1"/>
  <c r="F46" i="1"/>
  <c r="T45" i="1"/>
  <c r="O45" i="1" l="1"/>
  <c r="W45" i="1"/>
  <c r="V45" i="1"/>
  <c r="U45" i="1" l="1"/>
  <c r="H46" i="1" l="1"/>
  <c r="G46" i="1" l="1"/>
  <c r="N46" i="1" s="1"/>
  <c r="P46" i="1" s="1"/>
  <c r="F47" i="1"/>
  <c r="T46" i="1"/>
  <c r="W46" i="1" l="1"/>
  <c r="V46" i="1"/>
  <c r="O46" i="1"/>
  <c r="U46" i="1" l="1"/>
  <c r="H47" i="1" l="1"/>
  <c r="G47" i="1" l="1"/>
  <c r="N47" i="1" s="1"/>
  <c r="P47" i="1" s="1"/>
  <c r="O47" i="1" s="1"/>
  <c r="F48" i="1"/>
  <c r="T47" i="1"/>
  <c r="W47" i="1" l="1"/>
  <c r="V47" i="1"/>
  <c r="U47" i="1" l="1"/>
  <c r="H48" i="1" l="1"/>
  <c r="G48" i="1" l="1"/>
  <c r="N48" i="1" s="1"/>
  <c r="P48" i="1" s="1"/>
  <c r="F49" i="1"/>
  <c r="T48" i="1"/>
  <c r="W48" i="1" l="1"/>
  <c r="V48" i="1"/>
  <c r="O48" i="1"/>
  <c r="U48" i="1" l="1"/>
  <c r="H49" i="1" l="1"/>
  <c r="G49" i="1" l="1"/>
  <c r="N49" i="1" s="1"/>
  <c r="P49" i="1" s="1"/>
  <c r="F50" i="1"/>
  <c r="T49" i="1"/>
  <c r="W49" i="1" s="1"/>
  <c r="V49" i="1" l="1"/>
  <c r="U49" i="1" s="1"/>
  <c r="O49" i="1"/>
  <c r="H50" i="1" l="1"/>
  <c r="G50" i="1" l="1"/>
  <c r="N50" i="1" s="1"/>
  <c r="P50" i="1" s="1"/>
  <c r="F51" i="1"/>
  <c r="T50" i="1"/>
  <c r="W50" i="1" l="1"/>
  <c r="V50" i="1"/>
  <c r="O50" i="1"/>
  <c r="U50" i="1" l="1"/>
  <c r="H51" i="1" l="1"/>
  <c r="G51" i="1" l="1"/>
  <c r="N51" i="1" s="1"/>
  <c r="P51" i="1" s="1"/>
  <c r="F52" i="1"/>
  <c r="T51" i="1"/>
  <c r="W51" i="1" l="1"/>
  <c r="V51" i="1"/>
  <c r="O51" i="1"/>
  <c r="U51" i="1" l="1"/>
  <c r="H52" i="1" l="1"/>
  <c r="G52" i="1" l="1"/>
  <c r="N52" i="1" s="1"/>
  <c r="P52" i="1" s="1"/>
  <c r="O52" i="1" s="1"/>
  <c r="F53" i="1"/>
  <c r="T52" i="1"/>
  <c r="V52" i="1" s="1"/>
  <c r="K30" i="1" l="1"/>
  <c r="W52" i="1"/>
  <c r="U52" i="1"/>
  <c r="M30" i="1" l="1"/>
  <c r="L30" i="1" s="1"/>
  <c r="K31" i="1" s="1"/>
  <c r="Q30" i="1"/>
  <c r="H53" i="1"/>
  <c r="G53" i="1" l="1"/>
  <c r="N53" i="1" s="1"/>
  <c r="P53" i="1" s="1"/>
  <c r="O53" i="1" s="1"/>
  <c r="F54" i="1"/>
  <c r="M31" i="1"/>
  <c r="L31" i="1" s="1"/>
  <c r="K32" i="1" s="1"/>
  <c r="Q31" i="1"/>
  <c r="T53" i="1"/>
  <c r="M32" i="1" l="1"/>
  <c r="L32" i="1" s="1"/>
  <c r="K33" i="1" s="1"/>
  <c r="Q32" i="1"/>
  <c r="W53" i="1"/>
  <c r="V53" i="1"/>
  <c r="M33" i="1" l="1"/>
  <c r="L33" i="1" s="1"/>
  <c r="K34" i="1" s="1"/>
  <c r="Q33" i="1"/>
  <c r="U53" i="1"/>
  <c r="M34" i="1" l="1"/>
  <c r="L34" i="1" s="1"/>
  <c r="K35" i="1" s="1"/>
  <c r="Q34" i="1"/>
  <c r="H54" i="1"/>
  <c r="G54" i="1" l="1"/>
  <c r="N54" i="1" s="1"/>
  <c r="P54" i="1" s="1"/>
  <c r="F55" i="1"/>
  <c r="M35" i="1"/>
  <c r="L35" i="1" s="1"/>
  <c r="K36" i="1" s="1"/>
  <c r="Q35" i="1"/>
  <c r="T54" i="1"/>
  <c r="M36" i="1" l="1"/>
  <c r="L36" i="1" s="1"/>
  <c r="K37" i="1" s="1"/>
  <c r="Q36" i="1"/>
  <c r="W54" i="1"/>
  <c r="V54" i="1"/>
  <c r="O54" i="1"/>
  <c r="M37" i="1" l="1"/>
  <c r="L37" i="1" s="1"/>
  <c r="K38" i="1" s="1"/>
  <c r="Q37" i="1"/>
  <c r="U54" i="1"/>
  <c r="M38" i="1" l="1"/>
  <c r="L38" i="1" s="1"/>
  <c r="K39" i="1" s="1"/>
  <c r="Q38" i="1"/>
  <c r="H55" i="1"/>
  <c r="M39" i="1" l="1"/>
  <c r="L39" i="1" s="1"/>
  <c r="K40" i="1" s="1"/>
  <c r="Q39" i="1"/>
  <c r="G55" i="1"/>
  <c r="N55" i="1" s="1"/>
  <c r="P55" i="1" s="1"/>
  <c r="F56" i="1"/>
  <c r="T55" i="1"/>
  <c r="M40" i="1" l="1"/>
  <c r="L40" i="1" s="1"/>
  <c r="K41" i="1" s="1"/>
  <c r="Q40" i="1"/>
  <c r="W55" i="1"/>
  <c r="V55" i="1"/>
  <c r="O55" i="1"/>
  <c r="M41" i="1" l="1"/>
  <c r="L41" i="1" s="1"/>
  <c r="K42" i="1" s="1"/>
  <c r="Q41" i="1"/>
  <c r="U55" i="1"/>
  <c r="M42" i="1" l="1"/>
  <c r="L42" i="1" s="1"/>
  <c r="K43" i="1" s="1"/>
  <c r="Q42" i="1"/>
  <c r="H56" i="1"/>
  <c r="F57" i="1" s="1"/>
  <c r="M43" i="1" l="1"/>
  <c r="L43" i="1" s="1"/>
  <c r="K44" i="1" s="1"/>
  <c r="Q43" i="1"/>
  <c r="G56" i="1"/>
  <c r="T56" i="1"/>
  <c r="M44" i="1" l="1"/>
  <c r="L44" i="1" s="1"/>
  <c r="K45" i="1" s="1"/>
  <c r="Q44" i="1"/>
  <c r="W56" i="1"/>
  <c r="V56" i="1"/>
  <c r="U56" i="1" s="1"/>
  <c r="N56" i="1"/>
  <c r="M45" i="1" l="1"/>
  <c r="L45" i="1" s="1"/>
  <c r="K46" i="1" s="1"/>
  <c r="Q45" i="1"/>
  <c r="H57" i="1"/>
  <c r="P56" i="1"/>
  <c r="G57" i="1" l="1"/>
  <c r="F58" i="1"/>
  <c r="M46" i="1"/>
  <c r="L46" i="1" s="1"/>
  <c r="K47" i="1" s="1"/>
  <c r="Q46" i="1"/>
  <c r="T57" i="1"/>
  <c r="W57" i="1" s="1"/>
  <c r="O56" i="1"/>
  <c r="V57" i="1" l="1"/>
  <c r="N57" i="1"/>
  <c r="P57" i="1" s="1"/>
  <c r="M47" i="1"/>
  <c r="L47" i="1" s="1"/>
  <c r="K48" i="1" s="1"/>
  <c r="Q47" i="1"/>
  <c r="U57" i="1"/>
  <c r="M48" i="1" l="1"/>
  <c r="L48" i="1" s="1"/>
  <c r="K49" i="1" s="1"/>
  <c r="Q48" i="1"/>
  <c r="O57" i="1"/>
  <c r="H58" i="1"/>
  <c r="G58" i="1" l="1"/>
  <c r="N58" i="1" s="1"/>
  <c r="F59" i="1"/>
  <c r="F60" i="1" s="1"/>
  <c r="M49" i="1"/>
  <c r="L49" i="1" s="1"/>
  <c r="K50" i="1" s="1"/>
  <c r="Q49" i="1"/>
  <c r="T58" i="1"/>
  <c r="W58" i="1" s="1"/>
  <c r="M50" i="1" l="1"/>
  <c r="L50" i="1" s="1"/>
  <c r="K51" i="1" s="1"/>
  <c r="Q50" i="1"/>
  <c r="V58" i="1"/>
  <c r="P58" i="1"/>
  <c r="U58" i="1"/>
  <c r="M51" i="1" l="1"/>
  <c r="L51" i="1" s="1"/>
  <c r="K52" i="1" s="1"/>
  <c r="Q51" i="1"/>
  <c r="O58" i="1"/>
  <c r="H59" i="1"/>
  <c r="M52" i="1" l="1"/>
  <c r="L52" i="1" s="1"/>
  <c r="K53" i="1" s="1"/>
  <c r="Q52" i="1"/>
  <c r="G59" i="1"/>
  <c r="H60" i="1"/>
  <c r="I12" i="1" s="1"/>
  <c r="T59" i="1"/>
  <c r="T60" i="1" s="1"/>
  <c r="T61" i="1" s="1"/>
  <c r="T62" i="1" s="1"/>
  <c r="I16" i="1" s="1"/>
  <c r="M53" i="1" l="1"/>
  <c r="L53" i="1" s="1"/>
  <c r="K54" i="1" s="1"/>
  <c r="Q53" i="1"/>
  <c r="I20" i="12"/>
  <c r="W59" i="1"/>
  <c r="V59" i="1"/>
  <c r="U59" i="1" s="1"/>
  <c r="U60" i="1" s="1"/>
  <c r="N59" i="1"/>
  <c r="G60" i="1"/>
  <c r="I11" i="1" s="1"/>
  <c r="M54" i="1" l="1"/>
  <c r="L54" i="1" s="1"/>
  <c r="K55" i="1" s="1"/>
  <c r="Q54" i="1"/>
  <c r="F5" i="1"/>
  <c r="N60" i="1"/>
  <c r="N61" i="1" s="1"/>
  <c r="N62" i="1" s="1"/>
  <c r="P59" i="1"/>
  <c r="O59" i="1" s="1"/>
  <c r="O60" i="1" s="1"/>
  <c r="M55" i="1" l="1"/>
  <c r="L55" i="1" s="1"/>
  <c r="K56" i="1" s="1"/>
  <c r="Q55" i="1"/>
  <c r="M56" i="1" l="1"/>
  <c r="L56" i="1" s="1"/>
  <c r="K57" i="1" s="1"/>
  <c r="Q56" i="1"/>
  <c r="M57" i="1" l="1"/>
  <c r="L57" i="1" s="1"/>
  <c r="K58" i="1" s="1"/>
  <c r="Q57" i="1"/>
  <c r="M58" i="1" l="1"/>
  <c r="L58" i="1" s="1"/>
  <c r="K59" i="1" s="1"/>
  <c r="Q58" i="1"/>
  <c r="M59" i="1" l="1"/>
  <c r="K60" i="1"/>
  <c r="K61" i="1" s="1"/>
  <c r="Q59" i="1"/>
  <c r="K62" i="1" l="1"/>
  <c r="I15" i="1" s="1"/>
  <c r="L59" i="1"/>
  <c r="L60" i="1" s="1"/>
  <c r="F9" i="1" l="1"/>
  <c r="I19" i="12"/>
  <c r="F16" i="1" l="1"/>
  <c r="F11" i="1"/>
  <c r="I21" i="12"/>
  <c r="F29" i="12"/>
  <c r="H29" i="12" l="1"/>
  <c r="T29" i="12" s="1"/>
  <c r="F4" i="12"/>
  <c r="F14" i="1"/>
  <c r="V29" i="12" l="1"/>
  <c r="W29" i="12"/>
  <c r="F30" i="12"/>
  <c r="G29" i="12"/>
  <c r="N29" i="12" s="1"/>
  <c r="P29" i="12" s="1"/>
  <c r="O29" i="12" s="1"/>
  <c r="U29" i="12" l="1"/>
  <c r="H30" i="12" s="1"/>
  <c r="T30" i="12" s="1"/>
  <c r="V30" i="12" s="1"/>
  <c r="U30" i="12" l="1"/>
  <c r="W30" i="12"/>
  <c r="F31" i="12"/>
  <c r="G30" i="12"/>
  <c r="N30" i="12" s="1"/>
  <c r="P30" i="12" s="1"/>
  <c r="O30" i="12" s="1"/>
  <c r="H31" i="12" l="1"/>
  <c r="T31" i="12" s="1"/>
  <c r="W31" i="12" l="1"/>
  <c r="V31" i="12"/>
  <c r="F32" i="12"/>
  <c r="G31" i="12"/>
  <c r="N31" i="12" s="1"/>
  <c r="P31" i="12" s="1"/>
  <c r="O31" i="12" s="1"/>
  <c r="U31" i="12" l="1"/>
  <c r="H32" i="12" l="1"/>
  <c r="T32" i="12" s="1"/>
  <c r="W32" i="12" l="1"/>
  <c r="V32" i="12"/>
  <c r="G32" i="12"/>
  <c r="N32" i="12" s="1"/>
  <c r="P32" i="12" s="1"/>
  <c r="O32" i="12" s="1"/>
  <c r="F33" i="12"/>
  <c r="U32" i="12" l="1"/>
  <c r="H33" i="12" l="1"/>
  <c r="T33" i="12" s="1"/>
  <c r="W33" i="12" l="1"/>
  <c r="V33" i="12"/>
  <c r="G33" i="12"/>
  <c r="N33" i="12" s="1"/>
  <c r="P33" i="12" s="1"/>
  <c r="O33" i="12" s="1"/>
  <c r="F34" i="12"/>
  <c r="U33" i="12" l="1"/>
  <c r="H34" i="12" l="1"/>
  <c r="T34" i="12" s="1"/>
  <c r="W34" i="12" l="1"/>
  <c r="V34" i="12"/>
  <c r="G34" i="12"/>
  <c r="N34" i="12" s="1"/>
  <c r="P34" i="12" s="1"/>
  <c r="O34" i="12" s="1"/>
  <c r="F35" i="12"/>
  <c r="U34" i="12" l="1"/>
  <c r="H35" i="12" l="1"/>
  <c r="T35" i="12" s="1"/>
  <c r="F36" i="12" l="1"/>
  <c r="G35" i="12"/>
  <c r="N35" i="12" s="1"/>
  <c r="P35" i="12" s="1"/>
  <c r="O35" i="12" s="1"/>
  <c r="W35" i="12"/>
  <c r="V35" i="12"/>
  <c r="U35" i="12" l="1"/>
  <c r="H36" i="12" l="1"/>
  <c r="F37" i="12" l="1"/>
  <c r="G36" i="12"/>
  <c r="N36" i="12" s="1"/>
  <c r="P36" i="12" s="1"/>
  <c r="O36" i="12" s="1"/>
  <c r="T36" i="12"/>
  <c r="W36" i="12" l="1"/>
  <c r="V36" i="12"/>
  <c r="U36" i="12" l="1"/>
  <c r="H37" i="12" l="1"/>
  <c r="G37" i="12" l="1"/>
  <c r="N37" i="12" s="1"/>
  <c r="P37" i="12" s="1"/>
  <c r="O37" i="12" s="1"/>
  <c r="F38" i="12"/>
  <c r="T37" i="12"/>
  <c r="W37" i="12" l="1"/>
  <c r="V37" i="12"/>
  <c r="U37" i="12" l="1"/>
  <c r="H38" i="12" l="1"/>
  <c r="T38" i="12" s="1"/>
  <c r="W38" i="12" l="1"/>
  <c r="V38" i="12"/>
  <c r="F39" i="12"/>
  <c r="G38" i="12"/>
  <c r="N38" i="12" s="1"/>
  <c r="P38" i="12" s="1"/>
  <c r="O38" i="12" l="1"/>
  <c r="U38" i="12"/>
  <c r="H39" i="12" l="1"/>
  <c r="G39" i="12" l="1"/>
  <c r="N39" i="12" s="1"/>
  <c r="P39" i="12" s="1"/>
  <c r="F40" i="12"/>
  <c r="T39" i="12"/>
  <c r="O39" i="12" l="1"/>
  <c r="W39" i="12"/>
  <c r="V39" i="12"/>
  <c r="U39" i="12" l="1"/>
  <c r="H40" i="12" l="1"/>
  <c r="G40" i="12" l="1"/>
  <c r="N40" i="12" s="1"/>
  <c r="P40" i="12" s="1"/>
  <c r="F41" i="12"/>
  <c r="T40" i="12"/>
  <c r="O40" i="12" l="1"/>
  <c r="W40" i="12"/>
  <c r="V40" i="12"/>
  <c r="U40" i="12" l="1"/>
  <c r="H41" i="12" l="1"/>
  <c r="T41" i="12" s="1"/>
  <c r="F42" i="12" l="1"/>
  <c r="G41" i="12"/>
  <c r="N41" i="12" s="1"/>
  <c r="P41" i="12" s="1"/>
  <c r="W41" i="12"/>
  <c r="V41" i="12"/>
  <c r="O41" i="12" l="1"/>
  <c r="U41" i="12"/>
  <c r="H42" i="12" l="1"/>
  <c r="T42" i="12" s="1"/>
  <c r="W42" i="12" l="1"/>
  <c r="V42" i="12"/>
  <c r="G42" i="12"/>
  <c r="N42" i="12" s="1"/>
  <c r="P42" i="12" s="1"/>
  <c r="F43" i="12"/>
  <c r="O42" i="12" l="1"/>
  <c r="U42" i="12"/>
  <c r="H43" i="12" l="1"/>
  <c r="T43" i="12" s="1"/>
  <c r="W43" i="12" l="1"/>
  <c r="V43" i="12"/>
  <c r="G43" i="12"/>
  <c r="N43" i="12" s="1"/>
  <c r="P43" i="12" s="1"/>
  <c r="O43" i="12" s="1"/>
  <c r="F44" i="12"/>
  <c r="U43" i="12" l="1"/>
  <c r="H44" i="12" s="1"/>
  <c r="T44" i="12" s="1"/>
  <c r="W44" i="12" s="1"/>
  <c r="F45" i="12" l="1"/>
  <c r="G44" i="12"/>
  <c r="N44" i="12" s="1"/>
  <c r="P44" i="12" s="1"/>
  <c r="O44" i="12" s="1"/>
  <c r="V44" i="12"/>
  <c r="U44" i="12" s="1"/>
  <c r="H45" i="12" l="1"/>
  <c r="T45" i="12" s="1"/>
  <c r="W45" i="12" s="1"/>
  <c r="F46" i="12" l="1"/>
  <c r="G45" i="12"/>
  <c r="N45" i="12" s="1"/>
  <c r="P45" i="12" s="1"/>
  <c r="O45" i="12" s="1"/>
  <c r="V45" i="12"/>
  <c r="U45" i="12" s="1"/>
  <c r="H46" i="12" l="1"/>
  <c r="G46" i="12" s="1"/>
  <c r="N46" i="12" s="1"/>
  <c r="P46" i="12" s="1"/>
  <c r="O46" i="12" s="1"/>
  <c r="F47" i="12" l="1"/>
  <c r="T46" i="12"/>
  <c r="W46" i="12" s="1"/>
  <c r="V46" i="12" l="1"/>
  <c r="U46" i="12" s="1"/>
  <c r="H47" i="12" s="1"/>
  <c r="T47" i="12" s="1"/>
  <c r="W47" i="12" s="1"/>
  <c r="G47" i="12" l="1"/>
  <c r="N47" i="12" s="1"/>
  <c r="P47" i="12" s="1"/>
  <c r="O47" i="12" s="1"/>
  <c r="F48" i="12"/>
  <c r="V47" i="12"/>
  <c r="U47" i="12" s="1"/>
  <c r="H48" i="12"/>
  <c r="T48" i="12" s="1"/>
  <c r="F49" i="12" l="1"/>
  <c r="G48" i="12"/>
  <c r="N48" i="12" s="1"/>
  <c r="P48" i="12" s="1"/>
  <c r="O48" i="12" s="1"/>
  <c r="W48" i="12"/>
  <c r="V48" i="12"/>
  <c r="U48" i="12" s="1"/>
  <c r="H49" i="12" l="1"/>
  <c r="T49" i="12" s="1"/>
  <c r="F50" i="12"/>
  <c r="G49" i="12" l="1"/>
  <c r="N49" i="12" s="1"/>
  <c r="P49" i="12" s="1"/>
  <c r="O49" i="12" s="1"/>
  <c r="V49" i="12"/>
  <c r="W49" i="12"/>
  <c r="U49" i="12" l="1"/>
  <c r="H50" i="12" s="1"/>
  <c r="T50" i="12" l="1"/>
  <c r="G50" i="12"/>
  <c r="N50" i="12" s="1"/>
  <c r="P50" i="12" s="1"/>
  <c r="F51" i="12"/>
  <c r="O50" i="12" l="1"/>
  <c r="W50" i="12"/>
  <c r="V50" i="12"/>
  <c r="U50" i="12" l="1"/>
  <c r="H51" i="12" s="1"/>
  <c r="T51" i="12" l="1"/>
  <c r="F52" i="12"/>
  <c r="G51" i="12"/>
  <c r="N51" i="12" s="1"/>
  <c r="P51" i="12" s="1"/>
  <c r="O51" i="12" l="1"/>
  <c r="W51" i="12"/>
  <c r="V51" i="12"/>
  <c r="U51" i="12" l="1"/>
  <c r="H52" i="12" s="1"/>
  <c r="T52" i="12" l="1"/>
  <c r="G52" i="12"/>
  <c r="N52" i="12" s="1"/>
  <c r="P52" i="12" s="1"/>
  <c r="F53" i="12"/>
  <c r="Q29" i="12"/>
  <c r="M29" i="12"/>
  <c r="L29" i="12" s="1"/>
  <c r="K30" i="12" l="1"/>
  <c r="M30" i="12" s="1"/>
  <c r="L30" i="12" s="1"/>
  <c r="K31" i="12" s="1"/>
  <c r="O52" i="12"/>
  <c r="W52" i="12"/>
  <c r="V52" i="12"/>
  <c r="Q30" i="12" l="1"/>
  <c r="U52" i="12"/>
  <c r="H53" i="12" s="1"/>
  <c r="M31" i="12"/>
  <c r="L31" i="12" s="1"/>
  <c r="K32" i="12" s="1"/>
  <c r="Q31" i="12"/>
  <c r="T53" i="12" l="1"/>
  <c r="G53" i="12"/>
  <c r="N53" i="12" s="1"/>
  <c r="P53" i="12" s="1"/>
  <c r="F54" i="12"/>
  <c r="M32" i="12"/>
  <c r="L32" i="12" s="1"/>
  <c r="K33" i="12" s="1"/>
  <c r="Q32" i="12"/>
  <c r="O53" i="12" l="1"/>
  <c r="W53" i="12"/>
  <c r="V53" i="12"/>
  <c r="M33" i="12"/>
  <c r="L33" i="12" s="1"/>
  <c r="K34" i="12" s="1"/>
  <c r="Q33" i="12"/>
  <c r="U53" i="12" l="1"/>
  <c r="H54" i="12" s="1"/>
  <c r="M34" i="12"/>
  <c r="L34" i="12" s="1"/>
  <c r="K35" i="12" s="1"/>
  <c r="Q34" i="12"/>
  <c r="T54" i="12" l="1"/>
  <c r="F55" i="12"/>
  <c r="G54" i="12"/>
  <c r="N54" i="12" s="1"/>
  <c r="P54" i="12" s="1"/>
  <c r="O54" i="12" s="1"/>
  <c r="M35" i="12"/>
  <c r="L35" i="12" s="1"/>
  <c r="K36" i="12" s="1"/>
  <c r="Q35" i="12"/>
  <c r="W54" i="12" l="1"/>
  <c r="V54" i="12"/>
  <c r="U54" i="12" s="1"/>
  <c r="H55" i="12" s="1"/>
  <c r="Q36" i="12"/>
  <c r="M36" i="12"/>
  <c r="L36" i="12" s="1"/>
  <c r="K37" i="12" s="1"/>
  <c r="G55" i="12" l="1"/>
  <c r="N55" i="12" s="1"/>
  <c r="P55" i="12" s="1"/>
  <c r="F56" i="12"/>
  <c r="T55" i="12"/>
  <c r="Q37" i="12"/>
  <c r="M37" i="12"/>
  <c r="L37" i="12" s="1"/>
  <c r="K38" i="12" s="1"/>
  <c r="V55" i="12" l="1"/>
  <c r="W55" i="12"/>
  <c r="O55" i="12"/>
  <c r="M38" i="12"/>
  <c r="L38" i="12" s="1"/>
  <c r="K39" i="12" s="1"/>
  <c r="Q38" i="12"/>
  <c r="U55" i="12" l="1"/>
  <c r="F57" i="12"/>
  <c r="M39" i="12"/>
  <c r="L39" i="12" s="1"/>
  <c r="K40" i="12" s="1"/>
  <c r="Q39" i="12"/>
  <c r="H56" i="12" l="1"/>
  <c r="G56" i="12" s="1"/>
  <c r="N56" i="12" s="1"/>
  <c r="P56" i="12" s="1"/>
  <c r="O56" i="12" s="1"/>
  <c r="M40" i="12"/>
  <c r="Q40" i="12"/>
  <c r="T56" i="12" l="1"/>
  <c r="W56" i="12" s="1"/>
  <c r="H57" i="12"/>
  <c r="I12" i="12" s="1"/>
  <c r="G57" i="12"/>
  <c r="I11" i="12" s="1"/>
  <c r="L40" i="12"/>
  <c r="K41" i="12" s="1"/>
  <c r="Q41" i="12" s="1"/>
  <c r="T57" i="12" l="1"/>
  <c r="T58" i="12" s="1"/>
  <c r="T59" i="12" s="1"/>
  <c r="I16" i="12" s="1"/>
  <c r="I20" i="16" s="1"/>
  <c r="V56" i="12"/>
  <c r="U56" i="12" s="1"/>
  <c r="U57" i="12" s="1"/>
  <c r="M41" i="12"/>
  <c r="L41" i="12" s="1"/>
  <c r="K42" i="12" s="1"/>
  <c r="F5" i="12"/>
  <c r="F16" i="12" l="1"/>
  <c r="M42" i="12"/>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4" i="15"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F29" i="15" l="1"/>
  <c r="I21" i="15"/>
  <c r="H29" i="15" l="1"/>
  <c r="T29" i="15" s="1"/>
  <c r="W29" i="15" s="1"/>
  <c r="F30" i="15"/>
  <c r="V29" i="15" l="1"/>
  <c r="U29" i="15" s="1"/>
  <c r="G29" i="15"/>
  <c r="N29" i="15" s="1"/>
  <c r="P29" i="15" s="1"/>
  <c r="O29" i="15" s="1"/>
  <c r="F31" i="15"/>
  <c r="F32" i="15" l="1"/>
  <c r="H30" i="15"/>
  <c r="T30" i="15" s="1"/>
  <c r="F33" i="15" l="1"/>
  <c r="F34" i="15" s="1"/>
  <c r="F35" i="15" s="1"/>
  <c r="W30" i="15"/>
  <c r="V30" i="15"/>
  <c r="G30" i="15"/>
  <c r="F36" i="15" l="1"/>
  <c r="F37" i="15" s="1"/>
  <c r="U30" i="15"/>
  <c r="N30" i="15"/>
  <c r="F38" i="15" l="1"/>
  <c r="P30" i="15"/>
  <c r="H31" i="15"/>
  <c r="F39" i="15" l="1"/>
  <c r="G31" i="15"/>
  <c r="T31" i="15"/>
  <c r="O30" i="15"/>
  <c r="F40" i="15" l="1"/>
  <c r="F41" i="15" s="1"/>
  <c r="F42" i="15" s="1"/>
  <c r="F43" i="15" s="1"/>
  <c r="F44" i="15" s="1"/>
  <c r="F45" i="15" s="1"/>
  <c r="F46" i="15" s="1"/>
  <c r="F47" i="15" s="1"/>
  <c r="F48" i="15" s="1"/>
  <c r="F49" i="15" s="1"/>
  <c r="F50" i="15" s="1"/>
  <c r="F51" i="15" s="1"/>
  <c r="F52" i="15" s="1"/>
  <c r="F53" i="15" s="1"/>
  <c r="N31" i="15"/>
  <c r="W31" i="15"/>
  <c r="V31" i="15"/>
  <c r="F54" i="15" l="1"/>
  <c r="F55" i="15" s="1"/>
  <c r="F56" i="15" s="1"/>
  <c r="K29" i="15"/>
  <c r="U31" i="15"/>
  <c r="P31" i="15"/>
  <c r="F58" i="15" l="1"/>
  <c r="F57" i="15"/>
  <c r="F59" i="15" s="1"/>
  <c r="M29" i="15"/>
  <c r="L29" i="15" s="1"/>
  <c r="K30" i="15" s="1"/>
  <c r="Q29" i="15"/>
  <c r="O31" i="15"/>
  <c r="H32" i="15"/>
  <c r="T32" i="15" s="1"/>
  <c r="F60" i="15" l="1"/>
  <c r="M30" i="15"/>
  <c r="L30" i="15" s="1"/>
  <c r="K31" i="15" s="1"/>
  <c r="Q30" i="15"/>
  <c r="W32" i="15"/>
  <c r="V32" i="15"/>
  <c r="G32" i="15"/>
  <c r="M31" i="15" l="1"/>
  <c r="L31" i="15" s="1"/>
  <c r="K32" i="15" s="1"/>
  <c r="Q31" i="15"/>
  <c r="N32" i="15"/>
  <c r="U32" i="15"/>
  <c r="M32" i="15" l="1"/>
  <c r="L32" i="15" s="1"/>
  <c r="K33" i="15" s="1"/>
  <c r="Q32" i="15"/>
  <c r="P32" i="15"/>
  <c r="H33" i="15"/>
  <c r="G33" i="15" s="1"/>
  <c r="M33" i="15" l="1"/>
  <c r="L33" i="15" s="1"/>
  <c r="K34" i="15" s="1"/>
  <c r="T33" i="15"/>
  <c r="O32" i="15"/>
  <c r="M34" i="15" l="1"/>
  <c r="L34" i="15" s="1"/>
  <c r="K35" i="15" s="1"/>
  <c r="N33" i="15"/>
  <c r="W33" i="15"/>
  <c r="V33" i="15"/>
  <c r="M35" i="15" l="1"/>
  <c r="L35" i="15" s="1"/>
  <c r="K36" i="15" s="1"/>
  <c r="U33" i="15"/>
  <c r="Q33" i="15"/>
  <c r="P33" i="15"/>
  <c r="M36" i="15" l="1"/>
  <c r="L36" i="15" s="1"/>
  <c r="K37" i="15" s="1"/>
  <c r="O33" i="15"/>
  <c r="H34" i="15"/>
  <c r="G34" i="15" s="1"/>
  <c r="M37" i="15" l="1"/>
  <c r="L37" i="15" s="1"/>
  <c r="K38" i="15" s="1"/>
  <c r="T34" i="15"/>
  <c r="N34" i="15"/>
  <c r="M38" i="15" l="1"/>
  <c r="L38" i="15" s="1"/>
  <c r="K39" i="15" s="1"/>
  <c r="Q34" i="15"/>
  <c r="P34" i="15"/>
  <c r="W34" i="15"/>
  <c r="V34" i="15"/>
  <c r="M39" i="15" l="1"/>
  <c r="L39" i="15" s="1"/>
  <c r="K40" i="15" s="1"/>
  <c r="O34" i="15"/>
  <c r="U34" i="15"/>
  <c r="M40" i="15" l="1"/>
  <c r="L40" i="15" s="1"/>
  <c r="K41" i="15" s="1"/>
  <c r="H35" i="15"/>
  <c r="G35" i="15" s="1"/>
  <c r="N35" i="15" s="1"/>
  <c r="M41" i="15" l="1"/>
  <c r="L41" i="15" s="1"/>
  <c r="K42" i="15" s="1"/>
  <c r="T35" i="15"/>
  <c r="V35" i="15" s="1"/>
  <c r="Q35" i="15"/>
  <c r="P35" i="15"/>
  <c r="M42" i="15" l="1"/>
  <c r="L42" i="15" s="1"/>
  <c r="K43" i="15" s="1"/>
  <c r="W35" i="15"/>
  <c r="O35" i="15"/>
  <c r="U35" i="15"/>
  <c r="M43" i="15" l="1"/>
  <c r="L43" i="15" s="1"/>
  <c r="K44" i="15" s="1"/>
  <c r="H36" i="15"/>
  <c r="G36" i="15" s="1"/>
  <c r="N36" i="15" s="1"/>
  <c r="M44" i="15" l="1"/>
  <c r="L44" i="15" s="1"/>
  <c r="K45" i="15" s="1"/>
  <c r="Q36" i="15"/>
  <c r="P36" i="15"/>
  <c r="T36" i="15"/>
  <c r="M45" i="15" l="1"/>
  <c r="L45" i="15" s="1"/>
  <c r="K46" i="15" s="1"/>
  <c r="O36" i="15"/>
  <c r="W36" i="15"/>
  <c r="V36" i="15"/>
  <c r="M46" i="15" l="1"/>
  <c r="L46" i="15" s="1"/>
  <c r="K47" i="15" s="1"/>
  <c r="U36" i="15"/>
  <c r="M47" i="15" l="1"/>
  <c r="L47" i="15" s="1"/>
  <c r="K48" i="15" s="1"/>
  <c r="H37" i="15"/>
  <c r="G37" i="15" s="1"/>
  <c r="N37" i="15" s="1"/>
  <c r="M48" i="15" l="1"/>
  <c r="L48" i="15" s="1"/>
  <c r="K49" i="15" s="1"/>
  <c r="T37" i="15"/>
  <c r="W37" i="15" s="1"/>
  <c r="Q37" i="15"/>
  <c r="P37" i="15"/>
  <c r="M49" i="15" l="1"/>
  <c r="L49" i="15" s="1"/>
  <c r="K50" i="15" s="1"/>
  <c r="V37" i="15"/>
  <c r="U37" i="15" s="1"/>
  <c r="O37" i="15"/>
  <c r="M50" i="15" l="1"/>
  <c r="L50" i="15" s="1"/>
  <c r="K51" i="15" s="1"/>
  <c r="H38" i="15"/>
  <c r="G38" i="15" s="1"/>
  <c r="N38" i="15" s="1"/>
  <c r="M51" i="15" l="1"/>
  <c r="L51" i="15" s="1"/>
  <c r="K52" i="15" s="1"/>
  <c r="Q38" i="15"/>
  <c r="P38" i="15"/>
  <c r="T38" i="15"/>
  <c r="M52" i="15" l="1"/>
  <c r="L52" i="15" s="1"/>
  <c r="K53" i="15" s="1"/>
  <c r="W38" i="15"/>
  <c r="V38" i="15"/>
  <c r="O38" i="15"/>
  <c r="M53" i="15" l="1"/>
  <c r="L53" i="15" s="1"/>
  <c r="K54" i="15" s="1"/>
  <c r="K65" i="15"/>
  <c r="K66" i="15" s="1"/>
  <c r="K67" i="15" s="1"/>
  <c r="U38" i="15"/>
  <c r="M54" i="15" l="1"/>
  <c r="L54" i="15" s="1"/>
  <c r="K55" i="15" s="1"/>
  <c r="H39" i="15"/>
  <c r="G39" i="15" s="1"/>
  <c r="N39" i="15" s="1"/>
  <c r="M55" i="15" l="1"/>
  <c r="L55" i="15" s="1"/>
  <c r="K56" i="15" s="1"/>
  <c r="T39" i="15"/>
  <c r="Q39" i="15"/>
  <c r="P39" i="15"/>
  <c r="M56" i="15" l="1"/>
  <c r="L56" i="15" s="1"/>
  <c r="K58" i="15" s="1"/>
  <c r="M58" i="15" s="1"/>
  <c r="L58" i="15" s="1"/>
  <c r="O39" i="15"/>
  <c r="W39" i="15"/>
  <c r="V39" i="15"/>
  <c r="K57" i="15" l="1"/>
  <c r="M57" i="15" s="1"/>
  <c r="L57" i="15" s="1"/>
  <c r="U39" i="15"/>
  <c r="K59" i="15" l="1"/>
  <c r="M59" i="15" s="1"/>
  <c r="H40" i="15"/>
  <c r="G40" i="15" s="1"/>
  <c r="N40" i="15" s="1"/>
  <c r="K60" i="15" l="1"/>
  <c r="K61" i="15" s="1"/>
  <c r="K62" i="15"/>
  <c r="I15" i="15" s="1"/>
  <c r="L59" i="15"/>
  <c r="L60" i="15" s="1"/>
  <c r="T40" i="15"/>
  <c r="Q40" i="15"/>
  <c r="P40" i="15"/>
  <c r="W40" i="15" l="1"/>
  <c r="V40" i="15"/>
  <c r="O40" i="15"/>
  <c r="U40" i="15" l="1"/>
  <c r="H41" i="15" l="1"/>
  <c r="G41" i="15" s="1"/>
  <c r="N41" i="15" s="1"/>
  <c r="T41" i="15" l="1"/>
  <c r="Q41" i="15"/>
  <c r="P41" i="15"/>
  <c r="W41" i="15" l="1"/>
  <c r="V41" i="15"/>
  <c r="O41" i="15"/>
  <c r="U41" i="15" l="1"/>
  <c r="H42" i="15" l="1"/>
  <c r="G42" i="15" s="1"/>
  <c r="N42" i="15" s="1"/>
  <c r="Q42" i="15" l="1"/>
  <c r="P42" i="15"/>
  <c r="T42" i="15"/>
  <c r="W42" i="15" l="1"/>
  <c r="V42" i="15"/>
  <c r="O42" i="15"/>
  <c r="U42" i="15" l="1"/>
  <c r="H43" i="15" l="1"/>
  <c r="G43" i="15" s="1"/>
  <c r="N43" i="15" s="1"/>
  <c r="Q43" i="15" l="1"/>
  <c r="N65" i="15"/>
  <c r="N66" i="15" s="1"/>
  <c r="N67" i="15" s="1"/>
  <c r="P43" i="15"/>
  <c r="T43" i="15"/>
  <c r="W43" i="15" l="1"/>
  <c r="V43" i="15"/>
  <c r="O43" i="15"/>
  <c r="O65" i="15" l="1"/>
  <c r="O66" i="15" s="1"/>
  <c r="O67" i="15" s="1"/>
  <c r="U43" i="15"/>
  <c r="H44" i="15" l="1"/>
  <c r="G44" i="15" s="1"/>
  <c r="N44" i="15" s="1"/>
  <c r="T44" i="15" l="1"/>
  <c r="Q44" i="15"/>
  <c r="P44" i="15"/>
  <c r="W44" i="15" l="1"/>
  <c r="V44" i="15"/>
  <c r="O44" i="15"/>
  <c r="U44" i="15" l="1"/>
  <c r="H45" i="15" l="1"/>
  <c r="G45" i="15" s="1"/>
  <c r="N45" i="15" s="1"/>
  <c r="T45" i="15" l="1"/>
  <c r="Q45" i="15"/>
  <c r="P45" i="15"/>
  <c r="O45" i="15" l="1"/>
  <c r="W45" i="15"/>
  <c r="V45" i="15"/>
  <c r="U45" i="15" l="1"/>
  <c r="H46" i="15" l="1"/>
  <c r="G46" i="15" s="1"/>
  <c r="N46" i="15" s="1"/>
  <c r="T46" i="15" l="1"/>
  <c r="Q46" i="15"/>
  <c r="P46" i="15"/>
  <c r="O46" i="15" l="1"/>
  <c r="W46" i="15"/>
  <c r="V46" i="15"/>
  <c r="U46" i="15" l="1"/>
  <c r="H47" i="15" l="1"/>
  <c r="G47" i="15" s="1"/>
  <c r="N47" i="15" s="1"/>
  <c r="T47" i="15" l="1"/>
  <c r="Q47" i="15"/>
  <c r="P47" i="15"/>
  <c r="W47" i="15" l="1"/>
  <c r="V47" i="15"/>
  <c r="O47" i="15"/>
  <c r="U47" i="15" l="1"/>
  <c r="H48" i="15" l="1"/>
  <c r="G48" i="15" s="1"/>
  <c r="N48" i="15" s="1"/>
  <c r="T48" i="15" l="1"/>
  <c r="Q48" i="15"/>
  <c r="P48" i="15"/>
  <c r="W48" i="15" l="1"/>
  <c r="V48" i="15"/>
  <c r="O48" i="15"/>
  <c r="U48" i="15" l="1"/>
  <c r="H49" i="15" l="1"/>
  <c r="G49" i="15" s="1"/>
  <c r="N49" i="15" s="1"/>
  <c r="Q49" i="15" l="1"/>
  <c r="P49" i="15"/>
  <c r="T49" i="15"/>
  <c r="W49" i="15" l="1"/>
  <c r="V49" i="15"/>
  <c r="O49" i="15"/>
  <c r="U49" i="15" l="1"/>
  <c r="H50" i="15" l="1"/>
  <c r="G50" i="15" s="1"/>
  <c r="N50" i="15" s="1"/>
  <c r="T50" i="15" l="1"/>
  <c r="Q50" i="15"/>
  <c r="P50" i="15"/>
  <c r="O50" i="15" l="1"/>
  <c r="W50" i="15"/>
  <c r="V50" i="15"/>
  <c r="U50" i="15" l="1"/>
  <c r="H51" i="15" l="1"/>
  <c r="G51" i="15" s="1"/>
  <c r="N51" i="15" s="1"/>
  <c r="T51" i="15" l="1"/>
  <c r="Q51" i="15"/>
  <c r="P51" i="15"/>
  <c r="O51" i="15" l="1"/>
  <c r="W51" i="15"/>
  <c r="V51" i="15"/>
  <c r="U51" i="15" l="1"/>
  <c r="H52" i="15" l="1"/>
  <c r="G52" i="15" s="1"/>
  <c r="N52" i="15" s="1"/>
  <c r="T52" i="15" l="1"/>
  <c r="W52" i="15" s="1"/>
  <c r="Q52" i="15"/>
  <c r="P52" i="15"/>
  <c r="V52" i="15" l="1"/>
  <c r="U52" i="15" s="1"/>
  <c r="O52" i="15"/>
  <c r="H53" i="15" l="1"/>
  <c r="G53" i="15" s="1"/>
  <c r="N53" i="15" s="1"/>
  <c r="Q53" i="15" l="1"/>
  <c r="P53" i="15"/>
  <c r="T53" i="15"/>
  <c r="W53" i="15" l="1"/>
  <c r="V53" i="15"/>
  <c r="O53" i="15"/>
  <c r="U53" i="15" l="1"/>
  <c r="H54" i="15" l="1"/>
  <c r="G54" i="15" s="1"/>
  <c r="N54" i="15" s="1"/>
  <c r="Q54" i="15" l="1"/>
  <c r="P54" i="15"/>
  <c r="T54" i="15"/>
  <c r="W54" i="15" l="1"/>
  <c r="V54" i="15"/>
  <c r="O54" i="15"/>
  <c r="U54" i="15" l="1"/>
  <c r="H55" i="15" l="1"/>
  <c r="G55" i="15" s="1"/>
  <c r="N55" i="15" s="1"/>
  <c r="Q55" i="15" l="1"/>
  <c r="P55" i="15"/>
  <c r="T55" i="15"/>
  <c r="W55" i="15" l="1"/>
  <c r="V55" i="15"/>
  <c r="O55" i="15"/>
  <c r="U55" i="15" l="1"/>
  <c r="H56" i="15" l="1"/>
  <c r="G56" i="15" s="1"/>
  <c r="N56" i="15" s="1"/>
  <c r="T56" i="15" l="1"/>
  <c r="W56" i="15" s="1"/>
  <c r="Q56" i="15"/>
  <c r="P56" i="15"/>
  <c r="V56" i="15" l="1"/>
  <c r="U56" i="15" s="1"/>
  <c r="O56" i="15"/>
  <c r="H57" i="15" l="1"/>
  <c r="G57" i="15" s="1"/>
  <c r="N57" i="15" s="1"/>
  <c r="H58" i="15"/>
  <c r="G58" i="15" s="1"/>
  <c r="N58" i="15" s="1"/>
  <c r="T57" i="15" l="1"/>
  <c r="W57" i="15" s="1"/>
  <c r="Q58" i="15"/>
  <c r="P58" i="15"/>
  <c r="O58" i="15" s="1"/>
  <c r="Q57" i="15"/>
  <c r="P57" i="15"/>
  <c r="T58" i="15"/>
  <c r="V57" i="15" l="1"/>
  <c r="U57" i="15" s="1"/>
  <c r="O57" i="15"/>
  <c r="W58" i="15"/>
  <c r="V58" i="15"/>
  <c r="U58" i="15" s="1"/>
  <c r="H59" i="15" l="1"/>
  <c r="T59" i="15" s="1"/>
  <c r="W59" i="15" l="1"/>
  <c r="T60" i="15"/>
  <c r="T61" i="15" s="1"/>
  <c r="T62" i="15" s="1"/>
  <c r="I16" i="15" s="1"/>
  <c r="V59" i="15"/>
  <c r="U59" i="15" s="1"/>
  <c r="U60" i="15" s="1"/>
  <c r="G59" i="15"/>
  <c r="H60" i="15"/>
  <c r="I12" i="15" s="1"/>
  <c r="G60" i="15" l="1"/>
  <c r="I11" i="15" s="1"/>
  <c r="N59" i="15"/>
  <c r="F16" i="15"/>
  <c r="F9" i="15"/>
  <c r="Q59" i="15" l="1"/>
  <c r="N60" i="15"/>
  <c r="N61" i="15" s="1"/>
  <c r="N62" i="15" s="1"/>
  <c r="P59" i="15"/>
  <c r="O59" i="15" s="1"/>
  <c r="O60" i="15" s="1"/>
  <c r="F5" i="15"/>
  <c r="F11" i="15" s="1"/>
  <c r="F14" i="15" s="1"/>
  <c r="I19" i="13"/>
  <c r="I21" i="13" l="1"/>
  <c r="F29" i="13"/>
  <c r="H29" i="13" l="1"/>
  <c r="G29" i="13" s="1"/>
  <c r="N29" i="13" l="1"/>
  <c r="T29" i="13"/>
  <c r="V29" i="13" s="1"/>
  <c r="F30" i="13"/>
  <c r="W29" i="13" l="1"/>
  <c r="P29" i="13"/>
  <c r="Q29" i="13"/>
  <c r="O29" i="13" l="1"/>
  <c r="U29" i="13"/>
  <c r="H30" i="13" l="1"/>
  <c r="G30" i="13" l="1"/>
  <c r="F31" i="13"/>
  <c r="T30" i="13"/>
  <c r="V30" i="13" s="1"/>
  <c r="W30" i="13" l="1"/>
  <c r="N30" i="13"/>
  <c r="P30" i="13" s="1"/>
  <c r="U30" i="13" l="1"/>
  <c r="H31" i="13" l="1"/>
  <c r="T31" i="13" s="1"/>
  <c r="V31" i="13" s="1"/>
  <c r="O30" i="13"/>
  <c r="W31" i="13" l="1"/>
  <c r="F32" i="13"/>
  <c r="G31" i="13"/>
  <c r="U31" i="13" l="1"/>
  <c r="N31" i="13"/>
  <c r="P31" i="13" s="1"/>
  <c r="H32" i="13" l="1"/>
  <c r="F33" i="13" l="1"/>
  <c r="G32" i="13"/>
  <c r="T32" i="13"/>
  <c r="V32" i="13" s="1"/>
  <c r="O31" i="13"/>
  <c r="N32" i="13" l="1"/>
  <c r="P32" i="13" s="1"/>
  <c r="W32" i="13"/>
  <c r="U32" i="13" l="1"/>
  <c r="O32" i="13" l="1"/>
  <c r="H33" i="13"/>
  <c r="G33" i="13" l="1"/>
  <c r="N33" i="13" s="1"/>
  <c r="P33" i="13" s="1"/>
  <c r="F34" i="13"/>
  <c r="T33" i="13"/>
  <c r="V33" i="13" s="1"/>
  <c r="W33" i="13" l="1"/>
  <c r="U33" i="13" l="1"/>
  <c r="O33" i="13"/>
  <c r="H34" i="13" l="1"/>
  <c r="T34" i="13" s="1"/>
  <c r="V34" i="13" s="1"/>
  <c r="W34" i="13" l="1"/>
  <c r="G34" i="13"/>
  <c r="N34" i="13" s="1"/>
  <c r="P34" i="13" s="1"/>
  <c r="F35" i="13"/>
  <c r="U34" i="13" l="1"/>
  <c r="H35" i="13" l="1"/>
  <c r="O34" i="13"/>
  <c r="G35" i="13" l="1"/>
  <c r="N35" i="13" s="1"/>
  <c r="P35" i="13" s="1"/>
  <c r="F36" i="13"/>
  <c r="T35" i="13"/>
  <c r="V35" i="13" s="1"/>
  <c r="W35" i="13" l="1"/>
  <c r="U35" i="13" l="1"/>
  <c r="O35" i="13"/>
  <c r="H36" i="13" l="1"/>
  <c r="T36" i="13" s="1"/>
  <c r="V36" i="13" s="1"/>
  <c r="W36" i="13" l="1"/>
  <c r="F37" i="13"/>
  <c r="G36" i="13"/>
  <c r="N36" i="13" s="1"/>
  <c r="P36" i="13" s="1"/>
  <c r="U36" i="13" l="1"/>
  <c r="H37" i="13" l="1"/>
  <c r="O36" i="13"/>
  <c r="G37" i="13" l="1"/>
  <c r="N37" i="13" s="1"/>
  <c r="P37" i="13" s="1"/>
  <c r="F38" i="13"/>
  <c r="T37" i="13"/>
  <c r="V37" i="13" s="1"/>
  <c r="W37" i="13" l="1"/>
  <c r="U37" i="13" l="1"/>
  <c r="O37" i="13"/>
  <c r="H38" i="13" l="1"/>
  <c r="T38" i="13" s="1"/>
  <c r="V38" i="13" s="1"/>
  <c r="W38" i="13" l="1"/>
  <c r="F39" i="13"/>
  <c r="G38" i="13"/>
  <c r="N38" i="13" s="1"/>
  <c r="P38" i="13" s="1"/>
  <c r="U38" i="13" l="1"/>
  <c r="H39" i="13" l="1"/>
  <c r="T39" i="13" s="1"/>
  <c r="V39" i="13" s="1"/>
  <c r="O38" i="13"/>
  <c r="W39" i="13" l="1"/>
  <c r="G39" i="13"/>
  <c r="N39" i="13" s="1"/>
  <c r="P39" i="13" s="1"/>
  <c r="F40" i="13"/>
  <c r="U39" i="13" l="1"/>
  <c r="H40" i="13" l="1"/>
  <c r="T40" i="13" s="1"/>
  <c r="V40" i="13" s="1"/>
  <c r="O39" i="13"/>
  <c r="W40" i="13" l="1"/>
  <c r="G40" i="13"/>
  <c r="N40" i="13" s="1"/>
  <c r="P40" i="13" s="1"/>
  <c r="F41" i="13"/>
  <c r="U40" i="13" l="1"/>
  <c r="H41" i="13" l="1"/>
  <c r="O40" i="13"/>
  <c r="G41" i="13" l="1"/>
  <c r="N41" i="13" s="1"/>
  <c r="P41" i="13" s="1"/>
  <c r="F42" i="13"/>
  <c r="T41" i="13"/>
  <c r="V41" i="13" s="1"/>
  <c r="W41" i="13" l="1"/>
  <c r="U41" i="13" l="1"/>
  <c r="O41" i="13"/>
  <c r="H42" i="13" l="1"/>
  <c r="F43" i="13" l="1"/>
  <c r="G42" i="13"/>
  <c r="N42" i="13" s="1"/>
  <c r="P42" i="13" s="1"/>
  <c r="T42" i="13"/>
  <c r="V42" i="13" s="1"/>
  <c r="W42" i="13" l="1"/>
  <c r="O42" i="13" l="1"/>
  <c r="U42" i="13"/>
  <c r="H43" i="13" l="1"/>
  <c r="T43" i="13" s="1"/>
  <c r="V43" i="13" s="1"/>
  <c r="W43" i="13" l="1"/>
  <c r="F44" i="13"/>
  <c r="G43" i="13"/>
  <c r="N43" i="13" s="1"/>
  <c r="P43" i="13" s="1"/>
  <c r="U43" i="13" l="1"/>
  <c r="H44" i="13" l="1"/>
  <c r="T44" i="13" s="1"/>
  <c r="V44" i="13" s="1"/>
  <c r="O43" i="13"/>
  <c r="W44" i="13" l="1"/>
  <c r="G44" i="13"/>
  <c r="N44" i="13" s="1"/>
  <c r="P44" i="13" s="1"/>
  <c r="F45" i="13"/>
  <c r="U44" i="13" l="1"/>
  <c r="H45" i="13" l="1"/>
  <c r="O44" i="13"/>
  <c r="G45" i="13" l="1"/>
  <c r="N45" i="13" s="1"/>
  <c r="P45" i="13" s="1"/>
  <c r="F46" i="13"/>
  <c r="T45" i="13"/>
  <c r="V45" i="13" s="1"/>
  <c r="W45" i="13" l="1"/>
  <c r="U45" i="13" l="1"/>
  <c r="O45" i="13"/>
  <c r="H46" i="13" l="1"/>
  <c r="F47" i="13" l="1"/>
  <c r="G46" i="13"/>
  <c r="N46" i="13" s="1"/>
  <c r="P46" i="13" s="1"/>
  <c r="T46" i="13"/>
  <c r="V46" i="13" s="1"/>
  <c r="W46" i="13" l="1"/>
  <c r="O46" i="13" l="1"/>
  <c r="U46" i="13"/>
  <c r="H47" i="13" l="1"/>
  <c r="T47" i="13" s="1"/>
  <c r="V47" i="13" s="1"/>
  <c r="W47" i="13" l="1"/>
  <c r="G47" i="13"/>
  <c r="N47" i="13" s="1"/>
  <c r="P47" i="13" s="1"/>
  <c r="F48" i="13"/>
  <c r="U47" i="13" l="1"/>
  <c r="H48" i="13" l="1"/>
  <c r="T48" i="13" s="1"/>
  <c r="V48" i="13" s="1"/>
  <c r="O47" i="13"/>
  <c r="W48" i="13" l="1"/>
  <c r="G48" i="13"/>
  <c r="N48" i="13" s="1"/>
  <c r="P48" i="13" s="1"/>
  <c r="F49" i="13"/>
  <c r="U48" i="13" l="1"/>
  <c r="H49" i="13" l="1"/>
  <c r="T49" i="13" s="1"/>
  <c r="V49" i="13" s="1"/>
  <c r="O48" i="13"/>
  <c r="W49" i="13" l="1"/>
  <c r="G49" i="13"/>
  <c r="N49" i="13" s="1"/>
  <c r="P49" i="13" s="1"/>
  <c r="F50" i="13"/>
  <c r="U49" i="13" l="1"/>
  <c r="H50" i="13" l="1"/>
  <c r="T50" i="13" s="1"/>
  <c r="V50" i="13" s="1"/>
  <c r="O49" i="13"/>
  <c r="W50" i="13" l="1"/>
  <c r="F51" i="13"/>
  <c r="G50" i="13"/>
  <c r="N50" i="13" s="1"/>
  <c r="P50" i="13" s="1"/>
  <c r="U50" i="13" l="1"/>
  <c r="H51" i="13" l="1"/>
  <c r="T51" i="13" s="1"/>
  <c r="V51" i="13" s="1"/>
  <c r="O50" i="13"/>
  <c r="W51" i="13" l="1"/>
  <c r="F52" i="13"/>
  <c r="G51" i="13"/>
  <c r="N51" i="13" s="1"/>
  <c r="P51" i="13" s="1"/>
  <c r="U51" i="13" l="1"/>
  <c r="H52" i="13" l="1"/>
  <c r="O51" i="13"/>
  <c r="G52" i="13" l="1"/>
  <c r="N52" i="13" s="1"/>
  <c r="F53" i="13"/>
  <c r="T52" i="13"/>
  <c r="V52" i="13" s="1"/>
  <c r="N65" i="13" l="1"/>
  <c r="P52" i="13"/>
  <c r="W52" i="13"/>
  <c r="K30" i="13"/>
  <c r="O52" i="13" l="1"/>
  <c r="U52" i="13"/>
  <c r="M30" i="13"/>
  <c r="L30" i="13" s="1"/>
  <c r="Q30" i="13"/>
  <c r="K31" i="13" l="1"/>
  <c r="H53" i="13"/>
  <c r="F54" i="13" l="1"/>
  <c r="G53" i="13"/>
  <c r="N53" i="13" s="1"/>
  <c r="P53" i="13" s="1"/>
  <c r="T53" i="13"/>
  <c r="V53" i="13" s="1"/>
  <c r="M31" i="13"/>
  <c r="L31" i="13" s="1"/>
  <c r="K32" i="13" s="1"/>
  <c r="Q31" i="13"/>
  <c r="M32" i="13" l="1"/>
  <c r="L32" i="13" s="1"/>
  <c r="K33" i="13" s="1"/>
  <c r="Q32" i="13"/>
  <c r="W53" i="13"/>
  <c r="O53" i="13" l="1"/>
  <c r="U53" i="13"/>
  <c r="M33" i="13"/>
  <c r="L33" i="13" s="1"/>
  <c r="K34" i="13" s="1"/>
  <c r="Q33" i="13"/>
  <c r="M34" i="13" l="1"/>
  <c r="L34" i="13" s="1"/>
  <c r="K35" i="13" s="1"/>
  <c r="Q34" i="13"/>
  <c r="H54" i="13"/>
  <c r="T54" i="13" s="1"/>
  <c r="V54" i="13" s="1"/>
  <c r="W54" i="13" l="1"/>
  <c r="F55" i="13"/>
  <c r="G54" i="13"/>
  <c r="N54" i="13" s="1"/>
  <c r="P54" i="13" s="1"/>
  <c r="M35" i="13"/>
  <c r="L35" i="13" s="1"/>
  <c r="K36" i="13" s="1"/>
  <c r="Q35" i="13"/>
  <c r="M36" i="13" l="1"/>
  <c r="L36" i="13" s="1"/>
  <c r="K37" i="13" s="1"/>
  <c r="Q36" i="13"/>
  <c r="U54" i="13"/>
  <c r="H55" i="13" l="1"/>
  <c r="O54" i="13"/>
  <c r="M37" i="13"/>
  <c r="L37" i="13" s="1"/>
  <c r="K38" i="13" s="1"/>
  <c r="Q37" i="13"/>
  <c r="F56" i="13" l="1"/>
  <c r="G55" i="13"/>
  <c r="N55" i="13" s="1"/>
  <c r="P55" i="13" s="1"/>
  <c r="M38" i="13"/>
  <c r="L38" i="13" s="1"/>
  <c r="K39" i="13" s="1"/>
  <c r="Q38" i="13"/>
  <c r="T55" i="13"/>
  <c r="V55" i="13" s="1"/>
  <c r="M39" i="13" l="1"/>
  <c r="L39" i="13" s="1"/>
  <c r="K40" i="13" s="1"/>
  <c r="Q39" i="13"/>
  <c r="W55" i="13"/>
  <c r="N66" i="13"/>
  <c r="N67" i="13" s="1"/>
  <c r="U55" i="13" l="1"/>
  <c r="O55" i="13"/>
  <c r="M40" i="13"/>
  <c r="L40" i="13" s="1"/>
  <c r="K41" i="13" s="1"/>
  <c r="Q40" i="13"/>
  <c r="M41" i="13" l="1"/>
  <c r="L41" i="13" s="1"/>
  <c r="K42" i="13" s="1"/>
  <c r="Q41" i="13"/>
  <c r="O66" i="13"/>
  <c r="O68" i="13" s="1"/>
  <c r="H56" i="13"/>
  <c r="M42" i="13" l="1"/>
  <c r="L42" i="13" s="1"/>
  <c r="K43" i="13" s="1"/>
  <c r="Q42" i="13"/>
  <c r="F57" i="13"/>
  <c r="G56" i="13"/>
  <c r="N56" i="13" s="1"/>
  <c r="P56" i="13" s="1"/>
  <c r="T56" i="13"/>
  <c r="V56" i="13" s="1"/>
  <c r="M43" i="13" l="1"/>
  <c r="L43" i="13" s="1"/>
  <c r="K44" i="13" s="1"/>
  <c r="Q43" i="13"/>
  <c r="W56" i="13"/>
  <c r="U56" i="13" l="1"/>
  <c r="M44" i="13"/>
  <c r="L44" i="13" s="1"/>
  <c r="K45" i="13" s="1"/>
  <c r="Q44" i="13"/>
  <c r="O56" i="13"/>
  <c r="M45" i="13" l="1"/>
  <c r="L45" i="13" s="1"/>
  <c r="K46" i="13" s="1"/>
  <c r="Q45" i="13"/>
  <c r="H57" i="13"/>
  <c r="F58" i="13" s="1"/>
  <c r="G57" i="13" l="1"/>
  <c r="N57" i="13" s="1"/>
  <c r="P57" i="13" s="1"/>
  <c r="M46" i="13"/>
  <c r="L46" i="13" s="1"/>
  <c r="K47" i="13" s="1"/>
  <c r="Q46" i="13"/>
  <c r="T57" i="13"/>
  <c r="V57" i="13" l="1"/>
  <c r="W57" i="13"/>
  <c r="M47" i="13"/>
  <c r="L47" i="13" s="1"/>
  <c r="K48" i="13" s="1"/>
  <c r="Q47" i="13"/>
  <c r="M48" i="13" l="1"/>
  <c r="L48" i="13" s="1"/>
  <c r="K49" i="13" s="1"/>
  <c r="Q48" i="13"/>
  <c r="U57" i="13"/>
  <c r="O57" i="13"/>
  <c r="H58" i="13" l="1"/>
  <c r="G58" i="13" s="1"/>
  <c r="N58" i="13" s="1"/>
  <c r="P58" i="13" s="1"/>
  <c r="M49" i="13"/>
  <c r="L49" i="13" s="1"/>
  <c r="K50" i="13" s="1"/>
  <c r="Q49" i="13"/>
  <c r="T58" i="13" l="1"/>
  <c r="W58" i="13" s="1"/>
  <c r="O58" i="13"/>
  <c r="M50" i="13"/>
  <c r="L50" i="13" s="1"/>
  <c r="K51" i="13" s="1"/>
  <c r="Q50" i="13"/>
  <c r="V58" i="13" l="1"/>
  <c r="U58" i="13" s="1"/>
  <c r="M51" i="13"/>
  <c r="L51" i="13" s="1"/>
  <c r="K52" i="13" s="1"/>
  <c r="Q51" i="13"/>
  <c r="F59" i="13"/>
  <c r="M52" i="13" l="1"/>
  <c r="L52" i="13" s="1"/>
  <c r="K53" i="13" s="1"/>
  <c r="Q52" i="13"/>
  <c r="M53" i="13" l="1"/>
  <c r="L53" i="13" s="1"/>
  <c r="K54" i="13" s="1"/>
  <c r="Q53" i="13"/>
  <c r="H59" i="13"/>
  <c r="I12" i="13" s="1"/>
  <c r="G59" i="13"/>
  <c r="I11" i="13" s="1"/>
  <c r="T59" i="13" l="1"/>
  <c r="T60" i="13" s="1"/>
  <c r="T61" i="13" s="1"/>
  <c r="I16" i="13" s="1"/>
  <c r="U59" i="13"/>
  <c r="F5" i="13"/>
  <c r="M54" i="13"/>
  <c r="L54" i="13" s="1"/>
  <c r="K55" i="13" s="1"/>
  <c r="Q54" i="13"/>
  <c r="M55" i="13" l="1"/>
  <c r="L55" i="13" s="1"/>
  <c r="K56" i="13" s="1"/>
  <c r="K66" i="13"/>
  <c r="K67" i="13" s="1"/>
  <c r="Q55" i="13"/>
  <c r="N59" i="13"/>
  <c r="N60" i="13" s="1"/>
  <c r="N61" i="13" s="1"/>
  <c r="F16" i="13"/>
  <c r="F9" i="13"/>
  <c r="F11" i="13" s="1"/>
  <c r="I21" i="14"/>
  <c r="F29" i="14" l="1"/>
  <c r="M56" i="13"/>
  <c r="L56" i="13" s="1"/>
  <c r="K57" i="13" s="1"/>
  <c r="Q56" i="13"/>
  <c r="P64" i="13"/>
  <c r="M69" i="13"/>
  <c r="O59" i="13"/>
  <c r="P65" i="13"/>
  <c r="F14" i="13"/>
  <c r="H29" i="14" l="1"/>
  <c r="T29" i="14" s="1"/>
  <c r="F30" i="14"/>
  <c r="W29" i="14"/>
  <c r="M57" i="13"/>
  <c r="Q57" i="13"/>
  <c r="G29" i="14" l="1"/>
  <c r="N29" i="14" s="1"/>
  <c r="P29" i="14" s="1"/>
  <c r="L57" i="13"/>
  <c r="K58" i="13" s="1"/>
  <c r="M58" i="13" s="1"/>
  <c r="L58" i="13" s="1"/>
  <c r="U29" i="14"/>
  <c r="Q58" i="13" l="1"/>
  <c r="O29" i="14"/>
  <c r="H30" i="14"/>
  <c r="T30" i="14" s="1"/>
  <c r="W30" i="14" l="1"/>
  <c r="G30" i="14"/>
  <c r="F31" i="14"/>
  <c r="K59" i="13"/>
  <c r="K60" i="13" s="1"/>
  <c r="K61" i="13" s="1"/>
  <c r="M64" i="13" s="1"/>
  <c r="M71" i="13" s="1"/>
  <c r="U30" i="14" l="1"/>
  <c r="L59" i="13"/>
  <c r="S69" i="13" s="1"/>
  <c r="N73" i="13"/>
  <c r="N30" i="14"/>
  <c r="H31" i="14" l="1"/>
  <c r="P30" i="14"/>
  <c r="G31" i="14" l="1"/>
  <c r="F32" i="14"/>
  <c r="O30" i="14"/>
  <c r="T31" i="14"/>
  <c r="W31" i="14" l="1"/>
  <c r="N31" i="14"/>
  <c r="U31" i="14" l="1"/>
  <c r="P31" i="14"/>
  <c r="O31" i="14" l="1"/>
  <c r="H32" i="14"/>
  <c r="G32" i="14" l="1"/>
  <c r="N32" i="14" s="1"/>
  <c r="F33" i="14"/>
  <c r="T32" i="14"/>
  <c r="V32" i="14" s="1"/>
  <c r="W32" i="14" l="1"/>
  <c r="P32" i="14"/>
  <c r="U32" i="14" l="1"/>
  <c r="O32" i="14"/>
  <c r="H33" i="14" l="1"/>
  <c r="G33" i="14" l="1"/>
  <c r="N33" i="14" s="1"/>
  <c r="F34" i="14"/>
  <c r="T33" i="14"/>
  <c r="V33" i="14" s="1"/>
  <c r="W33" i="14" l="1"/>
  <c r="P33" i="14"/>
  <c r="O33" i="14" l="1"/>
  <c r="U33" i="14"/>
  <c r="H34" i="14" l="1"/>
  <c r="G34" i="14" l="1"/>
  <c r="N34" i="14" s="1"/>
  <c r="F35" i="14"/>
  <c r="T34" i="14"/>
  <c r="V34" i="14" s="1"/>
  <c r="W34" i="14" l="1"/>
  <c r="P34" i="14"/>
  <c r="U34" i="14" l="1"/>
  <c r="O34" i="14"/>
  <c r="H35" i="14" l="1"/>
  <c r="T35" i="14" s="1"/>
  <c r="V35" i="14" s="1"/>
  <c r="W35" i="14" l="1"/>
  <c r="F36" i="14"/>
  <c r="G35" i="14"/>
  <c r="N35" i="14" s="1"/>
  <c r="P35" i="14" l="1"/>
  <c r="U35" i="14"/>
  <c r="H36" i="14" l="1"/>
  <c r="T36" i="14" s="1"/>
  <c r="V36" i="14" s="1"/>
  <c r="O35" i="14"/>
  <c r="W36" i="14" l="1"/>
  <c r="F37" i="14"/>
  <c r="G36" i="14"/>
  <c r="N36" i="14" s="1"/>
  <c r="P36" i="14" l="1"/>
  <c r="U36" i="14"/>
  <c r="H37" i="14" l="1"/>
  <c r="T37" i="14" s="1"/>
  <c r="V37" i="14" s="1"/>
  <c r="O36" i="14"/>
  <c r="W37" i="14" l="1"/>
  <c r="G37" i="14"/>
  <c r="N37" i="14" s="1"/>
  <c r="F38" i="14"/>
  <c r="P37" i="14" l="1"/>
  <c r="U37" i="14"/>
  <c r="H38" i="14" l="1"/>
  <c r="O37" i="14"/>
  <c r="G38" i="14" l="1"/>
  <c r="N38" i="14" s="1"/>
  <c r="F39" i="14"/>
  <c r="T38" i="14"/>
  <c r="V38" i="14" s="1"/>
  <c r="P38" i="14" l="1"/>
  <c r="W38" i="14"/>
  <c r="U38" i="14" l="1"/>
  <c r="O38" i="14"/>
  <c r="H39" i="14" l="1"/>
  <c r="F40" i="14" l="1"/>
  <c r="G39" i="14"/>
  <c r="N39" i="14" s="1"/>
  <c r="T39" i="14"/>
  <c r="V39" i="14" s="1"/>
  <c r="W39" i="14" l="1"/>
  <c r="P39" i="14"/>
  <c r="O39" i="14" l="1"/>
  <c r="U39" i="14"/>
  <c r="H40" i="14" l="1"/>
  <c r="T40" i="14" s="1"/>
  <c r="V40" i="14" s="1"/>
  <c r="W40" i="14" l="1"/>
  <c r="F41" i="14"/>
  <c r="G40" i="14"/>
  <c r="N40" i="14" s="1"/>
  <c r="P40" i="14" l="1"/>
  <c r="U40" i="14"/>
  <c r="H41" i="14" l="1"/>
  <c r="O40" i="14"/>
  <c r="G41" i="14" l="1"/>
  <c r="N41" i="14" s="1"/>
  <c r="F42" i="14"/>
  <c r="T41" i="14"/>
  <c r="V41" i="14" s="1"/>
  <c r="W41" i="14" l="1"/>
  <c r="P41" i="14"/>
  <c r="O41" i="14" l="1"/>
  <c r="U41" i="14"/>
  <c r="H42" i="14" l="1"/>
  <c r="T42" i="14" s="1"/>
  <c r="V42" i="14" s="1"/>
  <c r="W42" i="14" l="1"/>
  <c r="F43" i="14"/>
  <c r="G42" i="14"/>
  <c r="N42" i="14" s="1"/>
  <c r="P42" i="14" l="1"/>
  <c r="U42" i="14"/>
  <c r="H43" i="14" l="1"/>
  <c r="O42" i="14"/>
  <c r="G43" i="14" l="1"/>
  <c r="N43" i="14" s="1"/>
  <c r="F44" i="14"/>
  <c r="T43" i="14"/>
  <c r="V43" i="14" s="1"/>
  <c r="P43" i="14" l="1"/>
  <c r="W43" i="14"/>
  <c r="U43" i="14" l="1"/>
  <c r="O43" i="14"/>
  <c r="H44" i="14" l="1"/>
  <c r="F45" i="14" l="1"/>
  <c r="G44" i="14"/>
  <c r="N44" i="14" s="1"/>
  <c r="T44" i="14"/>
  <c r="V44" i="14" s="1"/>
  <c r="W44" i="14" l="1"/>
  <c r="P44" i="14"/>
  <c r="O44" i="14" l="1"/>
  <c r="U44" i="14"/>
  <c r="H45" i="14" l="1"/>
  <c r="T45" i="14" s="1"/>
  <c r="V45" i="14" s="1"/>
  <c r="W45" i="14" l="1"/>
  <c r="F46" i="14"/>
  <c r="G45" i="14"/>
  <c r="N45" i="14" s="1"/>
  <c r="P45" i="14" l="1"/>
  <c r="U45" i="14"/>
  <c r="H46" i="14" l="1"/>
  <c r="O45" i="14"/>
  <c r="G46" i="14" l="1"/>
  <c r="N46" i="14" s="1"/>
  <c r="F47" i="14"/>
  <c r="T46" i="14"/>
  <c r="V46" i="14" s="1"/>
  <c r="P46" i="14" l="1"/>
  <c r="W46" i="14"/>
  <c r="U46" i="14" l="1"/>
  <c r="O46" i="14"/>
  <c r="H47" i="14" l="1"/>
  <c r="T47" i="14" s="1"/>
  <c r="V47" i="14" s="1"/>
  <c r="W47" i="14" l="1"/>
  <c r="F48" i="14"/>
  <c r="G47" i="14"/>
  <c r="N47" i="14" s="1"/>
  <c r="P47" i="14" l="1"/>
  <c r="U47" i="14"/>
  <c r="O47" i="14" l="1"/>
  <c r="H48" i="14"/>
  <c r="T48" i="14" s="1"/>
  <c r="V48" i="14" s="1"/>
  <c r="W48" i="14" l="1"/>
  <c r="G48" i="14"/>
  <c r="N48" i="14" s="1"/>
  <c r="F49" i="14"/>
  <c r="P48" i="14" l="1"/>
  <c r="U48" i="14"/>
  <c r="H49" i="14" l="1"/>
  <c r="O48" i="14"/>
  <c r="G49" i="14" l="1"/>
  <c r="N49" i="14" s="1"/>
  <c r="F50" i="14"/>
  <c r="T49" i="14"/>
  <c r="V49" i="14" s="1"/>
  <c r="P49" i="14" l="1"/>
  <c r="W49" i="14"/>
  <c r="U49" i="14" l="1"/>
  <c r="O49" i="14"/>
  <c r="H50" i="14" l="1"/>
  <c r="F51" i="14" l="1"/>
  <c r="G50" i="14"/>
  <c r="N50" i="14" s="1"/>
  <c r="T50" i="14"/>
  <c r="V50" i="14" s="1"/>
  <c r="W50" i="14" l="1"/>
  <c r="P50" i="14"/>
  <c r="O50" i="14" l="1"/>
  <c r="U50" i="14"/>
  <c r="H51" i="14" l="1"/>
  <c r="T51" i="14" s="1"/>
  <c r="V51" i="14" s="1"/>
  <c r="W51" i="14" l="1"/>
  <c r="F52" i="14"/>
  <c r="G51" i="14"/>
  <c r="N51" i="14" s="1"/>
  <c r="P51" i="14" l="1"/>
  <c r="U51" i="14"/>
  <c r="H52" i="14" l="1"/>
  <c r="O51" i="14"/>
  <c r="G52" i="14" l="1"/>
  <c r="N52" i="14" s="1"/>
  <c r="F53" i="14"/>
  <c r="K59" i="14" s="1"/>
  <c r="M59" i="14" s="1"/>
  <c r="T52" i="14"/>
  <c r="V52" i="14" s="1"/>
  <c r="P52" i="14" l="1"/>
  <c r="W52" i="14"/>
  <c r="K29" i="14"/>
  <c r="Q29" i="14" l="1"/>
  <c r="M29" i="14"/>
  <c r="L29" i="14" s="1"/>
  <c r="K30" i="14"/>
  <c r="O52" i="14"/>
  <c r="U52" i="14"/>
  <c r="H53" i="14" l="1"/>
  <c r="T53" i="14" s="1"/>
  <c r="V53" i="14" s="1"/>
  <c r="M30" i="14"/>
  <c r="L30" i="14" s="1"/>
  <c r="Q30" i="14"/>
  <c r="K31" i="14"/>
  <c r="M31" i="14" l="1"/>
  <c r="L31" i="14" s="1"/>
  <c r="K32" i="14" s="1"/>
  <c r="Q31" i="14"/>
  <c r="W53" i="14"/>
  <c r="F54" i="14"/>
  <c r="G53" i="14"/>
  <c r="N53" i="14" s="1"/>
  <c r="U53" i="14" l="1"/>
  <c r="P53" i="14"/>
  <c r="M32" i="14"/>
  <c r="L32" i="14" s="1"/>
  <c r="Q32" i="14"/>
  <c r="K33" i="14"/>
  <c r="M33" i="14" l="1"/>
  <c r="L33" i="14" s="1"/>
  <c r="K34" i="14" s="1"/>
  <c r="Q33" i="14"/>
  <c r="O53" i="14"/>
  <c r="H54" i="14"/>
  <c r="T54" i="14" s="1"/>
  <c r="V54" i="14" s="1"/>
  <c r="W54" i="14" l="1"/>
  <c r="M34" i="14"/>
  <c r="L34" i="14" s="1"/>
  <c r="Q34" i="14"/>
  <c r="K35" i="14"/>
  <c r="G54" i="14"/>
  <c r="N54" i="14" s="1"/>
  <c r="F55" i="14"/>
  <c r="P54" i="14" l="1"/>
  <c r="U54" i="14"/>
  <c r="M35" i="14"/>
  <c r="L35" i="14" s="1"/>
  <c r="Q35" i="14"/>
  <c r="K36" i="14"/>
  <c r="M36" i="14" l="1"/>
  <c r="L36" i="14" s="1"/>
  <c r="K37" i="14" s="1"/>
  <c r="Q36" i="14"/>
  <c r="H55" i="14"/>
  <c r="O54" i="14"/>
  <c r="G55" i="14" l="1"/>
  <c r="N55" i="14" s="1"/>
  <c r="F56" i="14"/>
  <c r="T55" i="14"/>
  <c r="V55" i="14" s="1"/>
  <c r="M37" i="14"/>
  <c r="L37" i="14" s="1"/>
  <c r="Q37" i="14"/>
  <c r="K38" i="14"/>
  <c r="M38" i="14" l="1"/>
  <c r="L38" i="14" s="1"/>
  <c r="K39" i="14" s="1"/>
  <c r="Q38" i="14"/>
  <c r="W55" i="14"/>
  <c r="P55" i="14"/>
  <c r="U55" i="14" l="1"/>
  <c r="M39" i="14"/>
  <c r="L39" i="14" s="1"/>
  <c r="K40" i="14" s="1"/>
  <c r="Q39" i="14"/>
  <c r="O55" i="14"/>
  <c r="M40" i="14" l="1"/>
  <c r="L40" i="14" s="1"/>
  <c r="K41" i="14" s="1"/>
  <c r="Q40" i="14"/>
  <c r="H56" i="14"/>
  <c r="F57" i="14" s="1"/>
  <c r="G56" i="14" l="1"/>
  <c r="N56" i="14" s="1"/>
  <c r="T56" i="14"/>
  <c r="V56" i="14" s="1"/>
  <c r="M41" i="14"/>
  <c r="L41" i="14" s="1"/>
  <c r="Q41" i="14"/>
  <c r="K42" i="14"/>
  <c r="M42" i="14" l="1"/>
  <c r="L42" i="14" s="1"/>
  <c r="K43" i="14" s="1"/>
  <c r="Q42" i="14"/>
  <c r="W56" i="14"/>
  <c r="P56" i="14"/>
  <c r="U56" i="14" l="1"/>
  <c r="H57" i="14" s="1"/>
  <c r="M43" i="14"/>
  <c r="L43" i="14" s="1"/>
  <c r="K44" i="14" s="1"/>
  <c r="Q43" i="14"/>
  <c r="O56" i="14"/>
  <c r="T57" i="14" l="1"/>
  <c r="V57" i="14" s="1"/>
  <c r="G57" i="14"/>
  <c r="N57" i="14" s="1"/>
  <c r="M44" i="14"/>
  <c r="L44" i="14" s="1"/>
  <c r="K45" i="14" s="1"/>
  <c r="Q44" i="14"/>
  <c r="P57" i="14" l="1"/>
  <c r="O57" i="14" s="1"/>
  <c r="W57" i="14"/>
  <c r="U57" i="14"/>
  <c r="F58" i="14"/>
  <c r="M45" i="14"/>
  <c r="L45" i="14" s="1"/>
  <c r="K46" i="14" s="1"/>
  <c r="Q45" i="14"/>
  <c r="M46" i="14" l="1"/>
  <c r="L46" i="14" s="1"/>
  <c r="K47" i="14" s="1"/>
  <c r="Q46" i="14"/>
  <c r="F60" i="14"/>
  <c r="M47" i="14" l="1"/>
  <c r="L47" i="14" s="1"/>
  <c r="K48" i="14" s="1"/>
  <c r="Q47" i="14"/>
  <c r="H58" i="14"/>
  <c r="H60" i="14" l="1"/>
  <c r="I12" i="14" s="1"/>
  <c r="G58" i="14"/>
  <c r="G60" i="14" s="1"/>
  <c r="I11" i="14" s="1"/>
  <c r="T58" i="14"/>
  <c r="V58" i="14" s="1"/>
  <c r="M48" i="14"/>
  <c r="L48" i="14" s="1"/>
  <c r="Q48" i="14"/>
  <c r="K49" i="14"/>
  <c r="N58" i="14" l="1"/>
  <c r="F5" i="14"/>
  <c r="M49" i="14"/>
  <c r="L49" i="14" s="1"/>
  <c r="K50" i="14" s="1"/>
  <c r="Q49" i="14"/>
  <c r="W58" i="14"/>
  <c r="T61" i="14"/>
  <c r="T62" i="14" s="1"/>
  <c r="I16" i="14" s="1"/>
  <c r="P58" i="14"/>
  <c r="U58" i="14" l="1"/>
  <c r="O58" i="14"/>
  <c r="O60" i="14" s="1"/>
  <c r="N60" i="14"/>
  <c r="N61" i="14" s="1"/>
  <c r="N62" i="14" s="1"/>
  <c r="M50" i="14"/>
  <c r="L50" i="14" s="1"/>
  <c r="K51" i="14" s="1"/>
  <c r="Q50" i="14"/>
  <c r="U60" i="14" l="1"/>
  <c r="H59" i="14"/>
  <c r="M51" i="14"/>
  <c r="L51" i="14" s="1"/>
  <c r="K52" i="14" s="1"/>
  <c r="Q51" i="14"/>
  <c r="T59" i="14" l="1"/>
  <c r="V59" i="14" s="1"/>
  <c r="G59" i="14"/>
  <c r="N59" i="14" s="1"/>
  <c r="N65" i="14" s="1"/>
  <c r="N66" i="14" s="1"/>
  <c r="N67" i="14" s="1"/>
  <c r="M52" i="14"/>
  <c r="L52" i="14" s="1"/>
  <c r="K53" i="14" s="1"/>
  <c r="Q52" i="14"/>
  <c r="P59" i="14" l="1"/>
  <c r="O59" i="14" s="1"/>
  <c r="W59" i="14"/>
  <c r="U59" i="14"/>
  <c r="M53" i="14"/>
  <c r="L53" i="14" s="1"/>
  <c r="K54" i="14" s="1"/>
  <c r="Q53" i="14"/>
  <c r="M54" i="14" l="1"/>
  <c r="L54" i="14" s="1"/>
  <c r="K55" i="14" s="1"/>
  <c r="Q54" i="14"/>
  <c r="M55" i="14" l="1"/>
  <c r="L55" i="14" s="1"/>
  <c r="K56" i="14" s="1"/>
  <c r="Q55" i="14"/>
  <c r="M56" i="14" l="1"/>
  <c r="L56" i="14" s="1"/>
  <c r="K57" i="14" s="1"/>
  <c r="Q56" i="14"/>
  <c r="M57" i="14" l="1"/>
  <c r="L57" i="14" s="1"/>
  <c r="Q57" i="14"/>
  <c r="K58" i="14"/>
  <c r="M58" i="14" l="1"/>
  <c r="Q58" i="14"/>
  <c r="L59" i="14" l="1"/>
  <c r="Q59" i="14"/>
  <c r="L58" i="14"/>
  <c r="K62" i="14"/>
  <c r="I15" i="14" s="1"/>
  <c r="F9" i="14" s="1"/>
  <c r="F11" i="14" s="1"/>
  <c r="F14" i="14" s="1"/>
  <c r="L60" i="14"/>
  <c r="K60" i="14"/>
  <c r="K61"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<sst xmlns="http://schemas.openxmlformats.org/spreadsheetml/2006/main" count="487" uniqueCount="75">
  <si>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</si>
  <si>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</si>
  <si>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</si>
  <si>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</si>
  <si>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</si>
  <si>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</si>
  <si>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</si>
  <si>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</si>
  <si>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</si>
  <si>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</si>
  <si>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</si>
  <si>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</si>
  <si>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</si>
  <si>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</si>
  <si>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</si>
  <si>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</si>
  <si>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</si>
  <si>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</si>
  <si>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</si>
  <si>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</si>
  <si>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</si>
  <si>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</si>
  <si>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</si>
  <si>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</si>
  <si>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</si>
  <si>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</si>
  <si>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</si>
  <si>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</si>
  <si>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</si>
  <si>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</si>
  <si>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</si>
  <si>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</si>
  <si>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</si>
  <si>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</si>
  <si>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</si>
  <si>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</si>
  <si>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</si>
  <si>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</si>
  <si>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</si>
  <si>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</si>
  <si>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</si>
  <si>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</si>
  <si>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</si>
  <si>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</si>
  <si>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</si>
  <si>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</si>
  <si>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</si>
  <si>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</si>
  <si>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</si>
  <si>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</si>
  <si>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</si>
  <si>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</si>
  <si>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</si>
  <si>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</si>
  <si>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</si>
  <si>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</si>
  <si>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</si>
  <si>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</si>
  <si>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</si>
  <si>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</si>
  <si>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</si>
  <si>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</si>
  <si>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</si>
  <si>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</si>
  <si>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</si>
  <si>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</si>
  <si>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</si>
  <si>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</si>
  <si>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</si>
  <si>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</si>
  <si>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</si>
  <si>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</si>
  <si>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</si>
  <si>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</si>
  <si>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25-11023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</si>
</sst>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165" fontId="0" fillId="17" borderId="16" xfId="0" applyNumberFormat="1" applyFill="1" applyBorder="1"/>
    <xf numFmtId="165" fontId="0" fillId="17" borderId="15" xfId="0" applyNumberFormat="1" applyFill="1" applyBorder="1"/>
    <xf numFmtId="164" fontId="0" fillId="17" borderId="8" xfId="0" applyNumberFormat="1" applyFill="1" applyBorder="1" applyAlignment="1">
      <alignment wrapText="1"/>
    </xf>
    <xf numFmtId="164" fontId="0" fillId="17" borderId="1" xfId="0" applyNumberFormat="1" applyFill="1" applyBorder="1"/>
    <xf numFmtId="164" fontId="0" fillId="17" borderId="8" xfId="0" applyNumberFormat="1" applyFill="1" applyBorder="1"/>
    <xf numFmtId="164" fontId="0" fillId="17" borderId="10" xfId="0" applyNumberFormat="1" applyFill="1" applyBorder="1"/>
    <xf numFmtId="0" fontId="0" fillId="17" borderId="0" xfId="0" applyFill="1"/>
    <xf numFmtId="164" fontId="0" fillId="10" borderId="1" xfId="0" applyNumberFormat="1" applyFill="1" applyBorder="1"/>
    <xf numFmtId="165" fontId="0" fillId="10" borderId="16" xfId="0" applyNumberFormat="1" applyFill="1" applyBorder="1"/>
    <xf numFmtId="165" fontId="0" fillId="10" borderId="15" xfId="0" applyNumberFormat="1" applyFill="1" applyBorder="1"/>
    <xf numFmtId="164" fontId="0" fillId="10" borderId="8" xfId="0" applyNumberFormat="1" applyFill="1" applyBorder="1"/>
    <xf numFmtId="164" fontId="0" fillId="10" borderId="10" xfId="0" applyNumberFormat="1" applyFill="1" applyBorder="1"/>
    <xf numFmtId="0" fontId="0" fillId="10" borderId="0" xfId="0" applyFill="1"/>
    <xf numFmtId="164" fontId="1" fillId="10" borderId="21" xfId="0" applyNumberFormat="1" applyFont="1" applyFill="1" applyBorder="1"/>
    <xf numFmtId="164" fontId="1" fillId="18" borderId="21" xfId="0" applyNumberFormat="1" applyFont="1" applyFill="1" applyBorder="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I22" zoomScale="63" zoomScaleNormal="63" workbookViewId="0">
      <selection activeCell="T29" sqref="T29"/>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94" t="s">
        <v>50</v>
      </c>
      <c r="F2" s="95"/>
    </row>
    <row r="3" spans="2:13" ht="15" thickBot="1" x14ac:dyDescent="0.4">
      <c r="B3" s="28" t="s">
        <v>1</v>
      </c>
      <c r="C3" s="37">
        <v>25</v>
      </c>
      <c r="E3" s="45" t="s">
        <v>24</v>
      </c>
      <c r="F3" s="46">
        <f>C17</f>
        <v>45350</v>
      </c>
    </row>
    <row r="4" spans="2:13" ht="15" thickBot="1" x14ac:dyDescent="0.4">
      <c r="B4"/>
      <c r="C4"/>
      <c r="E4" s="62" t="s">
        <v>25</v>
      </c>
      <c r="F4" s="62">
        <f>'Jan Statement'!F11</f>
        <v>3448.8020514744167</v>
      </c>
    </row>
    <row r="5" spans="2:13" ht="15" thickBot="1" x14ac:dyDescent="0.4">
      <c r="B5" s="29" t="s">
        <v>5</v>
      </c>
      <c r="C5" s="38">
        <v>45261</v>
      </c>
      <c r="E5" s="32" t="s">
        <v>10</v>
      </c>
      <c r="F5" s="33">
        <f>SUM(I11:I12)</f>
        <v>0</v>
      </c>
    </row>
    <row r="6" spans="2:13" x14ac:dyDescent="0.35">
      <c r="B6" s="30" t="s">
        <v>8</v>
      </c>
      <c r="C6" s="39">
        <v>44926</v>
      </c>
      <c r="E6" s="34" t="s">
        <v>26</v>
      </c>
      <c r="F6" s="35">
        <f>I57</f>
        <v>0</v>
      </c>
      <c r="H6" s="96" t="s">
        <v>40</v>
      </c>
      <c r="I6" s="97"/>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50.438880834794773</v>
      </c>
      <c r="L9" s="61"/>
    </row>
    <row r="10" spans="2:13" ht="15" thickBot="1" x14ac:dyDescent="0.4">
      <c r="B10" s="29" t="s">
        <v>12</v>
      </c>
      <c r="C10" s="38">
        <f>'Jan Statement'!C16</f>
        <v>45292</v>
      </c>
      <c r="E10" s="4"/>
      <c r="F10" s="6"/>
      <c r="H10" s="114" t="s">
        <v>41</v>
      </c>
      <c r="I10" s="115"/>
      <c r="J10" s="116"/>
    </row>
    <row r="11" spans="2:13" ht="14.5" customHeight="1" x14ac:dyDescent="0.35">
      <c r="B11" s="30" t="s">
        <v>13</v>
      </c>
      <c r="C11" s="39">
        <f>C10+C12-1</f>
        <v>45322</v>
      </c>
      <c r="E11" s="55" t="s">
        <v>30</v>
      </c>
      <c r="F11" s="56">
        <f>F4+F6+F7+F8+F9-F5</f>
        <v>3499.2409323092115</v>
      </c>
      <c r="H11" s="72" t="s">
        <v>42</v>
      </c>
      <c r="I11" s="73">
        <f>SUM(F57:G57)</f>
        <v>0</v>
      </c>
      <c r="J11" s="92" t="s">
        <v>73</v>
      </c>
      <c r="K11" s="113"/>
    </row>
    <row r="12" spans="2:13" ht="15" thickBot="1" x14ac:dyDescent="0.4">
      <c r="B12" s="30" t="s">
        <v>14</v>
      </c>
      <c r="C12" s="40">
        <v>31</v>
      </c>
      <c r="E12" s="4"/>
      <c r="F12" s="6"/>
      <c r="H12" s="49" t="s">
        <v>43</v>
      </c>
      <c r="I12" s="50">
        <f>H57</f>
        <v>0</v>
      </c>
      <c r="J12" s="93"/>
      <c r="K12" s="113"/>
    </row>
    <row r="13" spans="2:13" ht="15" thickBot="1" x14ac:dyDescent="0.4">
      <c r="B13" s="31" t="s">
        <v>15</v>
      </c>
      <c r="C13" s="41">
        <f>C11+C3</f>
        <v>45347</v>
      </c>
      <c r="E13" s="53" t="s">
        <v>31</v>
      </c>
      <c r="F13" s="91">
        <v>2895.94</v>
      </c>
    </row>
    <row r="14" spans="2:13" x14ac:dyDescent="0.35">
      <c r="E14" s="51" t="s">
        <v>32</v>
      </c>
      <c r="F14" s="52">
        <f>F13-F11</f>
        <v>-603.30093230921148</v>
      </c>
      <c r="H14" s="96" t="s">
        <v>44</v>
      </c>
      <c r="I14" s="97"/>
    </row>
    <row r="15" spans="2:13" ht="29.5" thickBot="1" x14ac:dyDescent="0.4">
      <c r="B15"/>
      <c r="C15" s="3"/>
      <c r="E15" s="53" t="s">
        <v>33</v>
      </c>
      <c r="F15" s="54">
        <v>985.94</v>
      </c>
      <c r="H15" s="7" t="s">
        <v>45</v>
      </c>
      <c r="I15" s="8">
        <f>K59</f>
        <v>17.397043994520548</v>
      </c>
      <c r="M15" s="61"/>
    </row>
    <row r="16" spans="2:13" ht="29.5" thickBot="1" x14ac:dyDescent="0.4">
      <c r="B16" s="29" t="s">
        <v>3</v>
      </c>
      <c r="C16" s="38">
        <f>C10+C12</f>
        <v>45323</v>
      </c>
      <c r="E16" s="51" t="s">
        <v>34</v>
      </c>
      <c r="F16" s="52">
        <f>F15-F7-I16</f>
        <v>952.89816315972587</v>
      </c>
      <c r="H16" s="49" t="s">
        <v>43</v>
      </c>
      <c r="I16" s="50">
        <f>T59</f>
        <v>33.041836840274222</v>
      </c>
    </row>
    <row r="17" spans="2:23" ht="15" thickBot="1" x14ac:dyDescent="0.4">
      <c r="B17" s="30" t="s">
        <v>9</v>
      </c>
      <c r="C17" s="39">
        <f>C16+C18-1</f>
        <v>45350</v>
      </c>
      <c r="E17" s="42" t="s">
        <v>0</v>
      </c>
      <c r="F17" s="39">
        <f>C17</f>
        <v>45350</v>
      </c>
    </row>
    <row r="18" spans="2:23" ht="15" thickBot="1" x14ac:dyDescent="0.4">
      <c r="B18" s="30" t="s">
        <v>4</v>
      </c>
      <c r="C18" s="40">
        <v>28</v>
      </c>
      <c r="E18" s="43" t="s">
        <v>2</v>
      </c>
      <c r="F18" s="44">
        <f>C18</f>
        <v>28</v>
      </c>
      <c r="H18" s="96" t="s">
        <v>51</v>
      </c>
      <c r="I18" s="97"/>
    </row>
    <row r="19" spans="2:23" ht="15" thickBot="1" x14ac:dyDescent="0.4">
      <c r="B19" s="31" t="s">
        <v>16</v>
      </c>
      <c r="C19" s="38">
        <v>45010</v>
      </c>
      <c r="H19" s="7" t="s">
        <v>42</v>
      </c>
      <c r="I19" s="8">
        <f>'Jan Statement'!I19+'Jan Statement'!F6+'Jan Statement'!I7+'Jan Statement'!I15-'Jan Statement'!I11</f>
        <v>2028.4444741534246</v>
      </c>
    </row>
    <row r="20" spans="2:23" ht="15" thickBot="1" x14ac:dyDescent="0.4">
      <c r="H20" s="49" t="s">
        <v>43</v>
      </c>
      <c r="I20" s="50">
        <f>'Jan Statement'!I20+'Jan Statement'!F7+'Jan Statement'!I8+'Jan Statement'!I16-'Jan Statement'!I12</f>
        <v>1420.357577320992</v>
      </c>
      <c r="J20" s="5"/>
    </row>
    <row r="21" spans="2:23" x14ac:dyDescent="0.35">
      <c r="B21" s="96" t="s">
        <v>17</v>
      </c>
      <c r="C21" s="97"/>
      <c r="E21" s="96" t="s">
        <v>22</v>
      </c>
      <c r="F21" s="97"/>
      <c r="I21" s="62">
        <f>SUM(I19:I20)</f>
        <v>3448.8020514744167</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45322</v>
      </c>
      <c r="C29" s="47">
        <f>C16</f>
        <v>45323</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1420.357577320992</v>
      </c>
      <c r="U29" s="15">
        <f>V29</f>
        <v>1.167028047776892</v>
      </c>
      <c r="V29" s="16">
        <f>T29*$F$23</f>
        <v>1.167028047776892</v>
      </c>
      <c r="W29" s="16">
        <f>IF(T29=0,0,$I$20+R29+S29-H29)</f>
        <v>1420.357577320992</v>
      </c>
    </row>
    <row r="30" spans="2:23" x14ac:dyDescent="0.35">
      <c r="B30" s="47">
        <f t="shared" ref="B30:B56" si="0">C30-1</f>
        <v>45323</v>
      </c>
      <c r="C30" s="48">
        <f t="shared" ref="C30:C56" si="1">C29+1</f>
        <v>45324</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1000.62</v>
      </c>
      <c r="L30" s="13">
        <f>M30-M29</f>
        <v>0.61654640547945216</v>
      </c>
      <c r="M30" s="13">
        <f>IF(K30=0,0,M29+K30*$F$22)</f>
        <v>1.232710789041096</v>
      </c>
      <c r="N30" s="13">
        <f>ROUND(N29+I30+J30+O29-G30,2)</f>
        <v>0</v>
      </c>
      <c r="O30" s="13">
        <f>P30-P29</f>
        <v>0</v>
      </c>
      <c r="P30" s="13">
        <f>ROUND(P29+N30*$F$22,2)</f>
        <v>0</v>
      </c>
      <c r="Q30" s="13">
        <f>ROUND(N30+K30-M29-P29,2)</f>
        <v>1000</v>
      </c>
      <c r="R30" s="17"/>
      <c r="S30" s="17"/>
      <c r="T30" s="17">
        <f>T29+U29+R30+S30-H30</f>
        <v>1421.524605368769</v>
      </c>
      <c r="U30" s="17">
        <f t="shared" ref="U30:U56" si="3">V30-V29</f>
        <v>1.1679869291783396</v>
      </c>
      <c r="V30" s="18">
        <f>V29+T30*$F$23</f>
        <v>2.3350149769552315</v>
      </c>
      <c r="W30" s="16">
        <f>IF(T30=0,0,W29+R30+S30-H30)</f>
        <v>1420.357577320992</v>
      </c>
    </row>
    <row r="31" spans="2:23" x14ac:dyDescent="0.35">
      <c r="B31" s="47">
        <f t="shared" si="0"/>
        <v>45324</v>
      </c>
      <c r="C31" s="48">
        <f t="shared" si="1"/>
        <v>45325</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1001.24</v>
      </c>
      <c r="L31" s="13">
        <f t="shared" ref="L31:L56" si="6">M31-M30</f>
        <v>0.61692842739726039</v>
      </c>
      <c r="M31" s="13">
        <f t="shared" ref="M31:M56" si="7">IF(K31=0,0,M30+K31*$F$22)</f>
        <v>1.8496392164383564</v>
      </c>
      <c r="N31" s="13">
        <f t="shared" ref="N31:N56" si="8">ROUND(N30+I31+J31+O30-G31,2)</f>
        <v>0</v>
      </c>
      <c r="O31" s="13">
        <f t="shared" ref="O31:O56" si="9">P31-P30</f>
        <v>0</v>
      </c>
      <c r="P31" s="13">
        <f t="shared" ref="P31:P56" si="10">ROUND(P30+N31*$F$22,2)</f>
        <v>0</v>
      </c>
      <c r="Q31" s="13">
        <f t="shared" ref="Q31:Q56" si="11">ROUND(N31+K31-M30-P30,2)</f>
        <v>1000.01</v>
      </c>
      <c r="R31" s="17"/>
      <c r="S31" s="17"/>
      <c r="T31" s="17">
        <f>T30+U30+R31+S31-H31</f>
        <v>1422.6925922979474</v>
      </c>
      <c r="U31" s="17">
        <f t="shared" si="3"/>
        <v>1.1689465984387795</v>
      </c>
      <c r="V31" s="18">
        <f t="shared" ref="V31:V56" si="12">V30+T31*$F$23</f>
        <v>3.503961575394011</v>
      </c>
      <c r="W31" s="16">
        <f t="shared" ref="W31:W56" si="13">IF(T31=0,0,W30+R31+S31-H31)</f>
        <v>1420.357577320992</v>
      </c>
    </row>
    <row r="32" spans="2:23" x14ac:dyDescent="0.35">
      <c r="B32" s="47">
        <f t="shared" si="0"/>
        <v>45325</v>
      </c>
      <c r="C32" s="48">
        <f t="shared" si="1"/>
        <v>45326</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1001.86</v>
      </c>
      <c r="L32" s="13">
        <f t="shared" si="6"/>
        <v>0.61731044931506851</v>
      </c>
      <c r="M32" s="13">
        <f t="shared" si="7"/>
        <v>2.4669496657534249</v>
      </c>
      <c r="N32" s="13">
        <f t="shared" si="8"/>
        <v>0</v>
      </c>
      <c r="O32" s="13">
        <f t="shared" si="9"/>
        <v>0</v>
      </c>
      <c r="P32" s="13">
        <f t="shared" si="10"/>
        <v>0</v>
      </c>
      <c r="Q32" s="13">
        <f t="shared" si="11"/>
        <v>1000.01</v>
      </c>
      <c r="R32" s="17"/>
      <c r="S32" s="17"/>
      <c r="T32" s="17">
        <f>T31+U31+R32+S32-H32</f>
        <v>1423.8615388963863</v>
      </c>
      <c r="U32" s="17">
        <f t="shared" si="3"/>
        <v>1.1699070562055516</v>
      </c>
      <c r="V32" s="18">
        <f t="shared" si="12"/>
        <v>4.6738686315995626</v>
      </c>
      <c r="W32" s="16">
        <f t="shared" si="13"/>
        <v>1420.357577320992</v>
      </c>
    </row>
    <row r="33" spans="2:23" x14ac:dyDescent="0.35">
      <c r="B33" s="47">
        <f t="shared" si="0"/>
        <v>45326</v>
      </c>
      <c r="C33" s="48">
        <f t="shared" si="1"/>
        <v>45327</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1002.48</v>
      </c>
      <c r="L33" s="13">
        <f t="shared" si="6"/>
        <v>0.61769247123287663</v>
      </c>
      <c r="M33" s="13">
        <f t="shared" si="7"/>
        <v>3.0846421369863015</v>
      </c>
      <c r="N33" s="13">
        <f t="shared" si="8"/>
        <v>0</v>
      </c>
      <c r="O33" s="13">
        <f t="shared" si="9"/>
        <v>0</v>
      </c>
      <c r="P33" s="13">
        <f t="shared" si="10"/>
        <v>0</v>
      </c>
      <c r="Q33" s="13">
        <f t="shared" si="11"/>
        <v>1000.01</v>
      </c>
      <c r="R33" s="17"/>
      <c r="S33" s="17"/>
      <c r="T33" s="17">
        <f t="shared" ref="T33:T56" si="14">T32+U32+R33+S33-H33</f>
        <v>1425.0314459525919</v>
      </c>
      <c r="U33" s="17">
        <f t="shared" si="3"/>
        <v>1.170868303126527</v>
      </c>
      <c r="V33" s="18">
        <f t="shared" si="12"/>
        <v>5.8447369347260896</v>
      </c>
      <c r="W33" s="16">
        <f t="shared" si="13"/>
        <v>1420.357577320992</v>
      </c>
    </row>
    <row r="34" spans="2:23" x14ac:dyDescent="0.35">
      <c r="B34" s="47">
        <f t="shared" si="0"/>
        <v>45327</v>
      </c>
      <c r="C34" s="48">
        <f t="shared" si="1"/>
        <v>45328</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1003.1</v>
      </c>
      <c r="L34" s="13">
        <f t="shared" si="6"/>
        <v>0.61807449315068519</v>
      </c>
      <c r="M34" s="13">
        <f t="shared" si="7"/>
        <v>3.7027166301369867</v>
      </c>
      <c r="N34" s="13">
        <f t="shared" si="8"/>
        <v>0</v>
      </c>
      <c r="O34" s="13">
        <f t="shared" si="9"/>
        <v>0</v>
      </c>
      <c r="P34" s="13">
        <f t="shared" si="10"/>
        <v>0</v>
      </c>
      <c r="Q34" s="13">
        <f t="shared" si="11"/>
        <v>1000.02</v>
      </c>
      <c r="R34" s="17"/>
      <c r="S34" s="17"/>
      <c r="T34" s="17">
        <f t="shared" si="14"/>
        <v>1426.2023142557184</v>
      </c>
      <c r="U34" s="17">
        <f t="shared" si="3"/>
        <v>1.1718303398501098</v>
      </c>
      <c r="V34" s="18">
        <f t="shared" si="12"/>
        <v>7.0165672745761993</v>
      </c>
      <c r="W34" s="16">
        <f t="shared" si="13"/>
        <v>1420.357577320992</v>
      </c>
    </row>
    <row r="35" spans="2:23" x14ac:dyDescent="0.35">
      <c r="B35" s="47">
        <f t="shared" si="0"/>
        <v>45328</v>
      </c>
      <c r="C35" s="48">
        <f t="shared" si="1"/>
        <v>45329</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1003.72</v>
      </c>
      <c r="L35" s="13">
        <f t="shared" si="6"/>
        <v>0.61845651506849286</v>
      </c>
      <c r="M35" s="13">
        <f t="shared" si="7"/>
        <v>4.3211731452054796</v>
      </c>
      <c r="N35" s="13">
        <f t="shared" si="8"/>
        <v>0</v>
      </c>
      <c r="O35" s="13">
        <f t="shared" si="9"/>
        <v>0</v>
      </c>
      <c r="P35" s="13">
        <f t="shared" si="10"/>
        <v>0</v>
      </c>
      <c r="Q35" s="13">
        <f t="shared" si="11"/>
        <v>1000.02</v>
      </c>
      <c r="R35" s="17"/>
      <c r="S35" s="17"/>
      <c r="T35" s="17">
        <f>T34+U34+R35+S35-H35</f>
        <v>1427.3741445955686</v>
      </c>
      <c r="U35" s="17">
        <f t="shared" si="3"/>
        <v>1.1727931670252358</v>
      </c>
      <c r="V35" s="18">
        <f t="shared" si="12"/>
        <v>8.1893604416014352</v>
      </c>
      <c r="W35" s="16">
        <f t="shared" si="13"/>
        <v>1420.357577320992</v>
      </c>
    </row>
    <row r="36" spans="2:23" x14ac:dyDescent="0.35">
      <c r="B36" s="47">
        <f t="shared" si="0"/>
        <v>45329</v>
      </c>
      <c r="C36" s="48">
        <f t="shared" si="1"/>
        <v>45330</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1004.34</v>
      </c>
      <c r="L36" s="13">
        <f t="shared" si="6"/>
        <v>0.61883853698630098</v>
      </c>
      <c r="M36" s="13">
        <f t="shared" si="7"/>
        <v>4.9400116821917806</v>
      </c>
      <c r="N36" s="13">
        <f t="shared" si="8"/>
        <v>0</v>
      </c>
      <c r="O36" s="13">
        <f t="shared" si="9"/>
        <v>0</v>
      </c>
      <c r="P36" s="13">
        <f t="shared" si="10"/>
        <v>0</v>
      </c>
      <c r="Q36" s="13">
        <f t="shared" si="11"/>
        <v>1000.02</v>
      </c>
      <c r="R36" s="17"/>
      <c r="S36" s="17"/>
      <c r="T36" s="17">
        <f t="shared" si="14"/>
        <v>1428.5469377625939</v>
      </c>
      <c r="U36" s="17">
        <f t="shared" si="3"/>
        <v>1.1737567853013751</v>
      </c>
      <c r="V36" s="18">
        <f t="shared" si="12"/>
        <v>9.3631172269028102</v>
      </c>
      <c r="W36" s="16">
        <f t="shared" si="13"/>
        <v>1420.357577320992</v>
      </c>
    </row>
    <row r="37" spans="2:23" x14ac:dyDescent="0.35">
      <c r="B37" s="47">
        <f t="shared" si="0"/>
        <v>45330</v>
      </c>
      <c r="C37" s="48">
        <f t="shared" si="1"/>
        <v>45331</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1004.96</v>
      </c>
      <c r="L37" s="13">
        <f t="shared" si="6"/>
        <v>0.6192205589041091</v>
      </c>
      <c r="M37" s="13">
        <f t="shared" si="7"/>
        <v>5.5592322410958896</v>
      </c>
      <c r="N37" s="13">
        <f t="shared" si="8"/>
        <v>0</v>
      </c>
      <c r="O37" s="13">
        <f t="shared" si="9"/>
        <v>0</v>
      </c>
      <c r="P37" s="13">
        <f t="shared" si="10"/>
        <v>0</v>
      </c>
      <c r="Q37" s="13">
        <f t="shared" si="11"/>
        <v>1000.02</v>
      </c>
      <c r="R37" s="17"/>
      <c r="S37" s="17"/>
      <c r="T37" s="17">
        <f t="shared" si="14"/>
        <v>1429.7206945478952</v>
      </c>
      <c r="U37" s="17">
        <f t="shared" si="3"/>
        <v>1.1747211953285301</v>
      </c>
      <c r="V37" s="18">
        <f t="shared" si="12"/>
        <v>10.53783842223134</v>
      </c>
      <c r="W37" s="16">
        <f t="shared" si="13"/>
        <v>1420.357577320992</v>
      </c>
    </row>
    <row r="38" spans="2:23" x14ac:dyDescent="0.35">
      <c r="B38" s="47">
        <f t="shared" si="0"/>
        <v>45331</v>
      </c>
      <c r="C38" s="48">
        <f t="shared" si="1"/>
        <v>45332</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1005.58</v>
      </c>
      <c r="L38" s="13">
        <f t="shared" si="6"/>
        <v>0.6196025808219181</v>
      </c>
      <c r="M38" s="13">
        <f t="shared" si="7"/>
        <v>6.1788348219178078</v>
      </c>
      <c r="N38" s="13">
        <f t="shared" si="8"/>
        <v>0</v>
      </c>
      <c r="O38" s="13">
        <f t="shared" si="9"/>
        <v>0</v>
      </c>
      <c r="P38" s="13">
        <f t="shared" si="10"/>
        <v>0</v>
      </c>
      <c r="Q38" s="13">
        <f t="shared" si="11"/>
        <v>1000.02</v>
      </c>
      <c r="R38" s="17"/>
      <c r="S38" s="17"/>
      <c r="T38" s="17">
        <f t="shared" si="14"/>
        <v>1430.8954157432238</v>
      </c>
      <c r="U38" s="17">
        <f t="shared" si="3"/>
        <v>1.1756863977572412</v>
      </c>
      <c r="V38" s="18">
        <f t="shared" si="12"/>
        <v>11.713524819988582</v>
      </c>
      <c r="W38" s="16">
        <f t="shared" si="13"/>
        <v>1420.357577320992</v>
      </c>
    </row>
    <row r="39" spans="2:23" x14ac:dyDescent="0.35">
      <c r="B39" s="47">
        <f t="shared" si="0"/>
        <v>45332</v>
      </c>
      <c r="C39" s="48">
        <f t="shared" si="1"/>
        <v>45333</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1006.2</v>
      </c>
      <c r="L39" s="13">
        <f t="shared" si="6"/>
        <v>0.61998460273972622</v>
      </c>
      <c r="M39" s="13">
        <f t="shared" si="7"/>
        <v>6.798819424657534</v>
      </c>
      <c r="N39" s="13">
        <f t="shared" si="8"/>
        <v>0</v>
      </c>
      <c r="O39" s="13">
        <f>P39-P38</f>
        <v>0</v>
      </c>
      <c r="P39" s="13">
        <f t="shared" si="10"/>
        <v>0</v>
      </c>
      <c r="Q39" s="13">
        <f t="shared" si="11"/>
        <v>1000.02</v>
      </c>
      <c r="R39" s="17"/>
      <c r="S39" s="17"/>
      <c r="T39" s="17">
        <f t="shared" si="14"/>
        <v>1432.0711021409811</v>
      </c>
      <c r="U39" s="17">
        <f t="shared" si="3"/>
        <v>1.1766523932385766</v>
      </c>
      <c r="V39" s="18">
        <f t="shared" si="12"/>
        <v>12.890177213227158</v>
      </c>
      <c r="W39" s="16">
        <f t="shared" si="13"/>
        <v>1420.357577320992</v>
      </c>
    </row>
    <row r="40" spans="2:23" x14ac:dyDescent="0.35">
      <c r="B40" s="47">
        <f t="shared" si="0"/>
        <v>45333</v>
      </c>
      <c r="C40" s="48">
        <f t="shared" si="1"/>
        <v>45334</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1006.82</v>
      </c>
      <c r="L40" s="13">
        <f t="shared" si="6"/>
        <v>0.62036662465753434</v>
      </c>
      <c r="M40" s="13">
        <f t="shared" si="7"/>
        <v>7.4191860493150683</v>
      </c>
      <c r="N40" s="13">
        <f t="shared" si="8"/>
        <v>0</v>
      </c>
      <c r="O40" s="13">
        <f t="shared" si="9"/>
        <v>0</v>
      </c>
      <c r="P40" s="13">
        <f t="shared" si="10"/>
        <v>0</v>
      </c>
      <c r="Q40" s="13">
        <f t="shared" si="11"/>
        <v>1000.02</v>
      </c>
      <c r="R40" s="17"/>
      <c r="S40" s="17"/>
      <c r="T40" s="17">
        <f t="shared" si="14"/>
        <v>1433.2477545342197</v>
      </c>
      <c r="U40" s="17">
        <f t="shared" si="3"/>
        <v>1.1776191824241433</v>
      </c>
      <c r="V40" s="18">
        <f t="shared" si="12"/>
        <v>14.067796395651301</v>
      </c>
      <c r="W40" s="16">
        <f t="shared" si="13"/>
        <v>1420.357577320992</v>
      </c>
    </row>
    <row r="41" spans="2:23" x14ac:dyDescent="0.35">
      <c r="B41" s="47">
        <f t="shared" si="0"/>
        <v>45334</v>
      </c>
      <c r="C41" s="48">
        <f t="shared" si="1"/>
        <v>45335</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1007.44</v>
      </c>
      <c r="L41" s="13">
        <f t="shared" si="6"/>
        <v>0.62074864657534246</v>
      </c>
      <c r="M41" s="13">
        <f t="shared" si="7"/>
        <v>8.0399346958904108</v>
      </c>
      <c r="N41" s="13">
        <f t="shared" si="8"/>
        <v>0</v>
      </c>
      <c r="O41" s="13">
        <f t="shared" si="9"/>
        <v>0</v>
      </c>
      <c r="P41" s="13">
        <f t="shared" si="10"/>
        <v>0</v>
      </c>
      <c r="Q41" s="13">
        <f t="shared" si="11"/>
        <v>1000.02</v>
      </c>
      <c r="R41" s="17"/>
      <c r="S41" s="17"/>
      <c r="T41" s="17">
        <f t="shared" si="14"/>
        <v>1434.4253737166439</v>
      </c>
      <c r="U41" s="17">
        <f t="shared" si="3"/>
        <v>1.1785867659660862</v>
      </c>
      <c r="V41" s="18">
        <f t="shared" si="12"/>
        <v>15.246383161617388</v>
      </c>
      <c r="W41" s="16">
        <f t="shared" si="13"/>
        <v>1420.357577320992</v>
      </c>
    </row>
    <row r="42" spans="2:23" x14ac:dyDescent="0.35">
      <c r="B42" s="47">
        <f>C42-2</f>
        <v>45334</v>
      </c>
      <c r="C42" s="48">
        <f t="shared" si="1"/>
        <v>45336</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1008.06</v>
      </c>
      <c r="L42" s="13">
        <f t="shared" si="6"/>
        <v>0.62113066849314968</v>
      </c>
      <c r="M42" s="13">
        <f t="shared" si="7"/>
        <v>8.6610653643835604</v>
      </c>
      <c r="N42" s="13">
        <f t="shared" si="8"/>
        <v>0</v>
      </c>
      <c r="O42" s="13">
        <f t="shared" si="9"/>
        <v>0</v>
      </c>
      <c r="P42" s="13">
        <f t="shared" si="10"/>
        <v>0</v>
      </c>
      <c r="Q42" s="13">
        <f t="shared" si="11"/>
        <v>1000.02</v>
      </c>
      <c r="R42" s="17"/>
      <c r="S42" s="17"/>
      <c r="T42" s="17">
        <f>T41+U41+R42+S42-H42</f>
        <v>1435.6039604826099</v>
      </c>
      <c r="U42" s="17">
        <f>V42-V41</f>
        <v>1.1795551445170815</v>
      </c>
      <c r="V42" s="18">
        <f t="shared" si="12"/>
        <v>16.425938306134469</v>
      </c>
      <c r="W42" s="16">
        <f t="shared" si="13"/>
        <v>1420.357577320992</v>
      </c>
    </row>
    <row r="43" spans="2:23" s="90" customFormat="1" x14ac:dyDescent="0.35">
      <c r="B43" s="84">
        <f t="shared" si="0"/>
        <v>45336</v>
      </c>
      <c r="C43" s="85">
        <f t="shared" si="1"/>
        <v>45337</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1008.68</v>
      </c>
      <c r="L43" s="87">
        <f t="shared" si="6"/>
        <v>0.62151269041095958</v>
      </c>
      <c r="M43" s="87">
        <f t="shared" si="7"/>
        <v>9.28257805479452</v>
      </c>
      <c r="N43" s="87">
        <f t="shared" si="8"/>
        <v>0</v>
      </c>
      <c r="O43" s="87">
        <f t="shared" si="9"/>
        <v>0</v>
      </c>
      <c r="P43" s="87">
        <f t="shared" si="10"/>
        <v>0</v>
      </c>
      <c r="Q43" s="87">
        <f t="shared" si="11"/>
        <v>1000.02</v>
      </c>
      <c r="R43" s="87"/>
      <c r="S43" s="87"/>
      <c r="T43" s="87">
        <f>T42+U42+R43+S43-H43</f>
        <v>1436.7835156271269</v>
      </c>
      <c r="U43" s="87">
        <f t="shared" si="3"/>
        <v>1.1805243187303418</v>
      </c>
      <c r="V43" s="88">
        <f t="shared" si="12"/>
        <v>17.606462624864811</v>
      </c>
      <c r="W43" s="89">
        <f t="shared" si="13"/>
        <v>1420.357577320992</v>
      </c>
    </row>
    <row r="44" spans="2:23" x14ac:dyDescent="0.35">
      <c r="B44" s="47">
        <f t="shared" si="0"/>
        <v>45337</v>
      </c>
      <c r="C44" s="48">
        <f t="shared" si="1"/>
        <v>45338</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1009.3</v>
      </c>
      <c r="L44" s="13">
        <f t="shared" si="6"/>
        <v>0.6218947123287677</v>
      </c>
      <c r="M44" s="13">
        <f t="shared" si="7"/>
        <v>9.9044727671232877</v>
      </c>
      <c r="N44" s="13">
        <f t="shared" si="8"/>
        <v>0</v>
      </c>
      <c r="O44" s="13">
        <f t="shared" si="9"/>
        <v>0</v>
      </c>
      <c r="P44" s="13">
        <f t="shared" si="10"/>
        <v>0</v>
      </c>
      <c r="Q44" s="13">
        <f t="shared" si="11"/>
        <v>1000.02</v>
      </c>
      <c r="R44" s="17"/>
      <c r="S44" s="17"/>
      <c r="T44" s="17">
        <f t="shared" si="14"/>
        <v>1437.9640399458572</v>
      </c>
      <c r="U44" s="17">
        <f t="shared" si="3"/>
        <v>1.181494289259625</v>
      </c>
      <c r="V44" s="18">
        <f t="shared" si="12"/>
        <v>18.787956914124436</v>
      </c>
      <c r="W44" s="16">
        <f t="shared" si="13"/>
        <v>1420.357577320992</v>
      </c>
    </row>
    <row r="45" spans="2:23" x14ac:dyDescent="0.35">
      <c r="B45" s="47">
        <f t="shared" si="0"/>
        <v>45338</v>
      </c>
      <c r="C45" s="48">
        <f t="shared" si="1"/>
        <v>45339</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1009.92</v>
      </c>
      <c r="L45" s="13">
        <f t="shared" si="6"/>
        <v>0.62227673424657581</v>
      </c>
      <c r="M45" s="13">
        <f t="shared" si="7"/>
        <v>10.526749501369864</v>
      </c>
      <c r="N45" s="13">
        <f t="shared" si="8"/>
        <v>0</v>
      </c>
      <c r="O45" s="13">
        <f t="shared" si="9"/>
        <v>0</v>
      </c>
      <c r="P45" s="13">
        <f t="shared" si="10"/>
        <v>0</v>
      </c>
      <c r="Q45" s="13">
        <f t="shared" si="11"/>
        <v>1000.02</v>
      </c>
      <c r="R45" s="17"/>
      <c r="S45" s="17"/>
      <c r="T45" s="17">
        <f t="shared" si="14"/>
        <v>1439.1455342351169</v>
      </c>
      <c r="U45" s="17">
        <f t="shared" si="3"/>
        <v>1.1824650567592094</v>
      </c>
      <c r="V45" s="18">
        <f t="shared" si="12"/>
        <v>19.970421970883645</v>
      </c>
      <c r="W45" s="16">
        <f>IF(T45=0,0,W44+R45+S45-H45)</f>
        <v>1420.357577320992</v>
      </c>
    </row>
    <row r="46" spans="2:23" x14ac:dyDescent="0.35">
      <c r="B46" s="47">
        <f t="shared" si="0"/>
        <v>45339</v>
      </c>
      <c r="C46" s="48">
        <f t="shared" si="1"/>
        <v>45340</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1010.54</v>
      </c>
      <c r="L46" s="13">
        <f t="shared" si="6"/>
        <v>0.62265875616438393</v>
      </c>
      <c r="M46" s="13">
        <f t="shared" si="7"/>
        <v>11.149408257534247</v>
      </c>
      <c r="N46" s="13">
        <f t="shared" si="8"/>
        <v>0</v>
      </c>
      <c r="O46" s="13">
        <f t="shared" si="9"/>
        <v>0</v>
      </c>
      <c r="P46" s="13">
        <f t="shared" si="10"/>
        <v>0</v>
      </c>
      <c r="Q46" s="13">
        <f t="shared" si="11"/>
        <v>1000.01</v>
      </c>
      <c r="R46" s="17"/>
      <c r="S46" s="17"/>
      <c r="T46" s="17">
        <f t="shared" si="14"/>
        <v>1440.327999291876</v>
      </c>
      <c r="U46" s="17">
        <f t="shared" si="3"/>
        <v>1.1834366218839278</v>
      </c>
      <c r="V46" s="18">
        <f t="shared" si="12"/>
        <v>21.153858592767573</v>
      </c>
      <c r="W46" s="16">
        <f>IF(T46=0,0,W45+R46+S46-H46)</f>
        <v>1420.357577320992</v>
      </c>
    </row>
    <row r="47" spans="2:23" s="90" customFormat="1" x14ac:dyDescent="0.35">
      <c r="B47" s="84">
        <f t="shared" si="0"/>
        <v>45340</v>
      </c>
      <c r="C47" s="85">
        <f t="shared" si="1"/>
        <v>45341</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1011.16</v>
      </c>
      <c r="L47" s="87">
        <f t="shared" si="6"/>
        <v>0.62304077808219205</v>
      </c>
      <c r="M47" s="87">
        <f t="shared" si="7"/>
        <v>11.77244903561644</v>
      </c>
      <c r="N47" s="87">
        <f t="shared" si="8"/>
        <v>0</v>
      </c>
      <c r="O47" s="87">
        <f t="shared" si="9"/>
        <v>0</v>
      </c>
      <c r="P47" s="87">
        <f t="shared" si="10"/>
        <v>0</v>
      </c>
      <c r="Q47" s="87">
        <f t="shared" si="11"/>
        <v>1000.01</v>
      </c>
      <c r="R47" s="87"/>
      <c r="S47" s="87"/>
      <c r="T47" s="87">
        <f t="shared" si="14"/>
        <v>1441.5114359137599</v>
      </c>
      <c r="U47" s="87">
        <f t="shared" si="3"/>
        <v>1.1844089852891422</v>
      </c>
      <c r="V47" s="88">
        <f t="shared" si="12"/>
        <v>22.338267578056715</v>
      </c>
      <c r="W47" s="89">
        <f t="shared" si="13"/>
        <v>1420.357577320992</v>
      </c>
    </row>
    <row r="48" spans="2:23" x14ac:dyDescent="0.35">
      <c r="B48" s="47">
        <f t="shared" si="0"/>
        <v>45341</v>
      </c>
      <c r="C48" s="48">
        <f t="shared" si="1"/>
        <v>45342</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1011.78</v>
      </c>
      <c r="L48" s="13">
        <f t="shared" si="6"/>
        <v>0.62342280000000017</v>
      </c>
      <c r="M48" s="13">
        <f t="shared" si="7"/>
        <v>12.39587183561644</v>
      </c>
      <c r="N48" s="13">
        <f t="shared" si="8"/>
        <v>0</v>
      </c>
      <c r="O48" s="13">
        <f t="shared" si="9"/>
        <v>0</v>
      </c>
      <c r="P48" s="13">
        <f t="shared" si="10"/>
        <v>0</v>
      </c>
      <c r="Q48" s="13">
        <f t="shared" si="11"/>
        <v>1000.01</v>
      </c>
      <c r="R48" s="17"/>
      <c r="S48" s="17"/>
      <c r="T48" s="17">
        <f t="shared" si="14"/>
        <v>1442.695844899049</v>
      </c>
      <c r="U48" s="17">
        <f t="shared" si="3"/>
        <v>1.1853821476307544</v>
      </c>
      <c r="V48" s="18">
        <f t="shared" si="12"/>
        <v>23.52364972568747</v>
      </c>
      <c r="W48" s="16">
        <f t="shared" si="13"/>
        <v>1420.357577320992</v>
      </c>
    </row>
    <row r="49" spans="2:23" x14ac:dyDescent="0.35">
      <c r="B49" s="47">
        <f t="shared" si="0"/>
        <v>45342</v>
      </c>
      <c r="C49" s="48">
        <f t="shared" si="1"/>
        <v>45343</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1012.4</v>
      </c>
      <c r="L49" s="13">
        <f t="shared" si="6"/>
        <v>0.62380482191780828</v>
      </c>
      <c r="M49" s="13">
        <f t="shared" si="7"/>
        <v>13.019676657534248</v>
      </c>
      <c r="N49" s="13">
        <f t="shared" si="8"/>
        <v>0</v>
      </c>
      <c r="O49" s="13">
        <f t="shared" si="9"/>
        <v>0</v>
      </c>
      <c r="P49" s="13">
        <f t="shared" si="10"/>
        <v>0</v>
      </c>
      <c r="Q49" s="13">
        <f t="shared" si="11"/>
        <v>1000</v>
      </c>
      <c r="R49" s="17"/>
      <c r="S49" s="17"/>
      <c r="T49" s="17">
        <f t="shared" si="14"/>
        <v>1443.8812270466797</v>
      </c>
      <c r="U49" s="17">
        <f t="shared" si="3"/>
        <v>1.1863561095652031</v>
      </c>
      <c r="V49" s="18">
        <f t="shared" si="12"/>
        <v>24.710005835252673</v>
      </c>
      <c r="W49" s="16">
        <f t="shared" si="13"/>
        <v>1420.357577320992</v>
      </c>
    </row>
    <row r="50" spans="2:23" x14ac:dyDescent="0.35">
      <c r="B50" s="47">
        <f t="shared" si="0"/>
        <v>45343</v>
      </c>
      <c r="C50" s="48">
        <f t="shared" si="1"/>
        <v>45344</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1013.02</v>
      </c>
      <c r="L50" s="13">
        <f t="shared" si="6"/>
        <v>0.6241868438356164</v>
      </c>
      <c r="M50" s="13">
        <f t="shared" si="7"/>
        <v>13.643863501369864</v>
      </c>
      <c r="N50" s="13">
        <f t="shared" si="8"/>
        <v>0</v>
      </c>
      <c r="O50" s="13">
        <f t="shared" si="9"/>
        <v>0</v>
      </c>
      <c r="P50" s="13">
        <f t="shared" si="10"/>
        <v>0</v>
      </c>
      <c r="Q50" s="13">
        <f t="shared" si="11"/>
        <v>1000</v>
      </c>
      <c r="R50" s="17"/>
      <c r="S50" s="17"/>
      <c r="T50" s="17">
        <f t="shared" si="14"/>
        <v>1445.0675831562448</v>
      </c>
      <c r="U50" s="17">
        <f t="shared" si="3"/>
        <v>1.1873308717494737</v>
      </c>
      <c r="V50" s="18">
        <f t="shared" si="12"/>
        <v>25.897336707002147</v>
      </c>
      <c r="W50" s="16">
        <f t="shared" si="13"/>
        <v>1420.357577320992</v>
      </c>
    </row>
    <row r="51" spans="2:23" x14ac:dyDescent="0.35">
      <c r="B51" s="47">
        <f t="shared" si="0"/>
        <v>45344</v>
      </c>
      <c r="C51" s="48">
        <f t="shared" si="1"/>
        <v>45345</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1013.64</v>
      </c>
      <c r="L51" s="13">
        <f t="shared" si="6"/>
        <v>0.62456886575342452</v>
      </c>
      <c r="M51" s="13">
        <f t="shared" si="7"/>
        <v>14.268432367123289</v>
      </c>
      <c r="N51" s="13">
        <f t="shared" si="8"/>
        <v>0</v>
      </c>
      <c r="O51" s="13">
        <f t="shared" si="9"/>
        <v>0</v>
      </c>
      <c r="P51" s="13">
        <f t="shared" si="10"/>
        <v>0</v>
      </c>
      <c r="Q51" s="13">
        <f t="shared" si="11"/>
        <v>1000</v>
      </c>
      <c r="R51" s="17"/>
      <c r="S51" s="17"/>
      <c r="T51" s="17">
        <f t="shared" si="14"/>
        <v>1446.2549140279943</v>
      </c>
      <c r="U51" s="17">
        <f t="shared" si="3"/>
        <v>1.1883064348410848</v>
      </c>
      <c r="V51" s="18">
        <f t="shared" si="12"/>
        <v>27.085643141843232</v>
      </c>
      <c r="W51" s="16">
        <f t="shared" si="13"/>
        <v>1420.357577320992</v>
      </c>
    </row>
    <row r="52" spans="2:23" x14ac:dyDescent="0.35">
      <c r="B52" s="47">
        <f t="shared" si="0"/>
        <v>45345</v>
      </c>
      <c r="C52" s="48">
        <f t="shared" si="1"/>
        <v>45346</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1014.26</v>
      </c>
      <c r="L52" s="13">
        <f t="shared" si="6"/>
        <v>0.62495088767123264</v>
      </c>
      <c r="M52" s="13">
        <f t="shared" si="7"/>
        <v>14.893383254794522</v>
      </c>
      <c r="N52" s="13">
        <f t="shared" si="8"/>
        <v>0</v>
      </c>
      <c r="O52" s="13">
        <f t="shared" si="9"/>
        <v>0</v>
      </c>
      <c r="P52" s="13">
        <f t="shared" si="10"/>
        <v>0</v>
      </c>
      <c r="Q52" s="13">
        <f t="shared" si="11"/>
        <v>999.99</v>
      </c>
      <c r="R52" s="17"/>
      <c r="S52" s="17"/>
      <c r="T52" s="17">
        <f t="shared" si="14"/>
        <v>1447.4432204628354</v>
      </c>
      <c r="U52" s="17">
        <f t="shared" si="3"/>
        <v>1.1892827994980948</v>
      </c>
      <c r="V52" s="18">
        <f t="shared" si="12"/>
        <v>28.274925941341326</v>
      </c>
      <c r="W52" s="16">
        <f t="shared" si="13"/>
        <v>1420.357577320992</v>
      </c>
    </row>
    <row r="53" spans="2:23" x14ac:dyDescent="0.35">
      <c r="B53" s="47">
        <f t="shared" si="0"/>
        <v>45346</v>
      </c>
      <c r="C53" s="48">
        <f t="shared" si="1"/>
        <v>45347</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1014.88</v>
      </c>
      <c r="L53" s="13">
        <f t="shared" si="6"/>
        <v>0.62533290958904075</v>
      </c>
      <c r="M53" s="13">
        <f t="shared" si="7"/>
        <v>15.518716164383562</v>
      </c>
      <c r="N53" s="13">
        <f t="shared" si="8"/>
        <v>0</v>
      </c>
      <c r="O53" s="13">
        <f t="shared" si="9"/>
        <v>0</v>
      </c>
      <c r="P53" s="13">
        <f t="shared" si="10"/>
        <v>0</v>
      </c>
      <c r="Q53" s="13">
        <f t="shared" si="11"/>
        <v>999.99</v>
      </c>
      <c r="R53" s="17"/>
      <c r="S53" s="17"/>
      <c r="T53" s="17">
        <f t="shared" si="14"/>
        <v>1448.6325032623336</v>
      </c>
      <c r="U53" s="17">
        <f t="shared" si="3"/>
        <v>1.1902599663791058</v>
      </c>
      <c r="V53" s="18">
        <f t="shared" si="12"/>
        <v>29.465185907720432</v>
      </c>
      <c r="W53" s="16">
        <f t="shared" si="13"/>
        <v>1420.357577320992</v>
      </c>
    </row>
    <row r="54" spans="2:23" x14ac:dyDescent="0.35">
      <c r="B54" s="47">
        <f t="shared" si="0"/>
        <v>45347</v>
      </c>
      <c r="C54" s="48">
        <f t="shared" si="1"/>
        <v>45348</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1015.51</v>
      </c>
      <c r="L54" s="13">
        <f t="shared" si="6"/>
        <v>0.62572109315068403</v>
      </c>
      <c r="M54" s="13">
        <f t="shared" si="7"/>
        <v>16.144437257534246</v>
      </c>
      <c r="N54" s="13">
        <f t="shared" si="8"/>
        <v>0</v>
      </c>
      <c r="O54" s="13">
        <f t="shared" si="9"/>
        <v>0</v>
      </c>
      <c r="P54" s="13">
        <f t="shared" si="10"/>
        <v>0</v>
      </c>
      <c r="Q54" s="13">
        <f t="shared" si="11"/>
        <v>999.99</v>
      </c>
      <c r="R54" s="17"/>
      <c r="S54" s="17"/>
      <c r="T54" s="17">
        <f t="shared" si="14"/>
        <v>1449.8227632287126</v>
      </c>
      <c r="U54" s="17">
        <f t="shared" si="3"/>
        <v>1.1912379361432635</v>
      </c>
      <c r="V54" s="18">
        <f t="shared" si="12"/>
        <v>30.656423843863696</v>
      </c>
      <c r="W54" s="16">
        <f t="shared" si="13"/>
        <v>1420.357577320992</v>
      </c>
    </row>
    <row r="55" spans="2:23" x14ac:dyDescent="0.35">
      <c r="B55" s="47">
        <f t="shared" si="0"/>
        <v>45348</v>
      </c>
      <c r="C55" s="48">
        <f t="shared" si="1"/>
        <v>45349</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1016.14</v>
      </c>
      <c r="L55" s="13">
        <f t="shared" si="6"/>
        <v>0.6261092767123273</v>
      </c>
      <c r="M55" s="13">
        <f t="shared" si="7"/>
        <v>16.770546534246574</v>
      </c>
      <c r="N55" s="13">
        <f t="shared" si="8"/>
        <v>0</v>
      </c>
      <c r="O55" s="13">
        <f t="shared" si="9"/>
        <v>0</v>
      </c>
      <c r="P55" s="13">
        <f t="shared" si="10"/>
        <v>0</v>
      </c>
      <c r="Q55" s="13">
        <f t="shared" si="11"/>
        <v>1000</v>
      </c>
      <c r="R55" s="17"/>
      <c r="S55" s="17"/>
      <c r="T55" s="17">
        <f t="shared" si="14"/>
        <v>1451.0140011648559</v>
      </c>
      <c r="U55" s="17">
        <f t="shared" si="3"/>
        <v>1.1922167094502463</v>
      </c>
      <c r="V55" s="18">
        <f t="shared" si="12"/>
        <v>31.848640553313942</v>
      </c>
      <c r="W55" s="16">
        <f t="shared" si="13"/>
        <v>1420.357577320992</v>
      </c>
    </row>
    <row r="56" spans="2:23" ht="15" thickBot="1" x14ac:dyDescent="0.4">
      <c r="B56" s="47">
        <f t="shared" si="0"/>
        <v>45349</v>
      </c>
      <c r="C56" s="48">
        <f t="shared" si="1"/>
        <v>45350</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1016.77</v>
      </c>
      <c r="L56" s="13">
        <f t="shared" si="6"/>
        <v>0.62649746027397413</v>
      </c>
      <c r="M56" s="13">
        <f t="shared" si="7"/>
        <v>17.397043994520548</v>
      </c>
      <c r="N56" s="13">
        <f t="shared" si="8"/>
        <v>0</v>
      </c>
      <c r="O56" s="13">
        <f t="shared" si="9"/>
        <v>0</v>
      </c>
      <c r="P56" s="13">
        <f t="shared" si="10"/>
        <v>0</v>
      </c>
      <c r="Q56" s="13">
        <f t="shared" si="11"/>
        <v>1000</v>
      </c>
      <c r="R56" s="17"/>
      <c r="S56" s="17"/>
      <c r="T56" s="17">
        <f t="shared" si="14"/>
        <v>1452.2062178743063</v>
      </c>
      <c r="U56" s="17">
        <f t="shared" si="3"/>
        <v>1.193196286960287</v>
      </c>
      <c r="V56" s="18">
        <f t="shared" si="12"/>
        <v>33.041836840274229</v>
      </c>
      <c r="W56" s="16">
        <f t="shared" si="13"/>
        <v>1420.357577320992</v>
      </c>
    </row>
    <row r="57" spans="2:23" ht="15" thickBot="1" x14ac:dyDescent="0.4">
      <c r="B57" s="111" t="s">
        <v>49</v>
      </c>
      <c r="C57" s="112"/>
      <c r="D57" s="67">
        <f t="shared" ref="D57:L57" si="15">SUM(D29:D56)</f>
        <v>0</v>
      </c>
      <c r="E57" s="21">
        <f t="shared" si="15"/>
        <v>0</v>
      </c>
      <c r="F57" s="21">
        <f t="shared" si="15"/>
        <v>0</v>
      </c>
      <c r="G57" s="21">
        <f t="shared" si="15"/>
        <v>0</v>
      </c>
      <c r="H57" s="22">
        <f t="shared" si="15"/>
        <v>0</v>
      </c>
      <c r="I57" s="20">
        <f t="shared" si="15"/>
        <v>0</v>
      </c>
      <c r="J57" s="21">
        <f t="shared" si="15"/>
        <v>0</v>
      </c>
      <c r="K57" s="21">
        <f t="shared" si="15"/>
        <v>28234.42</v>
      </c>
      <c r="L57" s="74">
        <f t="shared" si="15"/>
        <v>17.397043994520548</v>
      </c>
      <c r="M57" s="20"/>
      <c r="N57" s="21">
        <f>SUM(N29:N56)</f>
        <v>0</v>
      </c>
      <c r="O57" s="21">
        <f>SUM(O29:O56)</f>
        <v>0</v>
      </c>
      <c r="P57" s="20"/>
      <c r="Q57" s="20"/>
      <c r="R57" s="22">
        <f>SUM(R29:R56)</f>
        <v>0</v>
      </c>
      <c r="S57" s="22">
        <f>SUM(S29:S56)</f>
        <v>0</v>
      </c>
      <c r="T57" s="22">
        <f>SUM(T29:T56)</f>
        <v>40214.306257752884</v>
      </c>
      <c r="U57" s="22">
        <f>SUM(U29:U56)</f>
        <v>33.041836840274229</v>
      </c>
      <c r="V57" s="23"/>
      <c r="W57" s="23"/>
    </row>
    <row r="58" spans="2:23" ht="15" thickBot="1" x14ac:dyDescent="0.4">
      <c r="G58" s="61"/>
      <c r="J58" s="82" t="s">
        <v>71</v>
      </c>
      <c r="K58" s="82">
        <f>K57/$C$18</f>
        <v>1008.3721428571428</v>
      </c>
      <c r="M58" s="82" t="s">
        <v>69</v>
      </c>
      <c r="N58" s="82">
        <f>N57/$C$18</f>
        <v>0</v>
      </c>
      <c r="O58" s="61"/>
      <c r="S58" s="82" t="s">
        <v>65</v>
      </c>
      <c r="T58" s="82">
        <f>T57/$C$18</f>
        <v>1436.2252234911743</v>
      </c>
    </row>
    <row r="59" spans="2:23" ht="15" thickBot="1" x14ac:dyDescent="0.4">
      <c r="H59" s="2"/>
      <c r="J59" s="82" t="s">
        <v>72</v>
      </c>
      <c r="K59" s="82">
        <f>M56</f>
        <v>17.397043994520548</v>
      </c>
      <c r="M59" s="82" t="s">
        <v>70</v>
      </c>
      <c r="N59" s="82">
        <f>IF(ROUND(K56,2)=0,0,N58*$F$22*$C$18)</f>
        <v>0</v>
      </c>
      <c r="S59" s="82" t="s">
        <v>64</v>
      </c>
      <c r="T59" s="82">
        <f>T58*$F$23*$C$18</f>
        <v>33.041836840274222</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F50" zoomScale="66" zoomScaleNormal="66" workbookViewId="0">
      <selection activeCell="K30" sqref="K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45381</v>
      </c>
    </row>
    <row r="4" spans="2:12" ht="15" thickBot="1" x14ac:dyDescent="0.4">
      <c r="B4"/>
      <c r="C4"/>
      <c r="E4" s="62" t="s">
        <v>25</v>
      </c>
      <c r="F4" s="62">
        <f>'Feb Statement'!F11</f>
        <v>3499.2409323092115</v>
      </c>
    </row>
    <row r="5" spans="2:12" ht="15" thickBot="1" x14ac:dyDescent="0.4">
      <c r="B5" s="29" t="s">
        <v>5</v>
      </c>
      <c r="C5" s="38">
        <v>44927</v>
      </c>
      <c r="E5" s="32" t="s">
        <v>10</v>
      </c>
      <c r="F5" s="33">
        <f>SUM(I11:I12)</f>
        <v>0</v>
      </c>
    </row>
    <row r="6" spans="2:12" x14ac:dyDescent="0.35">
      <c r="B6" s="30" t="s">
        <v>8</v>
      </c>
      <c r="C6" s="39">
        <v>44957</v>
      </c>
      <c r="E6" s="34" t="s">
        <v>26</v>
      </c>
      <c r="F6" s="35">
        <f>I60</f>
        <v>0</v>
      </c>
      <c r="H6" s="96" t="s">
        <v>40</v>
      </c>
      <c r="I6" s="97"/>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57.722037511917883</v>
      </c>
      <c r="L9" s="61"/>
    </row>
    <row r="10" spans="2:12" ht="15" thickBot="1" x14ac:dyDescent="0.4">
      <c r="B10" s="29" t="s">
        <v>12</v>
      </c>
      <c r="C10" s="38">
        <f>'Feb Statement'!C16</f>
        <v>45323</v>
      </c>
      <c r="E10" s="4"/>
      <c r="F10" s="6"/>
      <c r="H10" s="114" t="s">
        <v>41</v>
      </c>
      <c r="I10" s="115"/>
      <c r="J10" s="116"/>
    </row>
    <row r="11" spans="2:12" ht="14.5" customHeight="1" x14ac:dyDescent="0.35">
      <c r="B11" s="30" t="s">
        <v>13</v>
      </c>
      <c r="C11" s="39">
        <f>C10+C12-1</f>
        <v>45350</v>
      </c>
      <c r="E11" s="55" t="s">
        <v>30</v>
      </c>
      <c r="F11" s="56">
        <f>F4+F6+F7+F8+F9-F5</f>
        <v>3556.9629698211293</v>
      </c>
      <c r="H11" s="72" t="s">
        <v>42</v>
      </c>
      <c r="I11" s="73">
        <f>SUM(F60:G60)</f>
        <v>0</v>
      </c>
      <c r="J11" s="92" t="s">
        <v>73</v>
      </c>
      <c r="K11" s="113"/>
    </row>
    <row r="12" spans="2:12" ht="15" thickBot="1" x14ac:dyDescent="0.4">
      <c r="B12" s="30" t="s">
        <v>14</v>
      </c>
      <c r="C12" s="40">
        <v>28</v>
      </c>
      <c r="E12" s="4"/>
      <c r="F12" s="6"/>
      <c r="H12" s="49" t="s">
        <v>43</v>
      </c>
      <c r="I12" s="50">
        <f>H60</f>
        <v>0</v>
      </c>
      <c r="J12" s="93"/>
      <c r="K12" s="113"/>
    </row>
    <row r="13" spans="2:12" ht="15" thickBot="1" x14ac:dyDescent="0.4">
      <c r="B13" s="31" t="s">
        <v>15</v>
      </c>
      <c r="C13" s="41">
        <v>45010</v>
      </c>
      <c r="E13" s="53" t="s">
        <v>31</v>
      </c>
      <c r="F13" s="54">
        <v>0</v>
      </c>
    </row>
    <row r="14" spans="2:12" x14ac:dyDescent="0.35">
      <c r="E14" s="51" t="s">
        <v>32</v>
      </c>
      <c r="F14" s="52">
        <f>F13-F11</f>
        <v>-3556.9629698211293</v>
      </c>
      <c r="H14" s="96" t="s">
        <v>44</v>
      </c>
      <c r="I14" s="97"/>
    </row>
    <row r="15" spans="2:12" ht="29.5" thickBot="1" x14ac:dyDescent="0.4">
      <c r="B15"/>
      <c r="C15" s="3"/>
      <c r="E15" s="53" t="s">
        <v>33</v>
      </c>
      <c r="F15" s="54"/>
      <c r="H15" s="7" t="s">
        <v>45</v>
      </c>
      <c r="I15" s="8">
        <f>K62</f>
        <v>20.242663643835613</v>
      </c>
    </row>
    <row r="16" spans="2:12" ht="29.5" thickBot="1" x14ac:dyDescent="0.4">
      <c r="B16" s="29" t="s">
        <v>3</v>
      </c>
      <c r="C16" s="38">
        <f>C10+C12</f>
        <v>45351</v>
      </c>
      <c r="E16" s="51" t="s">
        <v>34</v>
      </c>
      <c r="F16" s="52">
        <f>F15-F7-I16</f>
        <v>-37.47937386808227</v>
      </c>
      <c r="H16" s="49" t="s">
        <v>43</v>
      </c>
      <c r="I16" s="50">
        <f>T62</f>
        <v>37.47937386808227</v>
      </c>
    </row>
    <row r="17" spans="2:23" ht="15" thickBot="1" x14ac:dyDescent="0.4">
      <c r="B17" s="30" t="s">
        <v>9</v>
      </c>
      <c r="C17" s="39">
        <f>C16+C18-1</f>
        <v>45381</v>
      </c>
      <c r="E17" s="42" t="s">
        <v>0</v>
      </c>
      <c r="F17" s="39">
        <f>C17</f>
        <v>45381</v>
      </c>
    </row>
    <row r="18" spans="2:23" ht="15" thickBot="1" x14ac:dyDescent="0.4">
      <c r="B18" s="30" t="s">
        <v>4</v>
      </c>
      <c r="C18" s="40">
        <v>31</v>
      </c>
      <c r="E18" s="43" t="s">
        <v>2</v>
      </c>
      <c r="F18" s="44">
        <f>C18</f>
        <v>31</v>
      </c>
      <c r="H18" s="96" t="s">
        <v>51</v>
      </c>
      <c r="I18" s="97"/>
    </row>
    <row r="19" spans="2:23" ht="15" thickBot="1" x14ac:dyDescent="0.4">
      <c r="B19" s="31" t="s">
        <v>16</v>
      </c>
      <c r="C19" s="41">
        <f>C17+C3</f>
        <v>45406</v>
      </c>
      <c r="H19" s="7" t="s">
        <v>42</v>
      </c>
      <c r="I19" s="8">
        <f>'Feb Statement'!I19+'Feb Statement'!F6+'Feb Statement'!I7+'Feb Statement'!I15-'Feb Statement'!I11</f>
        <v>2045.8415181479452</v>
      </c>
    </row>
    <row r="20" spans="2:23" ht="15" thickBot="1" x14ac:dyDescent="0.4">
      <c r="H20" s="49" t="s">
        <v>43</v>
      </c>
      <c r="I20" s="50">
        <f>'Feb Statement'!I20+'Feb Statement'!F7+'Feb Statement'!I8+'Feb Statement'!I16-'Feb Statement'!I12</f>
        <v>1453.3994141612663</v>
      </c>
      <c r="J20" s="5"/>
    </row>
    <row r="21" spans="2:23" x14ac:dyDescent="0.35">
      <c r="B21" s="96" t="s">
        <v>17</v>
      </c>
      <c r="C21" s="97"/>
      <c r="E21" s="96" t="s">
        <v>22</v>
      </c>
      <c r="F21" s="97"/>
      <c r="I21" s="62">
        <f>SUM(I19:I20)</f>
        <v>3499.2409323092115</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45350</v>
      </c>
      <c r="C29" s="47">
        <f>C16</f>
        <v>45351</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0.64697260273972601</v>
      </c>
      <c r="M29" s="12">
        <f>K29*$F$22</f>
        <v>0.64697260273972601</v>
      </c>
      <c r="N29" s="12">
        <f>I29+J29-G29</f>
        <v>0</v>
      </c>
      <c r="O29" s="12">
        <f>P29</f>
        <v>0</v>
      </c>
      <c r="P29" s="12">
        <f>N29*$F$22</f>
        <v>0</v>
      </c>
      <c r="Q29" s="12">
        <f>K29+N29</f>
        <v>1050</v>
      </c>
      <c r="R29" s="15"/>
      <c r="S29" s="15"/>
      <c r="T29" s="15">
        <f>$I$20+R29+S29-H29</f>
        <v>1453.3994141612663</v>
      </c>
      <c r="U29" s="15">
        <f>V29</f>
        <v>1.1941766693341473</v>
      </c>
      <c r="V29" s="16">
        <f>T29*$F$23</f>
        <v>1.1941766693341473</v>
      </c>
      <c r="W29" s="16">
        <f>IF(T29=0,0,$I$20+R29+S29-H29)</f>
        <v>1453.3994141612663</v>
      </c>
    </row>
    <row r="30" spans="2:23" x14ac:dyDescent="0.35">
      <c r="B30" s="47">
        <f t="shared" ref="B30:B59" si="0">C30-1</f>
        <v>45351</v>
      </c>
      <c r="C30" s="48">
        <f t="shared" ref="C30:C59" si="1">C29+1</f>
        <v>45352</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0.64737310958904115</v>
      </c>
      <c r="M30" s="13">
        <f>IF(K30=0,0,M29+K30*$F$22)</f>
        <v>1.2943457123287672</v>
      </c>
      <c r="N30" s="13">
        <f t="shared" ref="N30:N59" si="3">ROUND(N29+I30+J30+O29-G30,2)</f>
        <v>0</v>
      </c>
      <c r="O30" s="13">
        <f>P30-P29</f>
        <v>0</v>
      </c>
      <c r="P30" s="13">
        <f>ROUND(P29+N30*$F$22,2)</f>
        <v>0</v>
      </c>
      <c r="Q30" s="13">
        <f>ROUND(N30+K30-M29-P29,2)</f>
        <v>1050</v>
      </c>
      <c r="R30" s="17"/>
      <c r="S30" s="17"/>
      <c r="T30" s="17">
        <f>T29+U29+R30+S30-H30</f>
        <v>1454.5935908306005</v>
      </c>
      <c r="U30" s="17">
        <f t="shared" ref="U30:U59" si="4">V30-V29</f>
        <v>1.1951578572331427</v>
      </c>
      <c r="V30" s="18">
        <f>V29+T30*$F$23</f>
        <v>2.3893345265672901</v>
      </c>
      <c r="W30" s="16">
        <f>IF(T30=0,0,W29+R30+S30-H30)</f>
        <v>1453.3994141612663</v>
      </c>
    </row>
    <row r="31" spans="2:23" x14ac:dyDescent="0.35">
      <c r="B31" s="47">
        <f t="shared" si="0"/>
        <v>45352</v>
      </c>
      <c r="C31" s="48">
        <f t="shared" si="1"/>
        <v>45353</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1051.3</v>
      </c>
      <c r="L31" s="13">
        <f t="shared" ref="L31:L59" si="7">M31-M30</f>
        <v>0.64777361643835607</v>
      </c>
      <c r="M31" s="13">
        <f t="shared" ref="M31:M59" si="8">IF(K31=0,0,M30+K31*$F$22)</f>
        <v>1.9421193287671232</v>
      </c>
      <c r="N31" s="13">
        <f t="shared" si="3"/>
        <v>0</v>
      </c>
      <c r="O31" s="13">
        <f t="shared" ref="O31:O59" si="9">P31-P30</f>
        <v>0</v>
      </c>
      <c r="P31" s="13">
        <f t="shared" ref="P31:P58" si="10">ROUND(P30+N31*$F$22,2)</f>
        <v>0</v>
      </c>
      <c r="Q31" s="13">
        <f t="shared" ref="Q31:Q59" si="11">ROUND(N31+K31-M30-P30,2)</f>
        <v>1050.01</v>
      </c>
      <c r="R31" s="17"/>
      <c r="S31" s="17"/>
      <c r="T31" s="17">
        <f>T30+U30+R31+S31-H31</f>
        <v>1455.7887486878337</v>
      </c>
      <c r="U31" s="17">
        <f t="shared" si="4"/>
        <v>1.1961398513191268</v>
      </c>
      <c r="V31" s="18">
        <f t="shared" ref="V31:V59" si="12">V30+T31*$F$23</f>
        <v>3.5854743778864169</v>
      </c>
      <c r="W31" s="16">
        <f t="shared" ref="W31:W59" si="13">IF(T31=0,0,W30+R31+S31-H31)</f>
        <v>1453.3994141612663</v>
      </c>
    </row>
    <row r="32" spans="2:23" x14ac:dyDescent="0.35">
      <c r="B32" s="47">
        <f t="shared" si="0"/>
        <v>45353</v>
      </c>
      <c r="C32" s="48">
        <f t="shared" si="1"/>
        <v>45354</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0.64817412328767121</v>
      </c>
      <c r="M32" s="13">
        <f t="shared" si="8"/>
        <v>2.5902934520547944</v>
      </c>
      <c r="N32" s="13">
        <f t="shared" si="3"/>
        <v>0</v>
      </c>
      <c r="O32" s="13">
        <f t="shared" si="9"/>
        <v>0</v>
      </c>
      <c r="P32" s="13">
        <f t="shared" si="10"/>
        <v>0</v>
      </c>
      <c r="Q32" s="13">
        <f t="shared" si="11"/>
        <v>1050.01</v>
      </c>
      <c r="R32" s="17"/>
      <c r="S32" s="17"/>
      <c r="T32" s="17">
        <f>T31+U31+R32+S32-H32</f>
        <v>1456.984888539153</v>
      </c>
      <c r="U32" s="17">
        <f t="shared" si="4"/>
        <v>1.1971226522544987</v>
      </c>
      <c r="V32" s="18">
        <f t="shared" si="12"/>
        <v>4.7825970301409155</v>
      </c>
      <c r="W32" s="16">
        <f t="shared" si="13"/>
        <v>1453.3994141612663</v>
      </c>
    </row>
    <row r="33" spans="2:23" x14ac:dyDescent="0.35">
      <c r="B33" s="47">
        <f t="shared" si="0"/>
        <v>45354</v>
      </c>
      <c r="C33" s="48">
        <f t="shared" si="1"/>
        <v>45355</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0.64857463013698613</v>
      </c>
      <c r="M33" s="13">
        <f t="shared" si="8"/>
        <v>3.2388680821917806</v>
      </c>
      <c r="N33" s="13">
        <f t="shared" si="3"/>
        <v>0</v>
      </c>
      <c r="O33" s="13">
        <f t="shared" si="9"/>
        <v>0</v>
      </c>
      <c r="P33" s="13">
        <f t="shared" si="10"/>
        <v>0</v>
      </c>
      <c r="Q33" s="13">
        <f t="shared" si="11"/>
        <v>1050.01</v>
      </c>
      <c r="R33" s="17"/>
      <c r="S33" s="17"/>
      <c r="T33" s="17">
        <f t="shared" ref="T33:T59" si="14">T32+U32+R33+S33-H33</f>
        <v>1458.1820111914074</v>
      </c>
      <c r="U33" s="17">
        <f t="shared" si="4"/>
        <v>1.1981062607022004</v>
      </c>
      <c r="V33" s="18">
        <f t="shared" si="12"/>
        <v>5.9807032908431159</v>
      </c>
      <c r="W33" s="16">
        <f t="shared" si="13"/>
        <v>1453.3994141612663</v>
      </c>
    </row>
    <row r="34" spans="2:23" x14ac:dyDescent="0.35">
      <c r="B34" s="47">
        <f t="shared" si="0"/>
        <v>45355</v>
      </c>
      <c r="C34" s="48">
        <f t="shared" si="1"/>
        <v>45356</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0.64897513698630149</v>
      </c>
      <c r="M34" s="13">
        <f t="shared" si="8"/>
        <v>3.8878432191780821</v>
      </c>
      <c r="N34" s="13">
        <f t="shared" si="3"/>
        <v>0</v>
      </c>
      <c r="O34" s="13">
        <f t="shared" si="9"/>
        <v>0</v>
      </c>
      <c r="P34" s="13">
        <f t="shared" si="10"/>
        <v>0</v>
      </c>
      <c r="Q34" s="13">
        <f t="shared" si="11"/>
        <v>1050.01</v>
      </c>
      <c r="R34" s="17"/>
      <c r="S34" s="17"/>
      <c r="T34" s="17">
        <f t="shared" si="14"/>
        <v>1459.3801174521095</v>
      </c>
      <c r="U34" s="17">
        <f t="shared" si="4"/>
        <v>1.1990906773257199</v>
      </c>
      <c r="V34" s="18">
        <f t="shared" si="12"/>
        <v>7.1797939681688359</v>
      </c>
      <c r="W34" s="16">
        <f t="shared" si="13"/>
        <v>1453.3994141612663</v>
      </c>
    </row>
    <row r="35" spans="2:23" x14ac:dyDescent="0.35">
      <c r="B35" s="47">
        <f t="shared" si="0"/>
        <v>45356</v>
      </c>
      <c r="C35" s="48">
        <f t="shared" si="1"/>
        <v>45357</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0.64937564383561686</v>
      </c>
      <c r="M35" s="13">
        <f t="shared" si="8"/>
        <v>4.5372188630136989</v>
      </c>
      <c r="N35" s="13">
        <f t="shared" si="3"/>
        <v>0</v>
      </c>
      <c r="O35" s="13">
        <f t="shared" si="9"/>
        <v>0</v>
      </c>
      <c r="P35" s="13">
        <f t="shared" si="10"/>
        <v>0</v>
      </c>
      <c r="Q35" s="13">
        <f t="shared" si="11"/>
        <v>1050.01</v>
      </c>
      <c r="R35" s="17"/>
      <c r="S35" s="17"/>
      <c r="T35" s="17">
        <f>T34+U34+R35+S35-H35</f>
        <v>1460.5792081294353</v>
      </c>
      <c r="U35" s="17">
        <f t="shared" si="4"/>
        <v>1.2000759027890897</v>
      </c>
      <c r="V35" s="18">
        <f t="shared" si="12"/>
        <v>8.3798698709579256</v>
      </c>
      <c r="W35" s="16">
        <f t="shared" si="13"/>
        <v>1453.3994141612663</v>
      </c>
    </row>
    <row r="36" spans="2:23" x14ac:dyDescent="0.35">
      <c r="B36" s="47">
        <f t="shared" si="0"/>
        <v>45357</v>
      </c>
      <c r="C36" s="48">
        <f t="shared" si="1"/>
        <v>45358</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0.64977615068493133</v>
      </c>
      <c r="M36" s="13">
        <f t="shared" si="8"/>
        <v>5.1869950136986303</v>
      </c>
      <c r="N36" s="13">
        <f t="shared" si="3"/>
        <v>0</v>
      </c>
      <c r="O36" s="13">
        <f t="shared" si="9"/>
        <v>0</v>
      </c>
      <c r="P36" s="13">
        <f t="shared" si="10"/>
        <v>0</v>
      </c>
      <c r="Q36" s="13">
        <f t="shared" si="11"/>
        <v>1050.01</v>
      </c>
      <c r="R36" s="17"/>
      <c r="S36" s="17"/>
      <c r="T36" s="17">
        <f t="shared" si="14"/>
        <v>1461.7792840322245</v>
      </c>
      <c r="U36" s="17">
        <f t="shared" si="4"/>
        <v>1.2010619377568883</v>
      </c>
      <c r="V36" s="18">
        <f t="shared" si="12"/>
        <v>9.5809318087148139</v>
      </c>
      <c r="W36" s="16">
        <f t="shared" si="13"/>
        <v>1453.3994141612663</v>
      </c>
    </row>
    <row r="37" spans="2:23" x14ac:dyDescent="0.35">
      <c r="B37" s="47">
        <f t="shared" si="0"/>
        <v>45358</v>
      </c>
      <c r="C37" s="48">
        <f t="shared" si="1"/>
        <v>45359</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0.65017665753424669</v>
      </c>
      <c r="M37" s="13">
        <f t="shared" si="8"/>
        <v>5.8371716712328769</v>
      </c>
      <c r="N37" s="13">
        <f t="shared" si="3"/>
        <v>0</v>
      </c>
      <c r="O37" s="13">
        <f t="shared" si="9"/>
        <v>0</v>
      </c>
      <c r="P37" s="13">
        <f t="shared" si="10"/>
        <v>0</v>
      </c>
      <c r="Q37" s="13">
        <f t="shared" si="11"/>
        <v>1050.01</v>
      </c>
      <c r="R37" s="17"/>
      <c r="S37" s="17"/>
      <c r="T37" s="17">
        <f t="shared" si="14"/>
        <v>1462.9803459699813</v>
      </c>
      <c r="U37" s="17">
        <f t="shared" si="4"/>
        <v>1.2020487828942397</v>
      </c>
      <c r="V37" s="18">
        <f t="shared" si="12"/>
        <v>10.782980591609054</v>
      </c>
      <c r="W37" s="16">
        <f t="shared" si="13"/>
        <v>1453.3994141612663</v>
      </c>
    </row>
    <row r="38" spans="2:23" x14ac:dyDescent="0.35">
      <c r="B38" s="47">
        <f t="shared" si="0"/>
        <v>45359</v>
      </c>
      <c r="C38" s="48">
        <f t="shared" si="1"/>
        <v>45360</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1055.8499999999999</v>
      </c>
      <c r="L38" s="13">
        <f t="shared" si="7"/>
        <v>0.65057716438356117</v>
      </c>
      <c r="M38" s="13">
        <f t="shared" si="8"/>
        <v>6.4877488356164381</v>
      </c>
      <c r="N38" s="13">
        <f t="shared" si="3"/>
        <v>0</v>
      </c>
      <c r="O38" s="13">
        <f t="shared" si="9"/>
        <v>0</v>
      </c>
      <c r="P38" s="13">
        <f t="shared" si="10"/>
        <v>0</v>
      </c>
      <c r="Q38" s="13">
        <f t="shared" si="11"/>
        <v>1050.01</v>
      </c>
      <c r="R38" s="17"/>
      <c r="S38" s="17"/>
      <c r="T38" s="17">
        <f t="shared" si="14"/>
        <v>1464.1823947528756</v>
      </c>
      <c r="U38" s="17">
        <f t="shared" si="4"/>
        <v>1.203036438866814</v>
      </c>
      <c r="V38" s="18">
        <f t="shared" si="12"/>
        <v>11.986017030475868</v>
      </c>
      <c r="W38" s="16">
        <f t="shared" si="13"/>
        <v>1453.3994141612663</v>
      </c>
    </row>
    <row r="39" spans="2:23" x14ac:dyDescent="0.35">
      <c r="B39" s="47">
        <f t="shared" si="0"/>
        <v>45360</v>
      </c>
      <c r="C39" s="48">
        <f t="shared" si="1"/>
        <v>45361</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0.65097767123287653</v>
      </c>
      <c r="M39" s="13">
        <f t="shared" si="8"/>
        <v>7.1387265068493146</v>
      </c>
      <c r="N39" s="13">
        <f t="shared" si="3"/>
        <v>0</v>
      </c>
      <c r="O39" s="13">
        <f>P39-P38</f>
        <v>0</v>
      </c>
      <c r="P39" s="13">
        <f t="shared" si="10"/>
        <v>0</v>
      </c>
      <c r="Q39" s="13">
        <f t="shared" si="11"/>
        <v>1050.01</v>
      </c>
      <c r="R39" s="17"/>
      <c r="S39" s="17"/>
      <c r="T39" s="17">
        <f t="shared" si="14"/>
        <v>1465.3854311917423</v>
      </c>
      <c r="U39" s="17">
        <f t="shared" si="4"/>
        <v>1.2040249063408321</v>
      </c>
      <c r="V39" s="18">
        <f t="shared" si="12"/>
        <v>13.1900419368167</v>
      </c>
      <c r="W39" s="16">
        <f t="shared" si="13"/>
        <v>1453.3994141612663</v>
      </c>
    </row>
    <row r="40" spans="2:23" x14ac:dyDescent="0.35">
      <c r="B40" s="47">
        <f t="shared" si="0"/>
        <v>45361</v>
      </c>
      <c r="C40" s="48">
        <f t="shared" si="1"/>
        <v>45362</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1057.1500000000001</v>
      </c>
      <c r="L40" s="13">
        <f t="shared" si="7"/>
        <v>0.65137817808219189</v>
      </c>
      <c r="M40" s="13">
        <f t="shared" si="8"/>
        <v>7.7901046849315065</v>
      </c>
      <c r="N40" s="13">
        <f t="shared" si="3"/>
        <v>0</v>
      </c>
      <c r="O40" s="13">
        <f t="shared" si="9"/>
        <v>0</v>
      </c>
      <c r="P40" s="13">
        <f t="shared" si="10"/>
        <v>0</v>
      </c>
      <c r="Q40" s="13">
        <f t="shared" si="11"/>
        <v>1050.01</v>
      </c>
      <c r="R40" s="17"/>
      <c r="S40" s="17"/>
      <c r="T40" s="17">
        <f t="shared" si="14"/>
        <v>1466.5894560980832</v>
      </c>
      <c r="U40" s="17">
        <f t="shared" si="4"/>
        <v>1.205014185983055</v>
      </c>
      <c r="V40" s="18">
        <f t="shared" si="12"/>
        <v>14.395056122799755</v>
      </c>
      <c r="W40" s="16">
        <f t="shared" si="13"/>
        <v>1453.3994141612663</v>
      </c>
    </row>
    <row r="41" spans="2:23" x14ac:dyDescent="0.35">
      <c r="B41" s="47">
        <f t="shared" si="0"/>
        <v>45362</v>
      </c>
      <c r="C41" s="48">
        <f t="shared" si="1"/>
        <v>45363</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0.65177868493150726</v>
      </c>
      <c r="M41" s="13">
        <f t="shared" si="8"/>
        <v>8.4418833698630138</v>
      </c>
      <c r="N41" s="13">
        <f t="shared" si="3"/>
        <v>0</v>
      </c>
      <c r="O41" s="13">
        <f t="shared" si="9"/>
        <v>0</v>
      </c>
      <c r="P41" s="13">
        <f t="shared" si="10"/>
        <v>0</v>
      </c>
      <c r="Q41" s="13">
        <f t="shared" si="11"/>
        <v>1050.01</v>
      </c>
      <c r="R41" s="17"/>
      <c r="S41" s="17"/>
      <c r="T41" s="17">
        <f t="shared" si="14"/>
        <v>1467.7944702840664</v>
      </c>
      <c r="U41" s="17">
        <f t="shared" si="4"/>
        <v>1.2060042784607994</v>
      </c>
      <c r="V41" s="18">
        <f t="shared" si="12"/>
        <v>15.601060401260554</v>
      </c>
      <c r="W41" s="16">
        <f t="shared" si="13"/>
        <v>1453.3994141612663</v>
      </c>
    </row>
    <row r="42" spans="2:23" x14ac:dyDescent="0.35">
      <c r="B42" s="47">
        <f>C42-2</f>
        <v>45362</v>
      </c>
      <c r="C42" s="48">
        <f t="shared" si="1"/>
        <v>45364</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0.65217919178082262</v>
      </c>
      <c r="M42" s="13">
        <f t="shared" si="8"/>
        <v>9.0940625616438364</v>
      </c>
      <c r="N42" s="13">
        <f t="shared" si="3"/>
        <v>0</v>
      </c>
      <c r="O42" s="13">
        <f t="shared" si="9"/>
        <v>0</v>
      </c>
      <c r="P42" s="13">
        <f t="shared" si="10"/>
        <v>0</v>
      </c>
      <c r="Q42" s="13">
        <f t="shared" si="11"/>
        <v>1050.01</v>
      </c>
      <c r="R42" s="17"/>
      <c r="S42" s="17"/>
      <c r="T42" s="17">
        <f>T41+U41+R42+S42-H42</f>
        <v>1469.0004745625272</v>
      </c>
      <c r="U42" s="17">
        <f>V42-V41</f>
        <v>1.2069951844419222</v>
      </c>
      <c r="V42" s="18">
        <f t="shared" si="12"/>
        <v>16.808055585702476</v>
      </c>
      <c r="W42" s="16">
        <f t="shared" si="13"/>
        <v>1453.3994141612663</v>
      </c>
    </row>
    <row r="43" spans="2:23" x14ac:dyDescent="0.35">
      <c r="B43" s="47">
        <f t="shared" si="0"/>
        <v>45364</v>
      </c>
      <c r="C43" s="48">
        <f t="shared" si="1"/>
        <v>45365</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1059.0999999999999</v>
      </c>
      <c r="L43" s="13">
        <f t="shared" si="7"/>
        <v>0.65257969863013621</v>
      </c>
      <c r="M43" s="13">
        <f t="shared" si="8"/>
        <v>9.7466422602739726</v>
      </c>
      <c r="N43" s="13">
        <f t="shared" si="3"/>
        <v>0</v>
      </c>
      <c r="O43" s="13">
        <f t="shared" si="9"/>
        <v>0</v>
      </c>
      <c r="P43" s="13">
        <f t="shared" si="10"/>
        <v>0</v>
      </c>
      <c r="Q43" s="13">
        <f t="shared" si="11"/>
        <v>1050.01</v>
      </c>
      <c r="R43" s="17"/>
      <c r="S43" s="17"/>
      <c r="T43" s="17">
        <f>T42+U42+R43+S43-H43</f>
        <v>1470.2074697469691</v>
      </c>
      <c r="U43" s="17">
        <f t="shared" si="4"/>
        <v>1.2079869045948399</v>
      </c>
      <c r="V43" s="18">
        <f t="shared" si="12"/>
        <v>18.016042490297316</v>
      </c>
      <c r="W43" s="16">
        <f t="shared" si="13"/>
        <v>1453.3994141612663</v>
      </c>
    </row>
    <row r="44" spans="2:23" x14ac:dyDescent="0.35">
      <c r="B44" s="47">
        <f t="shared" si="0"/>
        <v>45365</v>
      </c>
      <c r="C44" s="48">
        <f t="shared" si="1"/>
        <v>45366</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0.65298020547945157</v>
      </c>
      <c r="M44" s="13">
        <f t="shared" si="8"/>
        <v>10.399622465753424</v>
      </c>
      <c r="N44" s="13">
        <f t="shared" si="3"/>
        <v>0</v>
      </c>
      <c r="O44" s="13">
        <f t="shared" si="9"/>
        <v>0</v>
      </c>
      <c r="P44" s="13">
        <f t="shared" si="10"/>
        <v>0</v>
      </c>
      <c r="Q44" s="13">
        <f t="shared" si="11"/>
        <v>1050</v>
      </c>
      <c r="R44" s="17"/>
      <c r="S44" s="17"/>
      <c r="T44" s="17">
        <f t="shared" si="14"/>
        <v>1471.415456651564</v>
      </c>
      <c r="U44" s="17">
        <f t="shared" si="4"/>
        <v>1.2089794395885036</v>
      </c>
      <c r="V44" s="18">
        <f t="shared" si="12"/>
        <v>19.22502192988582</v>
      </c>
      <c r="W44" s="16">
        <f t="shared" si="13"/>
        <v>1453.3994141612663</v>
      </c>
    </row>
    <row r="45" spans="2:23" x14ac:dyDescent="0.35">
      <c r="B45" s="47">
        <f t="shared" si="0"/>
        <v>45366</v>
      </c>
      <c r="C45" s="48">
        <f t="shared" si="1"/>
        <v>45367</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0.65338071232876693</v>
      </c>
      <c r="M45" s="13">
        <f t="shared" si="8"/>
        <v>11.053003178082191</v>
      </c>
      <c r="N45" s="13">
        <f t="shared" si="3"/>
        <v>0</v>
      </c>
      <c r="O45" s="13">
        <f t="shared" si="9"/>
        <v>0</v>
      </c>
      <c r="P45" s="13">
        <f t="shared" si="10"/>
        <v>0</v>
      </c>
      <c r="Q45" s="13">
        <f t="shared" si="11"/>
        <v>1050</v>
      </c>
      <c r="R45" s="17"/>
      <c r="S45" s="17"/>
      <c r="T45" s="17">
        <f t="shared" si="14"/>
        <v>1472.6244360911526</v>
      </c>
      <c r="U45" s="17">
        <f t="shared" si="4"/>
        <v>1.2099727900924293</v>
      </c>
      <c r="V45" s="18">
        <f t="shared" si="12"/>
        <v>20.434994719978249</v>
      </c>
      <c r="W45" s="16">
        <f>IF(T45=0,0,W44+R45+S45-H45)</f>
        <v>1453.3994141612663</v>
      </c>
    </row>
    <row r="46" spans="2:23" x14ac:dyDescent="0.35">
      <c r="B46" s="47">
        <f t="shared" si="0"/>
        <v>45367</v>
      </c>
      <c r="C46" s="48">
        <f t="shared" si="1"/>
        <v>45368</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0.6537812191780823</v>
      </c>
      <c r="M46" s="13">
        <f t="shared" si="8"/>
        <v>11.706784397260273</v>
      </c>
      <c r="N46" s="13">
        <f t="shared" si="3"/>
        <v>0</v>
      </c>
      <c r="O46" s="13">
        <f t="shared" si="9"/>
        <v>0</v>
      </c>
      <c r="P46" s="13">
        <f t="shared" si="10"/>
        <v>0</v>
      </c>
      <c r="Q46" s="13">
        <f t="shared" si="11"/>
        <v>1050</v>
      </c>
      <c r="R46" s="17"/>
      <c r="S46" s="17"/>
      <c r="T46" s="17">
        <f t="shared" si="14"/>
        <v>1473.8344088812451</v>
      </c>
      <c r="U46" s="17">
        <f t="shared" si="4"/>
        <v>1.210966956776673</v>
      </c>
      <c r="V46" s="18">
        <f t="shared" si="12"/>
        <v>21.645961676754922</v>
      </c>
      <c r="W46" s="16">
        <f>IF(T46=0,0,W45+R46+S46-H46)</f>
        <v>1453.3994141612663</v>
      </c>
    </row>
    <row r="47" spans="2:23" x14ac:dyDescent="0.35">
      <c r="B47" s="47">
        <f t="shared" si="0"/>
        <v>45368</v>
      </c>
      <c r="C47" s="48">
        <f t="shared" si="1"/>
        <v>45369</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1061.7</v>
      </c>
      <c r="L47" s="13">
        <f t="shared" si="7"/>
        <v>0.65418172602739766</v>
      </c>
      <c r="M47" s="13">
        <f t="shared" si="8"/>
        <v>12.360966123287671</v>
      </c>
      <c r="N47" s="13">
        <f t="shared" si="3"/>
        <v>0</v>
      </c>
      <c r="O47" s="13">
        <f t="shared" si="9"/>
        <v>0</v>
      </c>
      <c r="P47" s="13">
        <f t="shared" si="10"/>
        <v>0</v>
      </c>
      <c r="Q47" s="13">
        <f t="shared" si="11"/>
        <v>1049.99</v>
      </c>
      <c r="R47" s="17"/>
      <c r="S47" s="17"/>
      <c r="T47" s="17">
        <f t="shared" si="14"/>
        <v>1475.0453758380218</v>
      </c>
      <c r="U47" s="17">
        <f t="shared" si="4"/>
        <v>1.2119619403118449</v>
      </c>
      <c r="V47" s="18">
        <f t="shared" si="12"/>
        <v>22.857923617066767</v>
      </c>
      <c r="W47" s="16">
        <f t="shared" si="13"/>
        <v>1453.3994141612663</v>
      </c>
    </row>
    <row r="48" spans="2:23" x14ac:dyDescent="0.35">
      <c r="B48" s="47">
        <f t="shared" si="0"/>
        <v>45369</v>
      </c>
      <c r="C48" s="48">
        <f t="shared" si="1"/>
        <v>45370</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1062.3499999999999</v>
      </c>
      <c r="L48" s="13">
        <f t="shared" si="7"/>
        <v>0.65458223287671302</v>
      </c>
      <c r="M48" s="13">
        <f t="shared" si="8"/>
        <v>13.015548356164384</v>
      </c>
      <c r="N48" s="13">
        <f t="shared" si="3"/>
        <v>0</v>
      </c>
      <c r="O48" s="13">
        <f t="shared" si="9"/>
        <v>0</v>
      </c>
      <c r="P48" s="13">
        <f t="shared" si="10"/>
        <v>0</v>
      </c>
      <c r="Q48" s="13">
        <f t="shared" si="11"/>
        <v>1049.99</v>
      </c>
      <c r="R48" s="17"/>
      <c r="S48" s="17"/>
      <c r="T48" s="17">
        <f t="shared" si="14"/>
        <v>1476.2573377783335</v>
      </c>
      <c r="U48" s="17">
        <f t="shared" si="4"/>
        <v>1.2129577413691024</v>
      </c>
      <c r="V48" s="18">
        <f t="shared" si="12"/>
        <v>24.070881358435869</v>
      </c>
      <c r="W48" s="16">
        <f t="shared" si="13"/>
        <v>1453.3994141612663</v>
      </c>
    </row>
    <row r="49" spans="2:23" x14ac:dyDescent="0.35">
      <c r="B49" s="47">
        <f t="shared" si="0"/>
        <v>45370</v>
      </c>
      <c r="C49" s="48">
        <f t="shared" si="1"/>
        <v>45371</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0.65498273972602661</v>
      </c>
      <c r="M49" s="13">
        <f t="shared" si="8"/>
        <v>13.670531095890411</v>
      </c>
      <c r="N49" s="13">
        <f t="shared" si="3"/>
        <v>0</v>
      </c>
      <c r="O49" s="13">
        <f t="shared" si="9"/>
        <v>0</v>
      </c>
      <c r="P49" s="13">
        <f t="shared" si="10"/>
        <v>0</v>
      </c>
      <c r="Q49" s="13">
        <f t="shared" si="11"/>
        <v>1049.98</v>
      </c>
      <c r="R49" s="17"/>
      <c r="S49" s="17"/>
      <c r="T49" s="17">
        <f t="shared" si="14"/>
        <v>1477.4702955197026</v>
      </c>
      <c r="U49" s="17">
        <f t="shared" si="4"/>
        <v>1.2139543606201606</v>
      </c>
      <c r="V49" s="18">
        <f t="shared" si="12"/>
        <v>25.28483571905603</v>
      </c>
      <c r="W49" s="16">
        <f t="shared" si="13"/>
        <v>1453.3994141612663</v>
      </c>
    </row>
    <row r="50" spans="2:23" x14ac:dyDescent="0.35">
      <c r="B50" s="47">
        <f t="shared" si="0"/>
        <v>45371</v>
      </c>
      <c r="C50" s="48">
        <f t="shared" si="1"/>
        <v>45372</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0.65538324657534197</v>
      </c>
      <c r="M50" s="13">
        <f t="shared" si="8"/>
        <v>14.325914342465753</v>
      </c>
      <c r="N50" s="13">
        <f t="shared" si="3"/>
        <v>0</v>
      </c>
      <c r="O50" s="13">
        <f t="shared" si="9"/>
        <v>0</v>
      </c>
      <c r="P50" s="13">
        <f t="shared" si="10"/>
        <v>0</v>
      </c>
      <c r="Q50" s="13">
        <f t="shared" si="11"/>
        <v>1049.98</v>
      </c>
      <c r="R50" s="17"/>
      <c r="S50" s="17"/>
      <c r="T50" s="17">
        <f t="shared" si="14"/>
        <v>1478.6842498803228</v>
      </c>
      <c r="U50" s="17">
        <f t="shared" si="4"/>
        <v>1.2149517987372853</v>
      </c>
      <c r="V50" s="18">
        <f t="shared" si="12"/>
        <v>26.499787517793315</v>
      </c>
      <c r="W50" s="16">
        <f t="shared" si="13"/>
        <v>1453.3994141612663</v>
      </c>
    </row>
    <row r="51" spans="2:23" x14ac:dyDescent="0.35">
      <c r="B51" s="47">
        <f t="shared" si="0"/>
        <v>45372</v>
      </c>
      <c r="C51" s="48">
        <f t="shared" si="1"/>
        <v>45373</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1064.31</v>
      </c>
      <c r="L51" s="13">
        <f t="shared" si="7"/>
        <v>0.65578991506849249</v>
      </c>
      <c r="M51" s="13">
        <f t="shared" si="8"/>
        <v>14.981704257534245</v>
      </c>
      <c r="N51" s="13">
        <f t="shared" si="3"/>
        <v>0</v>
      </c>
      <c r="O51" s="13">
        <f t="shared" si="9"/>
        <v>0</v>
      </c>
      <c r="P51" s="13">
        <f t="shared" si="10"/>
        <v>0</v>
      </c>
      <c r="Q51" s="13">
        <f t="shared" si="11"/>
        <v>1049.98</v>
      </c>
      <c r="R51" s="17"/>
      <c r="S51" s="17"/>
      <c r="T51" s="17">
        <f t="shared" si="14"/>
        <v>1479.8992016790601</v>
      </c>
      <c r="U51" s="17">
        <f t="shared" si="4"/>
        <v>1.2159500563932895</v>
      </c>
      <c r="V51" s="18">
        <f t="shared" si="12"/>
        <v>27.715737574186605</v>
      </c>
      <c r="W51" s="16">
        <f t="shared" si="13"/>
        <v>1453.3994141612663</v>
      </c>
    </row>
    <row r="52" spans="2:23" x14ac:dyDescent="0.35">
      <c r="B52" s="47">
        <f t="shared" si="0"/>
        <v>45373</v>
      </c>
      <c r="C52" s="48">
        <f t="shared" si="1"/>
        <v>45374</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0.65619658356164301</v>
      </c>
      <c r="M52" s="13">
        <f t="shared" si="8"/>
        <v>15.637900841095888</v>
      </c>
      <c r="N52" s="13">
        <f t="shared" si="3"/>
        <v>0</v>
      </c>
      <c r="O52" s="13">
        <f t="shared" si="9"/>
        <v>0</v>
      </c>
      <c r="P52" s="13">
        <f t="shared" si="10"/>
        <v>0</v>
      </c>
      <c r="Q52" s="13">
        <f t="shared" si="11"/>
        <v>1049.99</v>
      </c>
      <c r="R52" s="17"/>
      <c r="S52" s="17"/>
      <c r="T52" s="17">
        <f t="shared" si="14"/>
        <v>1481.1151517354533</v>
      </c>
      <c r="U52" s="17">
        <f t="shared" si="4"/>
        <v>1.2169491342615402</v>
      </c>
      <c r="V52" s="18">
        <f t="shared" si="12"/>
        <v>28.932686708448145</v>
      </c>
      <c r="W52" s="16">
        <f t="shared" si="13"/>
        <v>1453.3994141612663</v>
      </c>
    </row>
    <row r="53" spans="2:23" x14ac:dyDescent="0.35">
      <c r="B53" s="47">
        <f t="shared" si="0"/>
        <v>45374</v>
      </c>
      <c r="C53" s="48">
        <f t="shared" si="1"/>
        <v>45375</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1065.6300000000001</v>
      </c>
      <c r="L53" s="13">
        <f t="shared" si="7"/>
        <v>0.65660325205479353</v>
      </c>
      <c r="M53" s="13">
        <f t="shared" si="8"/>
        <v>16.294504093150682</v>
      </c>
      <c r="N53" s="13">
        <f t="shared" si="3"/>
        <v>0</v>
      </c>
      <c r="O53" s="13">
        <f t="shared" si="9"/>
        <v>0</v>
      </c>
      <c r="P53" s="13">
        <f t="shared" si="10"/>
        <v>0</v>
      </c>
      <c r="Q53" s="13">
        <f t="shared" si="11"/>
        <v>1049.99</v>
      </c>
      <c r="R53" s="17"/>
      <c r="S53" s="17"/>
      <c r="T53" s="17">
        <f t="shared" si="14"/>
        <v>1482.3321008697148</v>
      </c>
      <c r="U53" s="17">
        <f t="shared" si="4"/>
        <v>1.2179490330159659</v>
      </c>
      <c r="V53" s="18">
        <f t="shared" si="12"/>
        <v>30.150635741464111</v>
      </c>
      <c r="W53" s="16">
        <f t="shared" si="13"/>
        <v>1453.3994141612663</v>
      </c>
    </row>
    <row r="54" spans="2:23" x14ac:dyDescent="0.35">
      <c r="B54" s="47">
        <f t="shared" si="0"/>
        <v>45375</v>
      </c>
      <c r="C54" s="48">
        <f t="shared" si="1"/>
        <v>45376</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0.65700992054794582</v>
      </c>
      <c r="M54" s="13">
        <f t="shared" si="8"/>
        <v>16.951514013698628</v>
      </c>
      <c r="N54" s="13">
        <f t="shared" si="3"/>
        <v>0</v>
      </c>
      <c r="O54" s="13">
        <f t="shared" si="9"/>
        <v>0</v>
      </c>
      <c r="P54" s="13">
        <f t="shared" si="10"/>
        <v>0</v>
      </c>
      <c r="Q54" s="13">
        <f t="shared" si="11"/>
        <v>1050</v>
      </c>
      <c r="R54" s="17"/>
      <c r="S54" s="17"/>
      <c r="T54" s="17">
        <f t="shared" si="14"/>
        <v>1483.5500499027307</v>
      </c>
      <c r="U54" s="17">
        <f t="shared" si="4"/>
        <v>1.2189497533310387</v>
      </c>
      <c r="V54" s="18">
        <f t="shared" si="12"/>
        <v>31.36958549479515</v>
      </c>
      <c r="W54" s="16">
        <f t="shared" si="13"/>
        <v>1453.3994141612663</v>
      </c>
    </row>
    <row r="55" spans="2:23" x14ac:dyDescent="0.35">
      <c r="B55" s="47">
        <f t="shared" si="0"/>
        <v>45376</v>
      </c>
      <c r="C55" s="48">
        <f t="shared" si="1"/>
        <v>45377</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1066.95</v>
      </c>
      <c r="L55" s="13">
        <f t="shared" si="7"/>
        <v>0.65741658904109457</v>
      </c>
      <c r="M55" s="13">
        <f t="shared" si="8"/>
        <v>17.608930602739722</v>
      </c>
      <c r="N55" s="13">
        <f t="shared" si="3"/>
        <v>0</v>
      </c>
      <c r="O55" s="13">
        <f t="shared" si="9"/>
        <v>0</v>
      </c>
      <c r="P55" s="13">
        <f t="shared" si="10"/>
        <v>0</v>
      </c>
      <c r="Q55" s="13">
        <f t="shared" si="11"/>
        <v>1050</v>
      </c>
      <c r="R55" s="17"/>
      <c r="S55" s="17"/>
      <c r="T55" s="17">
        <f t="shared" si="14"/>
        <v>1484.7689996560619</v>
      </c>
      <c r="U55" s="17">
        <f t="shared" si="4"/>
        <v>1.2199512958817884</v>
      </c>
      <c r="V55" s="18">
        <f t="shared" si="12"/>
        <v>32.589536790676938</v>
      </c>
      <c r="W55" s="16">
        <f t="shared" si="13"/>
        <v>1453.3994141612663</v>
      </c>
    </row>
    <row r="56" spans="2:23" x14ac:dyDescent="0.35">
      <c r="B56" s="47">
        <f t="shared" si="0"/>
        <v>45377</v>
      </c>
      <c r="C56" s="48">
        <f t="shared" si="1"/>
        <v>45378</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0.65782325753424686</v>
      </c>
      <c r="M56" s="13">
        <f t="shared" si="8"/>
        <v>18.266753860273969</v>
      </c>
      <c r="N56" s="13">
        <f t="shared" si="3"/>
        <v>0</v>
      </c>
      <c r="O56" s="13">
        <f t="shared" si="9"/>
        <v>0</v>
      </c>
      <c r="P56" s="13">
        <f t="shared" si="10"/>
        <v>0</v>
      </c>
      <c r="Q56" s="13">
        <f t="shared" si="11"/>
        <v>1050</v>
      </c>
      <c r="R56" s="17"/>
      <c r="S56" s="17"/>
      <c r="T56" s="17">
        <f t="shared" si="14"/>
        <v>1485.9889509519437</v>
      </c>
      <c r="U56" s="17">
        <f t="shared" si="4"/>
        <v>1.2209536613438061</v>
      </c>
      <c r="V56" s="18">
        <f t="shared" si="12"/>
        <v>33.810490452020744</v>
      </c>
      <c r="W56" s="16">
        <f t="shared" si="13"/>
        <v>1453.3994141612663</v>
      </c>
    </row>
    <row r="57" spans="2:23" x14ac:dyDescent="0.35">
      <c r="B57" s="47">
        <f t="shared" si="0"/>
        <v>45378</v>
      </c>
      <c r="C57" s="48">
        <f t="shared" si="1"/>
        <v>45379</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0.65822992602739561</v>
      </c>
      <c r="M57" s="13">
        <f t="shared" si="8"/>
        <v>18.924983786301365</v>
      </c>
      <c r="N57" s="13">
        <f t="shared" si="3"/>
        <v>0</v>
      </c>
      <c r="O57" s="13">
        <f t="shared" si="9"/>
        <v>0</v>
      </c>
      <c r="P57" s="13">
        <f t="shared" si="10"/>
        <v>0</v>
      </c>
      <c r="Q57" s="13">
        <f t="shared" si="11"/>
        <v>1050</v>
      </c>
      <c r="R57" s="17"/>
      <c r="S57" s="17"/>
      <c r="T57" s="17">
        <f t="shared" si="14"/>
        <v>1487.2099046132876</v>
      </c>
      <c r="U57" s="17">
        <f t="shared" si="4"/>
        <v>1.2219568503932194</v>
      </c>
      <c r="V57" s="18">
        <f t="shared" si="12"/>
        <v>35.032447302413964</v>
      </c>
      <c r="W57" s="16">
        <f t="shared" si="13"/>
        <v>1453.3994141612663</v>
      </c>
    </row>
    <row r="58" spans="2:23" s="11" customFormat="1" x14ac:dyDescent="0.35">
      <c r="B58" s="47">
        <f t="shared" si="0"/>
        <v>45379</v>
      </c>
      <c r="C58" s="48">
        <f t="shared" si="1"/>
        <v>45380</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0.6586365945205479</v>
      </c>
      <c r="M58" s="13">
        <f t="shared" si="8"/>
        <v>19.583620380821912</v>
      </c>
      <c r="N58" s="13">
        <f t="shared" si="3"/>
        <v>0</v>
      </c>
      <c r="O58" s="13">
        <f t="shared" si="9"/>
        <v>0</v>
      </c>
      <c r="P58" s="13">
        <f t="shared" si="10"/>
        <v>0</v>
      </c>
      <c r="Q58" s="13">
        <f t="shared" si="11"/>
        <v>1050.01</v>
      </c>
      <c r="R58" s="17"/>
      <c r="S58" s="17"/>
      <c r="T58" s="17">
        <f t="shared" si="14"/>
        <v>1488.4318614636809</v>
      </c>
      <c r="U58" s="17">
        <f t="shared" si="4"/>
        <v>1.2229608637067315</v>
      </c>
      <c r="V58" s="18">
        <f t="shared" si="12"/>
        <v>36.255408166120695</v>
      </c>
      <c r="W58" s="16">
        <f t="shared" si="13"/>
        <v>1453.3994141612663</v>
      </c>
    </row>
    <row r="59" spans="2:23" s="11" customFormat="1" ht="15" thickBot="1" x14ac:dyDescent="0.4">
      <c r="B59" s="47">
        <f t="shared" si="0"/>
        <v>45380</v>
      </c>
      <c r="C59" s="48">
        <f t="shared" si="1"/>
        <v>45381</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1069.5899999999999</v>
      </c>
      <c r="L59" s="13">
        <f t="shared" si="7"/>
        <v>0.6590432630137002</v>
      </c>
      <c r="M59" s="13">
        <f t="shared" si="8"/>
        <v>20.242663643835613</v>
      </c>
      <c r="N59" s="13">
        <f t="shared" si="3"/>
        <v>0</v>
      </c>
      <c r="O59" s="13">
        <f t="shared" si="9"/>
        <v>0</v>
      </c>
      <c r="P59" s="13">
        <f>ROUND(P58+N59*$F$22,2)</f>
        <v>0</v>
      </c>
      <c r="Q59" s="13">
        <f t="shared" si="11"/>
        <v>1050.01</v>
      </c>
      <c r="R59" s="17"/>
      <c r="S59" s="17"/>
      <c r="T59" s="17">
        <f t="shared" si="14"/>
        <v>1489.6548223273876</v>
      </c>
      <c r="U59" s="17">
        <f t="shared" si="4"/>
        <v>1.2239657019615962</v>
      </c>
      <c r="V59" s="18">
        <f t="shared" si="12"/>
        <v>37.479373868082291</v>
      </c>
      <c r="W59" s="16">
        <f t="shared" si="13"/>
        <v>1453.3994141612663</v>
      </c>
    </row>
    <row r="60" spans="2:23" ht="15" thickBot="1" x14ac:dyDescent="0.4">
      <c r="B60" s="111" t="s">
        <v>49</v>
      </c>
      <c r="C60" s="112"/>
      <c r="D60" s="67">
        <f t="shared" ref="D60:L60" si="15">SUM(D29:D59)</f>
        <v>0</v>
      </c>
      <c r="E60" s="21">
        <f t="shared" si="15"/>
        <v>0</v>
      </c>
      <c r="F60" s="21">
        <f t="shared" si="15"/>
        <v>0</v>
      </c>
      <c r="G60" s="21">
        <f t="shared" si="15"/>
        <v>0</v>
      </c>
      <c r="H60" s="22">
        <f t="shared" si="15"/>
        <v>0</v>
      </c>
      <c r="I60" s="20">
        <f t="shared" si="15"/>
        <v>0</v>
      </c>
      <c r="J60" s="21">
        <f t="shared" si="15"/>
        <v>0</v>
      </c>
      <c r="K60" s="21">
        <f t="shared" si="15"/>
        <v>32852.700000000004</v>
      </c>
      <c r="L60" s="74">
        <f t="shared" si="15"/>
        <v>20.242663643835613</v>
      </c>
      <c r="M60" s="20"/>
      <c r="N60" s="21">
        <f>SUM(N29:N59)</f>
        <v>0</v>
      </c>
      <c r="O60" s="21">
        <f>SUM(O29:O59)</f>
        <v>0</v>
      </c>
      <c r="P60" s="20"/>
      <c r="Q60" s="20"/>
      <c r="R60" s="22">
        <f>SUM(R29:R59)</f>
        <v>0</v>
      </c>
      <c r="S60" s="22">
        <f>SUM(S29:S59)</f>
        <v>0</v>
      </c>
      <c r="T60" s="22">
        <f>SUM(T29:T59)</f>
        <v>45615.109909469924</v>
      </c>
      <c r="U60" s="22">
        <f>SUM(U29:U59)</f>
        <v>37.479373868082291</v>
      </c>
      <c r="V60" s="23"/>
      <c r="W60" s="23"/>
    </row>
    <row r="61" spans="2:23" ht="15" thickBot="1" x14ac:dyDescent="0.4">
      <c r="G61" s="61"/>
      <c r="J61" s="82" t="s">
        <v>71</v>
      </c>
      <c r="K61" s="82">
        <f>K60/$C$18</f>
        <v>1059.7645161290325</v>
      </c>
      <c r="M61" s="82" t="s">
        <v>69</v>
      </c>
      <c r="N61" s="82">
        <f>N60/$C$18</f>
        <v>0</v>
      </c>
      <c r="O61" s="61"/>
      <c r="S61" s="82" t="s">
        <v>65</v>
      </c>
      <c r="T61" s="82">
        <f>T60/$C$18</f>
        <v>1471.4551583699974</v>
      </c>
    </row>
    <row r="62" spans="2:23" ht="15" thickBot="1" x14ac:dyDescent="0.4">
      <c r="H62" s="2"/>
      <c r="J62" s="82" t="s">
        <v>72</v>
      </c>
      <c r="K62" s="82">
        <f>M59</f>
        <v>20.242663643835613</v>
      </c>
      <c r="M62" s="82" t="s">
        <v>70</v>
      </c>
      <c r="N62" s="82">
        <f>IF(ROUND(N59,2)=0,0,N61*$F$22*$C$18)</f>
        <v>0</v>
      </c>
      <c r="S62" s="82" t="s">
        <v>64</v>
      </c>
      <c r="T62" s="82">
        <f>T61*$F$23*$C$18</f>
        <v>37.47937386808227</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7"/>
  <sheetViews>
    <sheetView topLeftCell="C36" zoomScale="52" zoomScaleNormal="70" workbookViewId="0">
      <selection activeCell="K67" sqref="K67"/>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44135</v>
      </c>
    </row>
    <row r="4" spans="2:12" ht="15" thickBot="1" x14ac:dyDescent="0.4">
      <c r="B4"/>
      <c r="C4"/>
      <c r="E4" s="62" t="s">
        <v>25</v>
      </c>
      <c r="F4" s="62">
        <f>'Feb Statement'!F11</f>
        <v>3499.2409323092115</v>
      </c>
    </row>
    <row r="5" spans="2:12" ht="15" thickBot="1" x14ac:dyDescent="0.4">
      <c r="B5" s="29" t="s">
        <v>5</v>
      </c>
      <c r="C5" s="38">
        <v>44075</v>
      </c>
      <c r="E5" s="32" t="s">
        <v>10</v>
      </c>
      <c r="F5" s="33">
        <f>SUM(I11:I12)</f>
        <v>0</v>
      </c>
    </row>
    <row r="6" spans="2:12" x14ac:dyDescent="0.35">
      <c r="B6" s="30" t="s">
        <v>8</v>
      </c>
      <c r="C6" s="39">
        <v>44104</v>
      </c>
      <c r="E6" s="34" t="s">
        <v>26</v>
      </c>
      <c r="F6" s="35">
        <f>I60</f>
        <v>1000</v>
      </c>
      <c r="H6" s="96" t="s">
        <v>40</v>
      </c>
      <c r="I6" s="97"/>
    </row>
    <row r="7" spans="2:12" ht="29" x14ac:dyDescent="0.35">
      <c r="B7" s="30" t="s">
        <v>6</v>
      </c>
      <c r="C7" s="40">
        <v>30</v>
      </c>
      <c r="E7" s="34" t="s">
        <v>27</v>
      </c>
      <c r="F7" s="35">
        <f>R60</f>
        <v>600</v>
      </c>
      <c r="H7" s="7" t="s">
        <v>37</v>
      </c>
      <c r="I7" s="8">
        <f>J60</f>
        <v>50</v>
      </c>
      <c r="L7" s="61"/>
    </row>
    <row r="8" spans="2:12" ht="29.5" thickBot="1" x14ac:dyDescent="0.4">
      <c r="B8" s="31" t="s">
        <v>7</v>
      </c>
      <c r="C8" s="41">
        <f>C6+C3</f>
        <v>44129</v>
      </c>
      <c r="E8" s="34" t="s">
        <v>28</v>
      </c>
      <c r="F8" s="35">
        <f>SUM(I7:I8)</f>
        <v>80</v>
      </c>
      <c r="H8" s="49" t="s">
        <v>38</v>
      </c>
      <c r="I8" s="50">
        <f>S60</f>
        <v>30</v>
      </c>
      <c r="L8" s="61"/>
    </row>
    <row r="9" spans="2:12" ht="29.5" customHeight="1" thickBot="1" x14ac:dyDescent="0.4">
      <c r="B9"/>
      <c r="C9" s="3"/>
      <c r="E9" s="34" t="s">
        <v>29</v>
      </c>
      <c r="F9" s="35">
        <f>SUM(I15:I16)</f>
        <v>47.044325381812428</v>
      </c>
      <c r="L9" s="61"/>
    </row>
    <row r="10" spans="2:12" ht="15" thickBot="1" x14ac:dyDescent="0.4">
      <c r="B10" s="29" t="s">
        <v>12</v>
      </c>
      <c r="C10" s="38">
        <v>44075</v>
      </c>
      <c r="E10" s="4"/>
      <c r="F10" s="6"/>
      <c r="H10" s="114" t="s">
        <v>41</v>
      </c>
      <c r="I10" s="115"/>
      <c r="J10" s="116"/>
    </row>
    <row r="11" spans="2:12" ht="14.5" customHeight="1" x14ac:dyDescent="0.35">
      <c r="B11" s="30" t="s">
        <v>13</v>
      </c>
      <c r="C11" s="39">
        <f>C10+C12-1</f>
        <v>44104</v>
      </c>
      <c r="E11" s="55" t="s">
        <v>30</v>
      </c>
      <c r="F11" s="56">
        <f>F4+F6+F7+F8+F9-F5</f>
        <v>5226.2852576910236</v>
      </c>
      <c r="H11" s="72" t="s">
        <v>42</v>
      </c>
      <c r="I11" s="73">
        <f>SUM(F60:G60)</f>
        <v>0</v>
      </c>
      <c r="J11" s="92" t="s">
        <v>73</v>
      </c>
      <c r="K11" s="113"/>
    </row>
    <row r="12" spans="2:12" ht="15" thickBot="1" x14ac:dyDescent="0.4">
      <c r="B12" s="30" t="s">
        <v>14</v>
      </c>
      <c r="C12" s="40">
        <v>30</v>
      </c>
      <c r="E12" s="4"/>
      <c r="F12" s="6"/>
      <c r="H12" s="49" t="s">
        <v>43</v>
      </c>
      <c r="I12" s="50">
        <f>H60</f>
        <v>0</v>
      </c>
      <c r="J12" s="93"/>
      <c r="K12" s="113"/>
    </row>
    <row r="13" spans="2:12" ht="15" thickBot="1" x14ac:dyDescent="0.4">
      <c r="B13" s="31" t="s">
        <v>15</v>
      </c>
      <c r="C13" s="41">
        <v>45041</v>
      </c>
      <c r="E13" s="53" t="s">
        <v>31</v>
      </c>
      <c r="F13" s="54">
        <v>10000</v>
      </c>
    </row>
    <row r="14" spans="2:12" x14ac:dyDescent="0.35">
      <c r="E14" s="51" t="s">
        <v>32</v>
      </c>
      <c r="F14" s="52">
        <f>F13-F11</f>
        <v>4773.7147423089764</v>
      </c>
      <c r="H14" s="96" t="s">
        <v>44</v>
      </c>
      <c r="I14" s="97"/>
    </row>
    <row r="15" spans="2:12" ht="29.5" thickBot="1" x14ac:dyDescent="0.4">
      <c r="B15"/>
      <c r="C15" s="3"/>
      <c r="E15" s="53" t="s">
        <v>33</v>
      </c>
      <c r="F15" s="54">
        <v>2000</v>
      </c>
      <c r="H15" s="7" t="s">
        <v>45</v>
      </c>
      <c r="I15" s="8">
        <f>K62</f>
        <v>38.534658173931419</v>
      </c>
    </row>
    <row r="16" spans="2:12" ht="29.5" thickBot="1" x14ac:dyDescent="0.4">
      <c r="B16" s="29" t="s">
        <v>3</v>
      </c>
      <c r="C16" s="38">
        <f>C10+C12</f>
        <v>44105</v>
      </c>
      <c r="E16" s="51" t="s">
        <v>34</v>
      </c>
      <c r="F16" s="52">
        <f>F15-F7-I16</f>
        <v>1391.490332792119</v>
      </c>
      <c r="H16" s="49" t="s">
        <v>43</v>
      </c>
      <c r="I16" s="50">
        <f>T62</f>
        <v>8.5096672078810069</v>
      </c>
    </row>
    <row r="17" spans="2:23" ht="15" thickBot="1" x14ac:dyDescent="0.4">
      <c r="B17" s="30" t="s">
        <v>9</v>
      </c>
      <c r="C17" s="39">
        <f>C16+C18-1</f>
        <v>44135</v>
      </c>
      <c r="E17" s="42" t="s">
        <v>0</v>
      </c>
      <c r="F17" s="39">
        <f>C17</f>
        <v>44135</v>
      </c>
    </row>
    <row r="18" spans="2:23" ht="15" thickBot="1" x14ac:dyDescent="0.4">
      <c r="B18" s="30" t="s">
        <v>4</v>
      </c>
      <c r="C18" s="40">
        <v>31</v>
      </c>
      <c r="E18" s="43" t="s">
        <v>2</v>
      </c>
      <c r="F18" s="44">
        <f>C18</f>
        <v>31</v>
      </c>
      <c r="H18" s="96" t="s">
        <v>51</v>
      </c>
      <c r="I18" s="97"/>
    </row>
    <row r="19" spans="2:23" ht="15" thickBot="1" x14ac:dyDescent="0.4">
      <c r="B19" s="31" t="s">
        <v>16</v>
      </c>
      <c r="C19" s="41">
        <f>C17+C3</f>
        <v>44160</v>
      </c>
      <c r="H19" s="7" t="s">
        <v>42</v>
      </c>
      <c r="I19" s="8">
        <f>'March Statement'!I19+'March Statement'!F6+'March Statement'!I7+'March Statement'!I15-'March Statement'!I11</f>
        <v>2066.0841817917808</v>
      </c>
    </row>
    <row r="20" spans="2:23" ht="15" thickBot="1" x14ac:dyDescent="0.4">
      <c r="H20" s="49" t="s">
        <v>43</v>
      </c>
      <c r="I20" s="50">
        <v>0</v>
      </c>
      <c r="J20" s="5"/>
    </row>
    <row r="21" spans="2:23" x14ac:dyDescent="0.35">
      <c r="B21" s="96" t="s">
        <v>17</v>
      </c>
      <c r="C21" s="97"/>
      <c r="E21" s="96" t="s">
        <v>22</v>
      </c>
      <c r="F21" s="97"/>
      <c r="I21" s="62">
        <f>SUM(I19:I20)</f>
        <v>2066.0841817917808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44104</v>
      </c>
      <c r="C29" s="47">
        <f>C16</f>
        <v>44105</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IF(SUM($F$29:$F$53)&gt;=$I$19,0,$I$19+'March Statement'!N60-$F$29)</f>
        <v>2066.0841817917808</v>
      </c>
      <c r="L29" s="12">
        <f>M29</f>
        <v>1.2730474862601959</v>
      </c>
      <c r="M29" s="12">
        <f>K29*$F$22</f>
        <v>1.2730474862601959</v>
      </c>
      <c r="N29" s="12">
        <f>I29+J29-G29</f>
        <v>0</v>
      </c>
      <c r="O29" s="12">
        <f>P29</f>
        <v>0</v>
      </c>
      <c r="P29" s="12">
        <f>N29*$F$22</f>
        <v>0</v>
      </c>
      <c r="Q29" s="12">
        <f>K29+N29</f>
        <v>2066.0841817917808</v>
      </c>
      <c r="R29" s="15"/>
      <c r="S29" s="15"/>
      <c r="T29" s="15">
        <f>$I$20+R29+S29-H29</f>
        <v>0</v>
      </c>
      <c r="U29" s="15">
        <f>V29</f>
        <v>0</v>
      </c>
      <c r="V29" s="16">
        <f>T29*$F$23</f>
        <v>0</v>
      </c>
      <c r="W29" s="16">
        <f>IF(T29=0,0,$I$20+R29+S29-H29)</f>
        <v>0</v>
      </c>
    </row>
    <row r="30" spans="2:23" x14ac:dyDescent="0.35">
      <c r="B30" s="47">
        <f t="shared" ref="B30:B59" si="0">C30-1</f>
        <v>44105</v>
      </c>
      <c r="C30" s="48">
        <f t="shared" ref="C30:C57" si="1">C29+1</f>
        <v>44106</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2067.36</v>
      </c>
      <c r="L30" s="13">
        <f>M30-M29</f>
        <v>1.2738336000000003</v>
      </c>
      <c r="M30" s="13">
        <f>IF(K30=0,0,M29+K30*$F$22)</f>
        <v>2.5468810862601963</v>
      </c>
      <c r="N30" s="13">
        <f t="shared" ref="N30:N57" si="3">ROUND(N29+I30+J30+O29-G30,2)</f>
        <v>0</v>
      </c>
      <c r="O30" s="13">
        <f>P30-P29</f>
        <v>0</v>
      </c>
      <c r="P30" s="13">
        <f>ROUND(P29+N30*$F$22,2)</f>
        <v>0</v>
      </c>
      <c r="Q30" s="13">
        <f>ROUND(N30+K30-M29-P29,2)</f>
        <v>2066.09</v>
      </c>
      <c r="R30" s="17"/>
      <c r="S30" s="17"/>
      <c r="T30" s="17">
        <f>T29+U29+R30+S30-H30</f>
        <v>0</v>
      </c>
      <c r="U30" s="17">
        <f t="shared" ref="U30:U57" si="4">V30-V29</f>
        <v>0</v>
      </c>
      <c r="V30" s="18">
        <f>V29+T30*$F$23</f>
        <v>0</v>
      </c>
      <c r="W30" s="16">
        <f>IF(T30=0,0,W29+R30+S30-H30)</f>
        <v>0</v>
      </c>
    </row>
    <row r="31" spans="2:23" x14ac:dyDescent="0.35">
      <c r="B31" s="47">
        <f t="shared" si="0"/>
        <v>44106</v>
      </c>
      <c r="C31" s="48">
        <f t="shared" si="1"/>
        <v>44107</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2068.63</v>
      </c>
      <c r="L31" s="13">
        <f t="shared" ref="L31:L57" si="7">M31-M30</f>
        <v>1.2746161287671232</v>
      </c>
      <c r="M31" s="13">
        <f t="shared" ref="M31:M57" si="8">IF(K31=0,0,M30+K31*$F$22)</f>
        <v>3.8214972150273194</v>
      </c>
      <c r="N31" s="13">
        <f t="shared" si="3"/>
        <v>0</v>
      </c>
      <c r="O31" s="13">
        <f t="shared" ref="O31:O57" si="9">P31-P30</f>
        <v>0</v>
      </c>
      <c r="P31" s="13">
        <f t="shared" ref="P31:P56" si="10">ROUND(P30+N31*$F$22,2)</f>
        <v>0</v>
      </c>
      <c r="Q31" s="13">
        <f t="shared" ref="Q31:Q57" si="11">ROUND(N31+K31-M30-P30,2)</f>
        <v>2066.08</v>
      </c>
      <c r="R31" s="17"/>
      <c r="S31" s="17"/>
      <c r="T31" s="17">
        <f>T30+U30+R31+S31-H31</f>
        <v>0</v>
      </c>
      <c r="U31" s="17">
        <f t="shared" si="4"/>
        <v>0</v>
      </c>
      <c r="V31" s="18">
        <f t="shared" ref="V31:V57" si="12">V30+T31*$F$23</f>
        <v>0</v>
      </c>
      <c r="W31" s="16">
        <f t="shared" ref="W31:W57" si="13">IF(T31=0,0,W30+R31+S31-H31)</f>
        <v>0</v>
      </c>
    </row>
    <row r="32" spans="2:23" x14ac:dyDescent="0.35">
      <c r="B32" s="47">
        <f t="shared" si="0"/>
        <v>44107</v>
      </c>
      <c r="C32" s="48">
        <f t="shared" si="1"/>
        <v>44108</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2069.9</v>
      </c>
      <c r="L32" s="13">
        <f t="shared" si="7"/>
        <v>1.2753986575342466</v>
      </c>
      <c r="M32" s="13">
        <f t="shared" si="8"/>
        <v>5.0968958725615661</v>
      </c>
      <c r="N32" s="13">
        <f t="shared" si="3"/>
        <v>0</v>
      </c>
      <c r="O32" s="13">
        <f t="shared" si="9"/>
        <v>0</v>
      </c>
      <c r="P32" s="13">
        <f t="shared" si="10"/>
        <v>0</v>
      </c>
      <c r="Q32" s="13">
        <f t="shared" si="11"/>
        <v>2066.08</v>
      </c>
      <c r="R32" s="17"/>
      <c r="S32" s="17"/>
      <c r="T32" s="17">
        <f>T31+U31+R32+S32-H32</f>
        <v>0</v>
      </c>
      <c r="U32" s="17">
        <f t="shared" si="4"/>
        <v>0</v>
      </c>
      <c r="V32" s="18">
        <f t="shared" si="12"/>
        <v>0</v>
      </c>
      <c r="W32" s="16">
        <f t="shared" si="13"/>
        <v>0</v>
      </c>
    </row>
    <row r="33" spans="2:23" x14ac:dyDescent="0.35">
      <c r="B33" s="47">
        <f t="shared" si="0"/>
        <v>44108</v>
      </c>
      <c r="C33" s="48">
        <f t="shared" si="1"/>
        <v>44109</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2071.1799999999998</v>
      </c>
      <c r="L33" s="13">
        <f t="shared" si="7"/>
        <v>1.2761873479452053</v>
      </c>
      <c r="M33" s="13">
        <f t="shared" si="8"/>
        <v>6.3730832205067713</v>
      </c>
      <c r="N33" s="13">
        <f t="shared" si="3"/>
        <v>0</v>
      </c>
      <c r="O33" s="13">
        <f t="shared" si="9"/>
        <v>0</v>
      </c>
      <c r="P33" s="13">
        <f t="shared" si="10"/>
        <v>0</v>
      </c>
      <c r="Q33" s="13">
        <f t="shared" si="11"/>
        <v>2066.08</v>
      </c>
      <c r="R33" s="17"/>
      <c r="S33" s="17"/>
      <c r="T33" s="17">
        <f t="shared" ref="T33:T57" si="14">T32+U32+R33+S33-H33</f>
        <v>0</v>
      </c>
      <c r="U33" s="17">
        <f t="shared" si="4"/>
        <v>0</v>
      </c>
      <c r="V33" s="18">
        <f t="shared" si="12"/>
        <v>0</v>
      </c>
      <c r="W33" s="16">
        <f t="shared" si="13"/>
        <v>0</v>
      </c>
    </row>
    <row r="34" spans="2:23" x14ac:dyDescent="0.35">
      <c r="B34" s="47">
        <f t="shared" si="0"/>
        <v>44109</v>
      </c>
      <c r="C34" s="48">
        <f t="shared" si="1"/>
        <v>44110</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2072.46</v>
      </c>
      <c r="L34" s="13">
        <f t="shared" si="7"/>
        <v>1.2769760383561639</v>
      </c>
      <c r="M34" s="13">
        <f t="shared" si="8"/>
        <v>7.6500592588629353</v>
      </c>
      <c r="N34" s="13">
        <f t="shared" si="3"/>
        <v>0</v>
      </c>
      <c r="O34" s="13">
        <f t="shared" si="9"/>
        <v>0</v>
      </c>
      <c r="P34" s="13">
        <f t="shared" si="10"/>
        <v>0</v>
      </c>
      <c r="Q34" s="13">
        <f t="shared" si="11"/>
        <v>2066.09</v>
      </c>
      <c r="R34" s="17"/>
      <c r="S34" s="17"/>
      <c r="T34" s="17">
        <f t="shared" si="14"/>
        <v>0</v>
      </c>
      <c r="U34" s="17">
        <f t="shared" si="4"/>
        <v>0</v>
      </c>
      <c r="V34" s="18">
        <f t="shared" si="12"/>
        <v>0</v>
      </c>
      <c r="W34" s="16">
        <f t="shared" si="13"/>
        <v>0</v>
      </c>
    </row>
    <row r="35" spans="2:23" s="129" customFormat="1" x14ac:dyDescent="0.35">
      <c r="B35" s="123">
        <f t="shared" si="0"/>
        <v>44110</v>
      </c>
      <c r="C35" s="124">
        <f>C34+1</f>
        <v>44111</v>
      </c>
      <c r="D35" s="125"/>
      <c r="E35" s="126">
        <f>IF(SUM(E$29:E34)=$I$24,0,IF((D35&lt;=$I$24-SUM(E$29:E34)),D35,$I$24-SUM(E$29:E34)))</f>
        <v>0</v>
      </c>
      <c r="F35" s="126">
        <f>IF($I$19&gt;0,IF(SUM(F$29:F34)&lt;$I$19,IF((D35-E35)&gt;0,IF($I$20=0,IF($I$19-SUM(F$29:F34)&gt;D35,D35,$I$19-SUM(F$29:F34)),E35),D35),0)+IF($I$20&gt;0,IF(D35-$I$20-SUM($H$29:H34)-IF($I$19=0,0,E35)&gt;0,IF(D35-$I$20-SUM($H$29:H34)-IF($I$19=0,0,E35)&gt;$I$19,$I$19-SUM(F$29:F34)-E35,D35-$I$20-SUM($H$29:H34)-IF($I$19=0,0,E35)),0),0),0)</f>
        <v>0</v>
      </c>
      <c r="G35" s="126">
        <f t="shared" si="2"/>
        <v>0</v>
      </c>
      <c r="H35" s="126">
        <f t="shared" si="5"/>
        <v>0</v>
      </c>
      <c r="I35" s="126"/>
      <c r="J35" s="126">
        <v>40</v>
      </c>
      <c r="K35" s="126">
        <f t="shared" si="6"/>
        <v>2073.7399999999998</v>
      </c>
      <c r="L35" s="126">
        <f t="shared" si="7"/>
        <v>1.2777647287671225</v>
      </c>
      <c r="M35" s="126">
        <f t="shared" si="8"/>
        <v>8.9278239876300578</v>
      </c>
      <c r="N35" s="126">
        <f t="shared" si="3"/>
        <v>40</v>
      </c>
      <c r="O35" s="126">
        <f t="shared" si="9"/>
        <v>0.02</v>
      </c>
      <c r="P35" s="126">
        <f t="shared" si="10"/>
        <v>0.02</v>
      </c>
      <c r="Q35" s="126">
        <f t="shared" si="11"/>
        <v>2106.09</v>
      </c>
      <c r="R35" s="126"/>
      <c r="S35" s="126"/>
      <c r="T35" s="126">
        <f>T34+U34+R35+S35-H35</f>
        <v>0</v>
      </c>
      <c r="U35" s="126">
        <f t="shared" si="4"/>
        <v>0</v>
      </c>
      <c r="V35" s="127">
        <f t="shared" si="12"/>
        <v>0</v>
      </c>
      <c r="W35" s="128">
        <f t="shared" si="13"/>
        <v>0</v>
      </c>
    </row>
    <row r="36" spans="2:23" x14ac:dyDescent="0.35">
      <c r="B36" s="47">
        <f t="shared" si="0"/>
        <v>44111</v>
      </c>
      <c r="C36" s="48">
        <f t="shared" si="1"/>
        <v>44112</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2075.02</v>
      </c>
      <c r="L36" s="13">
        <f t="shared" si="7"/>
        <v>1.278553419178083</v>
      </c>
      <c r="M36" s="13">
        <f t="shared" si="8"/>
        <v>10.206377406808141</v>
      </c>
      <c r="N36" s="13">
        <f t="shared" si="3"/>
        <v>40.020000000000003</v>
      </c>
      <c r="O36" s="13">
        <f t="shared" si="9"/>
        <v>0.02</v>
      </c>
      <c r="P36" s="13">
        <f t="shared" si="10"/>
        <v>0.04</v>
      </c>
      <c r="Q36" s="13">
        <f t="shared" si="11"/>
        <v>2106.09</v>
      </c>
      <c r="R36" s="17"/>
      <c r="S36" s="17"/>
      <c r="T36" s="17">
        <f t="shared" si="14"/>
        <v>0</v>
      </c>
      <c r="U36" s="17">
        <f t="shared" si="4"/>
        <v>0</v>
      </c>
      <c r="V36" s="18">
        <f t="shared" si="12"/>
        <v>0</v>
      </c>
      <c r="W36" s="16">
        <f t="shared" si="13"/>
        <v>0</v>
      </c>
    </row>
    <row r="37" spans="2:23" x14ac:dyDescent="0.35">
      <c r="B37" s="47">
        <f t="shared" si="0"/>
        <v>44112</v>
      </c>
      <c r="C37" s="48">
        <f t="shared" si="1"/>
        <v>44113</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2076.3000000000002</v>
      </c>
      <c r="L37" s="13">
        <f t="shared" si="7"/>
        <v>1.2793421095890416</v>
      </c>
      <c r="M37" s="13">
        <f t="shared" si="8"/>
        <v>11.485719516397182</v>
      </c>
      <c r="N37" s="13">
        <f t="shared" si="3"/>
        <v>40.04</v>
      </c>
      <c r="O37" s="13">
        <f t="shared" si="9"/>
        <v>1.9999999999999997E-2</v>
      </c>
      <c r="P37" s="13">
        <f t="shared" si="10"/>
        <v>0.06</v>
      </c>
      <c r="Q37" s="13">
        <f t="shared" si="11"/>
        <v>2106.09</v>
      </c>
      <c r="R37" s="17"/>
      <c r="S37" s="17"/>
      <c r="T37" s="17">
        <f t="shared" si="14"/>
        <v>0</v>
      </c>
      <c r="U37" s="17">
        <f t="shared" si="4"/>
        <v>0</v>
      </c>
      <c r="V37" s="18">
        <f t="shared" si="12"/>
        <v>0</v>
      </c>
      <c r="W37" s="16">
        <f t="shared" si="13"/>
        <v>0</v>
      </c>
    </row>
    <row r="38" spans="2:23" s="129" customFormat="1" x14ac:dyDescent="0.35">
      <c r="B38" s="123">
        <f t="shared" si="0"/>
        <v>44113</v>
      </c>
      <c r="C38" s="124">
        <f t="shared" si="1"/>
        <v>44114</v>
      </c>
      <c r="D38" s="125"/>
      <c r="E38" s="126">
        <f>IF(SUM(E$29:E37)=$I$24,0,IF((D38&lt;=$I$24-SUM(E$29:E37)),D38,$I$24-SUM(E$29:E37)))</f>
        <v>0</v>
      </c>
      <c r="F38" s="126">
        <f>IF($I$19&gt;0,IF(SUM(F$29:F37)&lt;$I$19,IF((D38-E38)&gt;0,IF($I$20=0,IF($I$19-SUM(F$29:F37)&gt;D38,D38,$I$19-SUM(F$29:F37)),E38),D38),0)+IF($I$20&gt;0,IF(D38-$I$20-SUM($H$29:H37)-IF($I$19=0,0,E38)&gt;0,IF(D38-$I$20-SUM($H$29:H37)-IF($I$19=0,0,E38)&gt;$I$19,$I$19-SUM(F$29:F37)-E38,D38-$I$20-SUM($H$29:H37)-IF($I$19=0,0,E38)),0),0),0)</f>
        <v>0</v>
      </c>
      <c r="G38" s="126">
        <f t="shared" si="2"/>
        <v>0</v>
      </c>
      <c r="H38" s="126">
        <f t="shared" si="5"/>
        <v>0</v>
      </c>
      <c r="I38" s="126">
        <v>500</v>
      </c>
      <c r="J38" s="126"/>
      <c r="K38" s="126">
        <f t="shared" si="6"/>
        <v>2077.58</v>
      </c>
      <c r="L38" s="126">
        <f t="shared" si="7"/>
        <v>1.2801308000000002</v>
      </c>
      <c r="M38" s="126">
        <f t="shared" si="8"/>
        <v>12.765850316397183</v>
      </c>
      <c r="N38" s="126">
        <f t="shared" si="3"/>
        <v>540.05999999999995</v>
      </c>
      <c r="O38" s="126">
        <f t="shared" si="9"/>
        <v>0.33</v>
      </c>
      <c r="P38" s="126">
        <f t="shared" si="10"/>
        <v>0.39</v>
      </c>
      <c r="Q38" s="126">
        <f t="shared" si="11"/>
        <v>2606.09</v>
      </c>
      <c r="R38" s="126"/>
      <c r="S38" s="126"/>
      <c r="T38" s="126">
        <f t="shared" si="14"/>
        <v>0</v>
      </c>
      <c r="U38" s="126">
        <f t="shared" si="4"/>
        <v>0</v>
      </c>
      <c r="V38" s="127">
        <f t="shared" si="12"/>
        <v>0</v>
      </c>
      <c r="W38" s="128">
        <f t="shared" si="13"/>
        <v>0</v>
      </c>
    </row>
    <row r="39" spans="2:23" x14ac:dyDescent="0.35">
      <c r="B39" s="47">
        <f t="shared" si="0"/>
        <v>44114</v>
      </c>
      <c r="C39" s="48">
        <f t="shared" si="1"/>
        <v>44115</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2078.86</v>
      </c>
      <c r="L39" s="13">
        <f t="shared" si="7"/>
        <v>1.2809194904109589</v>
      </c>
      <c r="M39" s="13">
        <f t="shared" si="8"/>
        <v>14.046769806808141</v>
      </c>
      <c r="N39" s="13">
        <f t="shared" si="3"/>
        <v>540.39</v>
      </c>
      <c r="O39" s="13">
        <f>P39-P38</f>
        <v>0.32999999999999996</v>
      </c>
      <c r="P39" s="13">
        <f t="shared" si="10"/>
        <v>0.72</v>
      </c>
      <c r="Q39" s="13">
        <f t="shared" si="11"/>
        <v>2606.09</v>
      </c>
      <c r="R39" s="17"/>
      <c r="S39" s="17"/>
      <c r="T39" s="17">
        <f t="shared" si="14"/>
        <v>0</v>
      </c>
      <c r="U39" s="17">
        <f t="shared" si="4"/>
        <v>0</v>
      </c>
      <c r="V39" s="18">
        <f t="shared" si="12"/>
        <v>0</v>
      </c>
      <c r="W39" s="16">
        <f t="shared" si="13"/>
        <v>0</v>
      </c>
    </row>
    <row r="40" spans="2:23" s="129" customFormat="1" x14ac:dyDescent="0.35">
      <c r="B40" s="123">
        <f t="shared" si="0"/>
        <v>44115</v>
      </c>
      <c r="C40" s="124">
        <f t="shared" si="1"/>
        <v>44116</v>
      </c>
      <c r="D40" s="125"/>
      <c r="E40" s="126">
        <f>IF(SUM(E$29:E39)=$I$24,0,IF((D40&lt;=$I$24-SUM(E$29:E39)),D40,$I$24-SUM(E$29:E39)))</f>
        <v>0</v>
      </c>
      <c r="F40" s="126">
        <f>IF($I$19&gt;0,IF(SUM(F$29:F39)&lt;$I$19,IF((D40-E40)&gt;0,IF($I$20=0,IF($I$19-SUM(F$29:F39)&gt;D40,D40,$I$19-SUM(F$29:F39)),E40),D40),0)+IF($I$20&gt;0,IF(D40-$I$20-SUM($H$29:H39)-IF($I$19=0,0,E40)&gt;0,IF(D40-$I$20-SUM($H$29:H39)-IF($I$19=0,0,E40)&gt;$I$19,$I$19-SUM(F$29:F39)-E40,D40-$I$20-SUM($H$29:H39)-IF($I$19=0,0,E40)),0),0),0)</f>
        <v>0</v>
      </c>
      <c r="G40" s="126">
        <f t="shared" si="2"/>
        <v>0</v>
      </c>
      <c r="H40" s="126">
        <f t="shared" si="5"/>
        <v>0</v>
      </c>
      <c r="I40" s="126">
        <v>500</v>
      </c>
      <c r="J40" s="126">
        <v>10</v>
      </c>
      <c r="K40" s="126">
        <f t="shared" si="6"/>
        <v>2080.14</v>
      </c>
      <c r="L40" s="126">
        <f t="shared" si="7"/>
        <v>1.2817081808219175</v>
      </c>
      <c r="M40" s="126">
        <f t="shared" si="8"/>
        <v>15.328477987630059</v>
      </c>
      <c r="N40" s="126">
        <f>ROUND(N39+I40+J40+O39-G40,2)</f>
        <v>1050.72</v>
      </c>
      <c r="O40" s="126">
        <f t="shared" si="9"/>
        <v>0.65000000000000013</v>
      </c>
      <c r="P40" s="126">
        <f t="shared" si="10"/>
        <v>1.37</v>
      </c>
      <c r="Q40" s="126">
        <f t="shared" si="11"/>
        <v>3116.09</v>
      </c>
      <c r="R40" s="130">
        <v>200</v>
      </c>
      <c r="S40" s="130">
        <v>10</v>
      </c>
      <c r="T40" s="126">
        <f t="shared" si="14"/>
        <v>210</v>
      </c>
      <c r="U40" s="126">
        <f t="shared" si="4"/>
        <v>0.17254520547945207</v>
      </c>
      <c r="V40" s="127">
        <f t="shared" si="12"/>
        <v>0.17254520547945207</v>
      </c>
      <c r="W40" s="128">
        <f t="shared" si="13"/>
        <v>210</v>
      </c>
    </row>
    <row r="41" spans="2:23" x14ac:dyDescent="0.35">
      <c r="B41" s="47">
        <f t="shared" si="0"/>
        <v>44116</v>
      </c>
      <c r="C41" s="48">
        <f t="shared" si="1"/>
        <v>44117</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2081.42</v>
      </c>
      <c r="L41" s="13">
        <f t="shared" si="7"/>
        <v>1.2824968712328761</v>
      </c>
      <c r="M41" s="13">
        <f t="shared" si="8"/>
        <v>16.610974858862935</v>
      </c>
      <c r="N41" s="13">
        <f t="shared" si="3"/>
        <v>1051.3699999999999</v>
      </c>
      <c r="O41" s="13">
        <f t="shared" si="9"/>
        <v>0.64999999999999991</v>
      </c>
      <c r="P41" s="13">
        <f t="shared" si="10"/>
        <v>2.02</v>
      </c>
      <c r="Q41" s="13">
        <f t="shared" si="11"/>
        <v>3116.09</v>
      </c>
      <c r="R41" s="17"/>
      <c r="S41" s="17"/>
      <c r="T41" s="17">
        <f t="shared" si="14"/>
        <v>210.17254520547945</v>
      </c>
      <c r="U41" s="17">
        <f t="shared" si="4"/>
        <v>0.17268697618389939</v>
      </c>
      <c r="V41" s="18">
        <f t="shared" si="12"/>
        <v>0.34523218166335146</v>
      </c>
      <c r="W41" s="16">
        <f t="shared" si="13"/>
        <v>210</v>
      </c>
    </row>
    <row r="42" spans="2:23" x14ac:dyDescent="0.35">
      <c r="B42" s="47">
        <f>C42-2</f>
        <v>44116</v>
      </c>
      <c r="C42" s="48">
        <f t="shared" si="1"/>
        <v>44118</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2082.6999999999998</v>
      </c>
      <c r="L42" s="13">
        <f t="shared" si="7"/>
        <v>1.2832855616438366</v>
      </c>
      <c r="M42" s="13">
        <f t="shared" si="8"/>
        <v>17.894260420506772</v>
      </c>
      <c r="N42" s="13">
        <f t="shared" si="3"/>
        <v>1052.02</v>
      </c>
      <c r="O42" s="13">
        <f t="shared" si="9"/>
        <v>0.64999999999999991</v>
      </c>
      <c r="P42" s="13">
        <f t="shared" si="10"/>
        <v>2.67</v>
      </c>
      <c r="Q42" s="13">
        <f t="shared" si="11"/>
        <v>3116.09</v>
      </c>
      <c r="R42" s="17"/>
      <c r="S42" s="17"/>
      <c r="T42" s="17">
        <f>T41+U41+R42+S42-H42</f>
        <v>210.34523218166336</v>
      </c>
      <c r="U42" s="17">
        <f>V42-V41</f>
        <v>0.17282886337337222</v>
      </c>
      <c r="V42" s="18">
        <f t="shared" si="12"/>
        <v>0.51806104503672368</v>
      </c>
      <c r="W42" s="16">
        <f t="shared" si="13"/>
        <v>210</v>
      </c>
    </row>
    <row r="43" spans="2:23" s="135" customFormat="1" x14ac:dyDescent="0.35">
      <c r="B43" s="131">
        <f t="shared" si="0"/>
        <v>44118</v>
      </c>
      <c r="C43" s="132">
        <f t="shared" si="1"/>
        <v>44119</v>
      </c>
      <c r="D43" s="52"/>
      <c r="E43" s="130">
        <f>IF(SUM(E$29:E42)=$I$24,0,IF((D43&lt;=$I$24-SUM(E$29:E42)),D43,$I$24-SUM(E$29:E42)))</f>
        <v>0</v>
      </c>
      <c r="F43" s="130">
        <f>IF($I$19&gt;0,IF(SUM(F$29:F42)&lt;$I$19,IF((D43-E43)&gt;0,IF($I$20=0,IF($I$19-SUM(F$29:F42)&gt;D43,D43,$I$19-SUM(F$29:F42)),E43),D43),0)+IF($I$20&gt;0,IF(D43-$I$20-SUM($H$29:H42)-IF($I$19=0,0,E43)&gt;0,IF(D43-$I$20-SUM($H$29:H42)-IF($I$19=0,0,E43)&gt;$I$19,$I$19-SUM(F$29:F42)-E43,D43-$I$20-SUM($H$29:H42)-IF($I$19=0,0,E43)),0),0),0)</f>
        <v>0</v>
      </c>
      <c r="G43" s="130">
        <f t="shared" si="2"/>
        <v>0</v>
      </c>
      <c r="H43" s="130">
        <f t="shared" si="5"/>
        <v>0</v>
      </c>
      <c r="I43" s="130"/>
      <c r="J43" s="130"/>
      <c r="K43" s="130">
        <f t="shared" si="6"/>
        <v>2083.98</v>
      </c>
      <c r="L43" s="130">
        <f t="shared" si="7"/>
        <v>1.2840742520547934</v>
      </c>
      <c r="M43" s="130">
        <f t="shared" si="8"/>
        <v>19.178334672561565</v>
      </c>
      <c r="N43" s="130">
        <f t="shared" si="3"/>
        <v>1052.67</v>
      </c>
      <c r="O43" s="130">
        <f t="shared" si="9"/>
        <v>0.64999999999999991</v>
      </c>
      <c r="P43" s="130">
        <f t="shared" si="10"/>
        <v>3.32</v>
      </c>
      <c r="Q43" s="130">
        <f t="shared" si="11"/>
        <v>3116.09</v>
      </c>
      <c r="R43" s="130">
        <v>200</v>
      </c>
      <c r="S43" s="130">
        <v>10</v>
      </c>
      <c r="T43" s="130">
        <f>T42+U42+R43+S43-H43</f>
        <v>420.51806104503675</v>
      </c>
      <c r="U43" s="130">
        <f t="shared" si="4"/>
        <v>0.34551607262303163</v>
      </c>
      <c r="V43" s="133">
        <f t="shared" si="12"/>
        <v>0.86357711765975531</v>
      </c>
      <c r="W43" s="134">
        <f t="shared" si="13"/>
        <v>420</v>
      </c>
    </row>
    <row r="44" spans="2:23" x14ac:dyDescent="0.35">
      <c r="B44" s="47">
        <f t="shared" si="0"/>
        <v>44119</v>
      </c>
      <c r="C44" s="48">
        <f t="shared" si="1"/>
        <v>44120</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2085.2600000000002</v>
      </c>
      <c r="L44" s="13">
        <f t="shared" si="7"/>
        <v>1.2848629424657538</v>
      </c>
      <c r="M44" s="13">
        <f t="shared" si="8"/>
        <v>20.463197615027319</v>
      </c>
      <c r="N44" s="13">
        <f t="shared" si="3"/>
        <v>1053.32</v>
      </c>
      <c r="O44" s="13">
        <f t="shared" si="9"/>
        <v>0.65000000000000036</v>
      </c>
      <c r="P44" s="13">
        <f t="shared" si="10"/>
        <v>3.97</v>
      </c>
      <c r="Q44" s="13">
        <f t="shared" si="11"/>
        <v>3116.08</v>
      </c>
      <c r="R44" s="17"/>
      <c r="S44" s="17"/>
      <c r="T44" s="17">
        <f t="shared" si="14"/>
        <v>420.86357711765976</v>
      </c>
      <c r="U44" s="17">
        <f t="shared" si="4"/>
        <v>0.34579996377420863</v>
      </c>
      <c r="V44" s="18">
        <f t="shared" si="12"/>
        <v>1.2093770814339639</v>
      </c>
      <c r="W44" s="16">
        <f t="shared" si="13"/>
        <v>420</v>
      </c>
    </row>
    <row r="45" spans="2:23" x14ac:dyDescent="0.35">
      <c r="B45" s="47">
        <f t="shared" si="0"/>
        <v>44120</v>
      </c>
      <c r="C45" s="48">
        <f t="shared" si="1"/>
        <v>44121</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2086.54</v>
      </c>
      <c r="L45" s="13">
        <f t="shared" si="7"/>
        <v>1.2856516328767107</v>
      </c>
      <c r="M45" s="13">
        <f t="shared" si="8"/>
        <v>21.74884924790403</v>
      </c>
      <c r="N45" s="13">
        <f t="shared" si="3"/>
        <v>1053.97</v>
      </c>
      <c r="O45" s="13">
        <f t="shared" si="9"/>
        <v>0.64999999999999991</v>
      </c>
      <c r="P45" s="13">
        <f t="shared" si="10"/>
        <v>4.62</v>
      </c>
      <c r="Q45" s="13">
        <f t="shared" si="11"/>
        <v>3116.08</v>
      </c>
      <c r="R45" s="17"/>
      <c r="S45" s="17"/>
      <c r="T45" s="17">
        <f t="shared" si="14"/>
        <v>421.20937708143396</v>
      </c>
      <c r="U45" s="17">
        <f t="shared" si="4"/>
        <v>0.34608408818280001</v>
      </c>
      <c r="V45" s="18">
        <f t="shared" si="12"/>
        <v>1.555461169616764</v>
      </c>
      <c r="W45" s="16">
        <f>IF(T45=0,0,W44+R45+S45-H45)</f>
        <v>420</v>
      </c>
    </row>
    <row r="46" spans="2:23" x14ac:dyDescent="0.35">
      <c r="B46" s="47">
        <f t="shared" si="0"/>
        <v>44121</v>
      </c>
      <c r="C46" s="48">
        <f t="shared" si="1"/>
        <v>44122</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2087.83</v>
      </c>
      <c r="L46" s="13">
        <f t="shared" si="7"/>
        <v>1.2864464849315063</v>
      </c>
      <c r="M46" s="13">
        <f t="shared" si="8"/>
        <v>23.035295732835536</v>
      </c>
      <c r="N46" s="13">
        <f t="shared" si="3"/>
        <v>1054.6199999999999</v>
      </c>
      <c r="O46" s="13">
        <f t="shared" si="9"/>
        <v>0.64999999999999947</v>
      </c>
      <c r="P46" s="13">
        <f t="shared" si="10"/>
        <v>5.27</v>
      </c>
      <c r="Q46" s="13">
        <f t="shared" si="11"/>
        <v>3116.08</v>
      </c>
      <c r="R46" s="17"/>
      <c r="S46" s="17"/>
      <c r="T46" s="17">
        <f t="shared" si="14"/>
        <v>421.55546116961676</v>
      </c>
      <c r="U46" s="17">
        <f t="shared" si="4"/>
        <v>0.34636844604046058</v>
      </c>
      <c r="V46" s="18">
        <f t="shared" si="12"/>
        <v>1.9018296156572245</v>
      </c>
      <c r="W46" s="16">
        <f>IF(T46=0,0,W45+R46+S46-H46)</f>
        <v>420</v>
      </c>
    </row>
    <row r="47" spans="2:23" x14ac:dyDescent="0.35">
      <c r="B47" s="47">
        <f t="shared" si="0"/>
        <v>44122</v>
      </c>
      <c r="C47" s="48">
        <f t="shared" si="1"/>
        <v>44123</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2089.12</v>
      </c>
      <c r="L47" s="13">
        <f t="shared" si="7"/>
        <v>1.2872413369863018</v>
      </c>
      <c r="M47" s="13">
        <f t="shared" si="8"/>
        <v>24.322537069821838</v>
      </c>
      <c r="N47" s="13">
        <f t="shared" si="3"/>
        <v>1055.27</v>
      </c>
      <c r="O47" s="13">
        <f t="shared" si="9"/>
        <v>0.65000000000000036</v>
      </c>
      <c r="P47" s="13">
        <f t="shared" si="10"/>
        <v>5.92</v>
      </c>
      <c r="Q47" s="13">
        <f t="shared" si="11"/>
        <v>3116.08</v>
      </c>
      <c r="R47" s="17"/>
      <c r="S47" s="17"/>
      <c r="T47" s="17">
        <f t="shared" si="14"/>
        <v>421.90182961565722</v>
      </c>
      <c r="U47" s="17">
        <f t="shared" si="4"/>
        <v>0.34665303753900156</v>
      </c>
      <c r="V47" s="18">
        <f t="shared" si="12"/>
        <v>2.2484826531962261</v>
      </c>
      <c r="W47" s="16">
        <f t="shared" si="13"/>
        <v>420</v>
      </c>
    </row>
    <row r="48" spans="2:23" s="135" customFormat="1" x14ac:dyDescent="0.35">
      <c r="B48" s="131">
        <f t="shared" si="0"/>
        <v>44123</v>
      </c>
      <c r="C48" s="132">
        <f t="shared" si="1"/>
        <v>44124</v>
      </c>
      <c r="D48" s="52"/>
      <c r="E48" s="130">
        <f>IF(SUM(E$29:E47)=$I$24,0,IF((D48&lt;=$I$24-SUM(E$29:E47)),D48,$I$24-SUM(E$29:E47)))</f>
        <v>0</v>
      </c>
      <c r="F48" s="130">
        <f>IF($I$19&gt;0,IF(SUM(F$29:F47)&lt;$I$19,IF((D48-E48)&gt;0,IF($I$20=0,IF($I$19-SUM(F$29:F47)&gt;D48,D48,$I$19-SUM(F$29:F47)),E48),D48),0)+IF($I$20&gt;0,IF(D48-$I$20-SUM($H$29:H47)-IF($I$19=0,0,E48)&gt;0,IF(D48-$I$20-SUM($H$29:H47)-IF($I$19=0,0,E48)&gt;$I$19,$I$19-SUM(F$29:F47)-E48,D48-$I$20-SUM($H$29:H47)-IF($I$19=0,0,E48)),0),0),0)</f>
        <v>0</v>
      </c>
      <c r="G48" s="130">
        <f t="shared" si="2"/>
        <v>0</v>
      </c>
      <c r="H48" s="130">
        <f t="shared" si="5"/>
        <v>0</v>
      </c>
      <c r="I48" s="130"/>
      <c r="J48" s="130"/>
      <c r="K48" s="130">
        <f t="shared" si="6"/>
        <v>2090.41</v>
      </c>
      <c r="L48" s="130">
        <f t="shared" si="7"/>
        <v>1.2880361890410974</v>
      </c>
      <c r="M48" s="130">
        <f t="shared" si="8"/>
        <v>25.610573258862935</v>
      </c>
      <c r="N48" s="130">
        <f t="shared" si="3"/>
        <v>1055.92</v>
      </c>
      <c r="O48" s="130">
        <f t="shared" si="9"/>
        <v>0.65000000000000036</v>
      </c>
      <c r="P48" s="130">
        <f t="shared" si="10"/>
        <v>6.57</v>
      </c>
      <c r="Q48" s="130">
        <f t="shared" si="11"/>
        <v>3116.09</v>
      </c>
      <c r="R48" s="130">
        <v>200</v>
      </c>
      <c r="S48" s="130">
        <v>10</v>
      </c>
      <c r="T48" s="130">
        <f t="shared" si="14"/>
        <v>632.24848265319622</v>
      </c>
      <c r="U48" s="130">
        <f t="shared" si="4"/>
        <v>0.51948306834984548</v>
      </c>
      <c r="V48" s="133">
        <f t="shared" si="12"/>
        <v>2.7679657215460716</v>
      </c>
      <c r="W48" s="134">
        <f t="shared" si="13"/>
        <v>630</v>
      </c>
    </row>
    <row r="49" spans="2:23" x14ac:dyDescent="0.35">
      <c r="B49" s="47">
        <f t="shared" si="0"/>
        <v>44124</v>
      </c>
      <c r="C49" s="48">
        <f t="shared" si="1"/>
        <v>44125</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2091.6999999999998</v>
      </c>
      <c r="L49" s="13">
        <f t="shared" si="7"/>
        <v>1.2888310410958894</v>
      </c>
      <c r="M49" s="13">
        <f t="shared" si="8"/>
        <v>26.899404299958825</v>
      </c>
      <c r="N49" s="13">
        <f t="shared" si="3"/>
        <v>1056.57</v>
      </c>
      <c r="O49" s="13">
        <f t="shared" si="9"/>
        <v>0.64999999999999947</v>
      </c>
      <c r="P49" s="13">
        <f t="shared" si="10"/>
        <v>7.22</v>
      </c>
      <c r="Q49" s="13">
        <f t="shared" si="11"/>
        <v>3116.09</v>
      </c>
      <c r="R49" s="17"/>
      <c r="S49" s="17"/>
      <c r="T49" s="17">
        <f t="shared" si="14"/>
        <v>632.76796572154603</v>
      </c>
      <c r="U49" s="17">
        <f t="shared" si="4"/>
        <v>0.51990989841066204</v>
      </c>
      <c r="V49" s="18">
        <f t="shared" si="12"/>
        <v>3.2878756199567336</v>
      </c>
      <c r="W49" s="16">
        <f t="shared" si="13"/>
        <v>630</v>
      </c>
    </row>
    <row r="50" spans="2:23" x14ac:dyDescent="0.35">
      <c r="B50" s="47">
        <f t="shared" si="0"/>
        <v>44125</v>
      </c>
      <c r="C50" s="48">
        <f t="shared" si="1"/>
        <v>44126</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2092.9899999999998</v>
      </c>
      <c r="L50" s="13">
        <f t="shared" si="7"/>
        <v>1.289625893150685</v>
      </c>
      <c r="M50" s="13">
        <f t="shared" si="8"/>
        <v>28.18903019310951</v>
      </c>
      <c r="N50" s="13">
        <f t="shared" si="3"/>
        <v>1057.22</v>
      </c>
      <c r="O50" s="13">
        <f t="shared" si="9"/>
        <v>0.65000000000000036</v>
      </c>
      <c r="P50" s="13">
        <f t="shared" si="10"/>
        <v>7.87</v>
      </c>
      <c r="Q50" s="13">
        <f t="shared" si="11"/>
        <v>3116.09</v>
      </c>
      <c r="R50" s="17"/>
      <c r="S50" s="17"/>
      <c r="T50" s="17">
        <f t="shared" si="14"/>
        <v>633.28787561995671</v>
      </c>
      <c r="U50" s="17">
        <f t="shared" si="4"/>
        <v>0.52033707917376715</v>
      </c>
      <c r="V50" s="18">
        <f t="shared" si="12"/>
        <v>3.8082126991305008</v>
      </c>
      <c r="W50" s="16">
        <f t="shared" si="13"/>
        <v>630</v>
      </c>
    </row>
    <row r="51" spans="2:23" x14ac:dyDescent="0.35">
      <c r="B51" s="47">
        <f t="shared" si="0"/>
        <v>44126</v>
      </c>
      <c r="C51" s="48">
        <f t="shared" si="1"/>
        <v>44127</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2094.2800000000002</v>
      </c>
      <c r="L51" s="13">
        <f t="shared" si="7"/>
        <v>1.2904207452054806</v>
      </c>
      <c r="M51" s="13">
        <f t="shared" si="8"/>
        <v>29.47945093831499</v>
      </c>
      <c r="N51" s="13">
        <f t="shared" si="3"/>
        <v>1057.8699999999999</v>
      </c>
      <c r="O51" s="13">
        <f t="shared" si="9"/>
        <v>0.64999999999999947</v>
      </c>
      <c r="P51" s="13">
        <f t="shared" si="10"/>
        <v>8.52</v>
      </c>
      <c r="Q51" s="13">
        <f t="shared" si="11"/>
        <v>3116.09</v>
      </c>
      <c r="R51" s="17"/>
      <c r="S51" s="17"/>
      <c r="T51" s="17">
        <f t="shared" si="14"/>
        <v>633.80821269913042</v>
      </c>
      <c r="U51" s="17">
        <f t="shared" si="4"/>
        <v>0.52076461092731341</v>
      </c>
      <c r="V51" s="18">
        <f t="shared" si="12"/>
        <v>4.3289773100578142</v>
      </c>
      <c r="W51" s="16">
        <f t="shared" si="13"/>
        <v>630</v>
      </c>
    </row>
    <row r="52" spans="2:23" x14ac:dyDescent="0.35">
      <c r="B52" s="47">
        <f t="shared" si="0"/>
        <v>44127</v>
      </c>
      <c r="C52" s="48">
        <f t="shared" si="1"/>
        <v>44128</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2095.5700000000002</v>
      </c>
      <c r="L52" s="13">
        <f t="shared" si="7"/>
        <v>1.2912155972602726</v>
      </c>
      <c r="M52" s="13">
        <f t="shared" si="8"/>
        <v>30.770666535575263</v>
      </c>
      <c r="N52" s="13">
        <f>ROUND(N51+I52+J52+O51-G52,2)</f>
        <v>1058.52</v>
      </c>
      <c r="O52" s="13">
        <f t="shared" si="9"/>
        <v>0.65000000000000036</v>
      </c>
      <c r="P52" s="13">
        <f t="shared" si="10"/>
        <v>9.17</v>
      </c>
      <c r="Q52" s="13">
        <f t="shared" si="11"/>
        <v>3116.09</v>
      </c>
      <c r="R52" s="17"/>
      <c r="S52" s="17"/>
      <c r="T52" s="17">
        <f t="shared" si="14"/>
        <v>634.32897731005778</v>
      </c>
      <c r="U52" s="17">
        <f t="shared" si="4"/>
        <v>0.52119249395968836</v>
      </c>
      <c r="V52" s="18">
        <f t="shared" si="12"/>
        <v>4.8501698040175025</v>
      </c>
      <c r="W52" s="16">
        <f t="shared" si="13"/>
        <v>630</v>
      </c>
    </row>
    <row r="53" spans="2:23" x14ac:dyDescent="0.35">
      <c r="B53" s="47">
        <f t="shared" si="0"/>
        <v>44128</v>
      </c>
      <c r="C53" s="48">
        <f t="shared" si="1"/>
        <v>44129</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2096.86</v>
      </c>
      <c r="L53" s="13">
        <f t="shared" si="7"/>
        <v>1.2920104493150681</v>
      </c>
      <c r="M53" s="13">
        <f t="shared" si="8"/>
        <v>32.062676984890331</v>
      </c>
      <c r="N53" s="13">
        <f t="shared" si="3"/>
        <v>1059.17</v>
      </c>
      <c r="O53" s="13">
        <f t="shared" si="9"/>
        <v>0.65000000000000036</v>
      </c>
      <c r="P53" s="13">
        <f t="shared" si="10"/>
        <v>9.82</v>
      </c>
      <c r="Q53" s="13">
        <f t="shared" si="11"/>
        <v>3116.09</v>
      </c>
      <c r="R53" s="17"/>
      <c r="S53" s="17"/>
      <c r="T53" s="17">
        <f t="shared" si="14"/>
        <v>634.85016980401747</v>
      </c>
      <c r="U53" s="17">
        <f t="shared" si="4"/>
        <v>0.5216207285595198</v>
      </c>
      <c r="V53" s="18">
        <f t="shared" si="12"/>
        <v>5.3717905325770223</v>
      </c>
      <c r="W53" s="16">
        <f t="shared" si="13"/>
        <v>630</v>
      </c>
    </row>
    <row r="54" spans="2:23" x14ac:dyDescent="0.35">
      <c r="B54" s="47">
        <f t="shared" si="0"/>
        <v>44129</v>
      </c>
      <c r="C54" s="48">
        <f t="shared" si="1"/>
        <v>44130</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2098.15</v>
      </c>
      <c r="L54" s="13">
        <f t="shared" si="7"/>
        <v>1.2928053013698602</v>
      </c>
      <c r="M54" s="13">
        <f t="shared" si="8"/>
        <v>33.355482286260191</v>
      </c>
      <c r="N54" s="13">
        <f t="shared" si="3"/>
        <v>1059.82</v>
      </c>
      <c r="O54" s="13">
        <f t="shared" si="9"/>
        <v>0.65000000000000036</v>
      </c>
      <c r="P54" s="13">
        <f>ROUND(P53+N54*$F$22,2)</f>
        <v>10.47</v>
      </c>
      <c r="Q54" s="13">
        <f t="shared" si="11"/>
        <v>3116.09</v>
      </c>
      <c r="R54" s="17"/>
      <c r="S54" s="17"/>
      <c r="T54" s="17">
        <f t="shared" si="14"/>
        <v>635.37179053257694</v>
      </c>
      <c r="U54" s="17">
        <f t="shared" si="4"/>
        <v>0.52204931501567042</v>
      </c>
      <c r="V54" s="18">
        <f t="shared" si="12"/>
        <v>5.8938398475926927</v>
      </c>
      <c r="W54" s="16">
        <f t="shared" si="13"/>
        <v>630</v>
      </c>
    </row>
    <row r="55" spans="2:23" x14ac:dyDescent="0.35">
      <c r="B55" s="47">
        <f t="shared" si="0"/>
        <v>44130</v>
      </c>
      <c r="C55" s="48">
        <f t="shared" si="1"/>
        <v>44131</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2099.44</v>
      </c>
      <c r="L55" s="13">
        <f t="shared" si="7"/>
        <v>1.2936001534246557</v>
      </c>
      <c r="M55" s="13">
        <f t="shared" si="8"/>
        <v>34.649082439684847</v>
      </c>
      <c r="N55" s="13">
        <f t="shared" si="3"/>
        <v>1060.47</v>
      </c>
      <c r="O55" s="13">
        <f t="shared" si="9"/>
        <v>0.64999999999999858</v>
      </c>
      <c r="P55" s="13">
        <f t="shared" si="10"/>
        <v>11.12</v>
      </c>
      <c r="Q55" s="13">
        <f t="shared" si="11"/>
        <v>3116.08</v>
      </c>
      <c r="R55" s="17"/>
      <c r="S55" s="17"/>
      <c r="T55" s="17">
        <f t="shared" si="14"/>
        <v>635.89383984759263</v>
      </c>
      <c r="U55" s="17">
        <f t="shared" si="4"/>
        <v>0.52247825361724143</v>
      </c>
      <c r="V55" s="18">
        <f t="shared" si="12"/>
        <v>6.4163181012099342</v>
      </c>
      <c r="W55" s="16">
        <f t="shared" si="13"/>
        <v>630</v>
      </c>
    </row>
    <row r="56" spans="2:23" x14ac:dyDescent="0.35">
      <c r="B56" s="47">
        <f t="shared" si="0"/>
        <v>44131</v>
      </c>
      <c r="C56" s="48">
        <f t="shared" si="1"/>
        <v>44132</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2100.73</v>
      </c>
      <c r="L56" s="13">
        <f t="shared" si="7"/>
        <v>1.2943950054794513</v>
      </c>
      <c r="M56" s="13">
        <f t="shared" si="8"/>
        <v>35.943477445164298</v>
      </c>
      <c r="N56" s="13">
        <f t="shared" si="3"/>
        <v>1061.1199999999999</v>
      </c>
      <c r="O56" s="13">
        <f t="shared" si="9"/>
        <v>0.65000000000000036</v>
      </c>
      <c r="P56" s="13">
        <f t="shared" si="10"/>
        <v>11.77</v>
      </c>
      <c r="Q56" s="13">
        <f t="shared" si="11"/>
        <v>3116.08</v>
      </c>
      <c r="R56" s="17"/>
      <c r="S56" s="17"/>
      <c r="T56" s="17">
        <f t="shared" si="14"/>
        <v>636.41631810120987</v>
      </c>
      <c r="U56" s="17">
        <f t="shared" si="4"/>
        <v>0.52290754465356937</v>
      </c>
      <c r="V56" s="18">
        <f t="shared" si="12"/>
        <v>6.9392256458635035</v>
      </c>
      <c r="W56" s="16">
        <f t="shared" si="13"/>
        <v>630</v>
      </c>
    </row>
    <row r="57" spans="2:23" x14ac:dyDescent="0.35">
      <c r="B57" s="47">
        <f t="shared" si="0"/>
        <v>44132</v>
      </c>
      <c r="C57" s="48">
        <f t="shared" si="1"/>
        <v>44133</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2102.02</v>
      </c>
      <c r="L57" s="13">
        <f t="shared" si="7"/>
        <v>1.2951898575342469</v>
      </c>
      <c r="M57" s="13">
        <f t="shared" si="8"/>
        <v>37.238667302698545</v>
      </c>
      <c r="N57" s="13">
        <f t="shared" si="3"/>
        <v>1061.77</v>
      </c>
      <c r="O57" s="13">
        <f t="shared" si="9"/>
        <v>0.65000000000000036</v>
      </c>
      <c r="P57" s="13">
        <f>ROUND(P56+N57*$F$22,2)</f>
        <v>12.42</v>
      </c>
      <c r="Q57" s="13">
        <f t="shared" si="11"/>
        <v>3116.08</v>
      </c>
      <c r="R57" s="17"/>
      <c r="S57" s="17"/>
      <c r="T57" s="17">
        <f t="shared" si="14"/>
        <v>636.93922564586342</v>
      </c>
      <c r="U57" s="17">
        <f t="shared" si="4"/>
        <v>0.52333718841423149</v>
      </c>
      <c r="V57" s="18">
        <f t="shared" si="12"/>
        <v>7.462562834277735</v>
      </c>
      <c r="W57" s="16">
        <f t="shared" si="13"/>
        <v>630</v>
      </c>
    </row>
    <row r="58" spans="2:23" x14ac:dyDescent="0.35">
      <c r="B58" s="47">
        <f t="shared" ref="B58" si="15">C58-1</f>
        <v>44133</v>
      </c>
      <c r="C58" s="48">
        <f>C57+1</f>
        <v>44134</v>
      </c>
      <c r="D58" s="33"/>
      <c r="E58" s="13">
        <f>IF(SUM(E$29:E56)=$I$24,0,IF((D58&lt;=$I$24-SUM(E$29:E56)),D58,$I$24-SUM(E$29:E56)))</f>
        <v>0</v>
      </c>
      <c r="F58" s="13">
        <f>IF($I$19&gt;0,IF(SUM(F$29:F56)&lt;$I$19,IF((D58-E58)&gt;0,IF($I$20=0,IF($I$19-SUM(F$29:F56)&gt;D58,D58,$I$19-SUM(F$29:F56)),E58),D58),0)+IF($I$20&gt;0,IF(D58-$I$20-SUM($H$29:H56)-IF($I$19=0,0,E58)&gt;0,IF(D58-$I$20-SUM($H$29:H56)-IF($I$19=0,0,E58)&gt;$I$19,$I$19-SUM(F$29:F56)-E58,D58-$I$20-SUM($H$29:H56)-IF($I$19=0,0,E58)),0),0),0)</f>
        <v>0</v>
      </c>
      <c r="G58" s="13">
        <f t="shared" ref="G58" si="16">ROUND(D58-F58-H58,2)</f>
        <v>0</v>
      </c>
      <c r="H58" s="17">
        <f>IF((T56+U56-V56+R58+S58)&gt;0,IF($I$19=0,E58,0),0)+IF((T56+U56-V56+R58+S58)&gt;0,(IF((D58-F58)&gt;0,(IF((T56+U56-V56+R58+S58)&gt;(D58-F58),(D58-F58-IF($I$19=0,E58,0)),(T56+U56-V56+R58+S58-IF($I$19=0,E58,0)))),0)),0)</f>
        <v>0</v>
      </c>
      <c r="I58" s="13"/>
      <c r="J58" s="13"/>
      <c r="K58" s="13">
        <f>IF(SUM($F$29:$F$53)&gt;=$I$19,0,ROUND(K56+L56-F58,2))</f>
        <v>2102.02</v>
      </c>
      <c r="L58" s="13">
        <f>M58-M56</f>
        <v>1.2951898575342469</v>
      </c>
      <c r="M58" s="13">
        <f>IF(K58=0,0,M56+K58*$F$22)</f>
        <v>37.238667302698545</v>
      </c>
      <c r="N58" s="13">
        <f>ROUND(N56+I58+J58+O56-G58,2)</f>
        <v>1061.77</v>
      </c>
      <c r="O58" s="13">
        <f>P58-P56</f>
        <v>0.65000000000000036</v>
      </c>
      <c r="P58" s="13">
        <f>ROUND(P56+N58*$F$22,2)</f>
        <v>12.42</v>
      </c>
      <c r="Q58" s="13">
        <f>ROUND(N58+K58-M56-P56,2)</f>
        <v>3116.08</v>
      </c>
      <c r="R58" s="17"/>
      <c r="S58" s="17"/>
      <c r="T58" s="17">
        <f>T56+U56+R58+S58-H58</f>
        <v>636.93922564586342</v>
      </c>
      <c r="U58" s="17">
        <f>V58-V56</f>
        <v>0.52333718841423149</v>
      </c>
      <c r="V58" s="18">
        <f>V56+T58*$F$23</f>
        <v>7.462562834277735</v>
      </c>
      <c r="W58" s="16">
        <f>IF(T58=0,0,W56+R58+S58-H58)</f>
        <v>630</v>
      </c>
    </row>
    <row r="59" spans="2:23" ht="15" thickBot="1" x14ac:dyDescent="0.4">
      <c r="B59" s="47">
        <f t="shared" si="0"/>
        <v>44134</v>
      </c>
      <c r="C59" s="48">
        <f>C58+1</f>
        <v>44135</v>
      </c>
      <c r="D59" s="33"/>
      <c r="E59" s="13">
        <f>IF(SUM(E$29:E57)=$I$24,0,IF((D59&lt;=$I$24-SUM(E$29:E57)),D59,$I$24-SUM(E$29:E57)))</f>
        <v>0</v>
      </c>
      <c r="F59" s="13">
        <f>IF($I$19&gt;0,IF(SUM(F$29:F57)&lt;$I$19,IF((D59-E59)&gt;0,IF($I$20=0,IF($I$19-SUM(F$29:F57)&gt;D59,D59,$I$19-SUM(F$29:F57)),E59),D59),0)+IF($I$20&gt;0,IF(D59-$I$20-SUM($H$29:H57)-IF($I$19=0,0,E59)&gt;0,IF(D59-$I$20-SUM($H$29:H57)-IF($I$19=0,0,E59)&gt;$I$19,$I$19-SUM(F$29:F57)-E59,D59-$I$20-SUM($H$29:H57)-IF($I$19=0,0,E59)),0),0),0)</f>
        <v>0</v>
      </c>
      <c r="G59" s="13">
        <f t="shared" si="2"/>
        <v>0</v>
      </c>
      <c r="H59" s="17">
        <f>IF((T57+U57-V57+R59+S59)&gt;0,IF($I$19=0,E59,0),0)+IF((T57+U57-V57+R59+S59)&gt;0,(IF((D59-F59)&gt;0,(IF((T57+U57-V57+R59+S59)&gt;(D59-F59),(D59-F59-IF($I$19=0,E59,0)),(T57+U57-V57+R59+S59-IF($I$19=0,E59,0)))),0)),0)</f>
        <v>0</v>
      </c>
      <c r="I59" s="13"/>
      <c r="J59" s="13"/>
      <c r="K59" s="13">
        <f>IF(SUM($F$29:$F$53)&gt;=$I$19,0,ROUND(K57+L57-F59,2))</f>
        <v>2103.3200000000002</v>
      </c>
      <c r="L59" s="13">
        <f>M59-M57</f>
        <v>1.295990871232874</v>
      </c>
      <c r="M59" s="13">
        <f>IF(K59=0,0,M57+K59*$F$22)</f>
        <v>38.534658173931419</v>
      </c>
      <c r="N59" s="13">
        <f>ROUND(N57+I59+J59+O57-G59,2)</f>
        <v>1062.42</v>
      </c>
      <c r="O59" s="13">
        <f>P59-P57</f>
        <v>0.65000000000000036</v>
      </c>
      <c r="P59" s="13">
        <f>ROUND(P57+N59*$F$22,2)</f>
        <v>13.07</v>
      </c>
      <c r="Q59" s="13">
        <f>ROUND(N59+K59-M57-P57,2)</f>
        <v>3116.08</v>
      </c>
      <c r="R59" s="17"/>
      <c r="S59" s="17"/>
      <c r="T59" s="17">
        <f>T57+U57+R59+S59-H59</f>
        <v>637.46256283427761</v>
      </c>
      <c r="U59" s="17">
        <f>V59-V57</f>
        <v>0.52376718518904042</v>
      </c>
      <c r="V59" s="18">
        <f>V57+T59*$F$23</f>
        <v>7.9863300194667755</v>
      </c>
      <c r="W59" s="16">
        <f>IF(T59=0,0,W57+R59+S59-H59)</f>
        <v>630</v>
      </c>
    </row>
    <row r="60" spans="2:23" ht="15" thickBot="1" x14ac:dyDescent="0.4">
      <c r="B60" s="111" t="s">
        <v>49</v>
      </c>
      <c r="C60" s="112"/>
      <c r="D60" s="67">
        <f t="shared" ref="D60:L60" si="17">SUM(D29:D59)</f>
        <v>0</v>
      </c>
      <c r="E60" s="21">
        <f t="shared" si="17"/>
        <v>0</v>
      </c>
      <c r="F60" s="21">
        <f t="shared" si="17"/>
        <v>0</v>
      </c>
      <c r="G60" s="21">
        <f t="shared" si="17"/>
        <v>0</v>
      </c>
      <c r="H60" s="22">
        <f t="shared" si="17"/>
        <v>0</v>
      </c>
      <c r="I60" s="20">
        <f t="shared" si="17"/>
        <v>1000</v>
      </c>
      <c r="J60" s="21">
        <f t="shared" si="17"/>
        <v>50</v>
      </c>
      <c r="K60" s="21">
        <f t="shared" si="17"/>
        <v>64641.594181791785</v>
      </c>
      <c r="L60" s="74">
        <f t="shared" si="17"/>
        <v>39.829848031465666</v>
      </c>
      <c r="M60" s="20"/>
      <c r="N60" s="21">
        <f>SUM(N29:N59)</f>
        <v>22337.11</v>
      </c>
      <c r="O60" s="21">
        <f>SUM(O29:O59)</f>
        <v>13.72</v>
      </c>
      <c r="P60" s="20"/>
      <c r="Q60" s="20"/>
      <c r="R60" s="22">
        <f>SUM(R29:R59)</f>
        <v>600</v>
      </c>
      <c r="S60" s="22">
        <f>SUM(S29:S59)</f>
        <v>30</v>
      </c>
      <c r="T60" s="22">
        <f>SUM(T29:T59)</f>
        <v>10356.880729831835</v>
      </c>
      <c r="U60" s="22">
        <f>SUM(U29:U59)</f>
        <v>8.5096672078810069</v>
      </c>
      <c r="V60" s="23"/>
      <c r="W60" s="23"/>
    </row>
    <row r="61" spans="2:23" ht="15" thickBot="1" x14ac:dyDescent="0.4">
      <c r="G61" s="61"/>
      <c r="J61" s="82" t="s">
        <v>71</v>
      </c>
      <c r="K61" s="82">
        <f>K60/$C$18</f>
        <v>2085.2127155416706</v>
      </c>
      <c r="M61" s="82" t="s">
        <v>69</v>
      </c>
      <c r="N61" s="82">
        <f>N60/$C$18</f>
        <v>720.55193548387103</v>
      </c>
      <c r="O61" s="61"/>
      <c r="S61" s="82" t="s">
        <v>65</v>
      </c>
      <c r="T61" s="82">
        <f>T60/$C$18</f>
        <v>334.0929267687689</v>
      </c>
    </row>
    <row r="62" spans="2:23" ht="15" thickBot="1" x14ac:dyDescent="0.4">
      <c r="H62" s="2"/>
      <c r="J62" s="82" t="s">
        <v>72</v>
      </c>
      <c r="K62" s="82">
        <f>M59</f>
        <v>38.534658173931419</v>
      </c>
      <c r="M62" s="82" t="s">
        <v>70</v>
      </c>
      <c r="N62" s="82">
        <f>IF(ROUND(N59,2)=0,0,N61*$F$22*$C$18)</f>
        <v>13.763331613698632</v>
      </c>
      <c r="S62" s="82" t="s">
        <v>64</v>
      </c>
      <c r="T62" s="82">
        <f>T61*$F$23*$C$18</f>
        <v>8.5096672078810069</v>
      </c>
    </row>
    <row r="63" spans="2:23" x14ac:dyDescent="0.35">
      <c r="M63" s="61"/>
      <c r="N63" s="61"/>
    </row>
    <row r="65" spans="11:15" ht="15" thickBot="1" x14ac:dyDescent="0.4">
      <c r="K65" s="61">
        <f>SUM(K27:K53)</f>
        <v>52035.914181791784</v>
      </c>
      <c r="N65" s="61">
        <f>SUM(N29:N43)</f>
        <v>5407.2899999999991</v>
      </c>
      <c r="O65" s="61">
        <f>SUM(O29:O43)</f>
        <v>3.32</v>
      </c>
    </row>
    <row r="66" spans="11:15" ht="15" thickBot="1" x14ac:dyDescent="0.4">
      <c r="K66" s="82">
        <f>K65/$C$18</f>
        <v>1678.5778768319931</v>
      </c>
      <c r="N66" s="82">
        <f>N65/14</f>
        <v>386.23499999999996</v>
      </c>
      <c r="O66" s="82">
        <f>O65/14</f>
        <v>0.23714285714285713</v>
      </c>
    </row>
    <row r="67" spans="11:15" ht="15" thickBot="1" x14ac:dyDescent="0.4">
      <c r="K67" s="82">
        <f>ROUND(K66*$F$22*$C$18,2)</f>
        <v>32.06</v>
      </c>
      <c r="N67" s="82">
        <f>ROUND(N66*$F$22*14,2)</f>
        <v>3.33</v>
      </c>
      <c r="O67" s="82">
        <f>ROUND(O66*$F$22*14,2)</f>
        <v>0</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X79"/>
  <sheetViews>
    <sheetView topLeftCell="A15" zoomScale="56" zoomScaleNormal="70" workbookViewId="0">
      <selection activeCell="F16" sqref="F1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44165</v>
      </c>
    </row>
    <row r="4" spans="2:12" ht="15" thickBot="1" x14ac:dyDescent="0.4">
      <c r="B4"/>
      <c r="C4"/>
      <c r="E4" s="62" t="s">
        <v>25</v>
      </c>
      <c r="F4" s="62">
        <f>'Feb Statement'!F11</f>
        <v>3499.2409323092115</v>
      </c>
    </row>
    <row r="5" spans="2:12" ht="15" thickBot="1" x14ac:dyDescent="0.4">
      <c r="B5" s="29" t="s">
        <v>5</v>
      </c>
      <c r="C5" s="38">
        <v>44986</v>
      </c>
      <c r="E5" s="32" t="s">
        <v>10</v>
      </c>
      <c r="F5" s="33">
        <f>SUM(I11:I12)</f>
        <v>0</v>
      </c>
    </row>
    <row r="6" spans="2:12" x14ac:dyDescent="0.35">
      <c r="B6" s="30" t="s">
        <v>8</v>
      </c>
      <c r="C6" s="39">
        <v>45016</v>
      </c>
      <c r="E6" s="34" t="s">
        <v>26</v>
      </c>
      <c r="F6" s="35">
        <f>I59</f>
        <v>0</v>
      </c>
      <c r="H6" s="96" t="s">
        <v>40</v>
      </c>
      <c r="I6" s="97"/>
    </row>
    <row r="7" spans="2:12" ht="29" x14ac:dyDescent="0.35">
      <c r="B7" s="30" t="s">
        <v>6</v>
      </c>
      <c r="C7" s="40">
        <v>31</v>
      </c>
      <c r="E7" s="34" t="s">
        <v>27</v>
      </c>
      <c r="F7" s="35">
        <f>R59</f>
        <v>600</v>
      </c>
      <c r="H7" s="7" t="s">
        <v>37</v>
      </c>
      <c r="I7" s="8">
        <f>J59</f>
        <v>0</v>
      </c>
      <c r="L7" s="61"/>
    </row>
    <row r="8" spans="2:12" ht="29.5" thickBot="1" x14ac:dyDescent="0.4">
      <c r="B8" s="31" t="s">
        <v>7</v>
      </c>
      <c r="C8" s="41">
        <f>C6+C3</f>
        <v>45041</v>
      </c>
      <c r="E8" s="34" t="s">
        <v>28</v>
      </c>
      <c r="F8" s="35">
        <f>SUM(I7:I8)</f>
        <v>30</v>
      </c>
      <c r="H8" s="49" t="s">
        <v>38</v>
      </c>
      <c r="I8" s="50">
        <f>S59</f>
        <v>30</v>
      </c>
      <c r="L8" s="61"/>
    </row>
    <row r="9" spans="2:12" ht="29.5" customHeight="1" thickBot="1" x14ac:dyDescent="0.4">
      <c r="B9"/>
      <c r="C9" s="3"/>
      <c r="E9" s="34" t="s">
        <v>29</v>
      </c>
      <c r="F9" s="35">
        <f>SUM(I15:I16)</f>
        <v>23.914592934246571</v>
      </c>
      <c r="L9" s="61"/>
    </row>
    <row r="10" spans="2:12" ht="15" thickBot="1" x14ac:dyDescent="0.4">
      <c r="B10" s="29" t="s">
        <v>12</v>
      </c>
      <c r="C10" s="38">
        <f>'October Statement'!C16</f>
        <v>44105</v>
      </c>
      <c r="E10" s="4"/>
      <c r="F10" s="6"/>
      <c r="H10" s="114" t="s">
        <v>41</v>
      </c>
      <c r="I10" s="115"/>
      <c r="J10" s="116"/>
    </row>
    <row r="11" spans="2:12" ht="14.5" customHeight="1" x14ac:dyDescent="0.35">
      <c r="B11" s="30" t="s">
        <v>13</v>
      </c>
      <c r="C11" s="39">
        <f>C10+C12-1</f>
        <v>44135</v>
      </c>
      <c r="E11" s="55" t="s">
        <v>30</v>
      </c>
      <c r="F11" s="56">
        <f>F4+F6+F7+F8+F9-F5</f>
        <v>4153.1555252434582</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45255</v>
      </c>
      <c r="E13" s="53" t="s">
        <v>31</v>
      </c>
      <c r="F13" s="54">
        <v>10000</v>
      </c>
    </row>
    <row r="14" spans="2:12" x14ac:dyDescent="0.35">
      <c r="E14" s="51" t="s">
        <v>32</v>
      </c>
      <c r="F14" s="52">
        <f>F13-F11</f>
        <v>5846.8444747565418</v>
      </c>
      <c r="H14" s="96" t="s">
        <v>44</v>
      </c>
      <c r="I14" s="97"/>
    </row>
    <row r="15" spans="2:12" ht="29.5" thickBot="1" x14ac:dyDescent="0.4">
      <c r="B15"/>
      <c r="C15" s="3"/>
      <c r="E15" s="53" t="s">
        <v>33</v>
      </c>
      <c r="F15" s="54">
        <v>2000</v>
      </c>
      <c r="H15" s="7" t="s">
        <v>45</v>
      </c>
      <c r="I15" s="8"/>
    </row>
    <row r="16" spans="2:12" ht="29.5" thickBot="1" x14ac:dyDescent="0.4">
      <c r="B16" s="29" t="s">
        <v>3</v>
      </c>
      <c r="C16" s="38">
        <f>C10+C12</f>
        <v>44136</v>
      </c>
      <c r="E16" s="51" t="s">
        <v>34</v>
      </c>
      <c r="F16" s="52">
        <f>F15-F7-I16</f>
        <v>1376.0854070657533</v>
      </c>
      <c r="H16" s="49" t="s">
        <v>43</v>
      </c>
      <c r="I16" s="50">
        <f>T61</f>
        <v>23.914592934246571</v>
      </c>
    </row>
    <row r="17" spans="2:23" ht="15" thickBot="1" x14ac:dyDescent="0.4">
      <c r="B17" s="30" t="s">
        <v>9</v>
      </c>
      <c r="C17" s="39">
        <f>C16+C18-1</f>
        <v>44165</v>
      </c>
      <c r="E17" s="42" t="s">
        <v>0</v>
      </c>
      <c r="F17" s="39">
        <f>C17</f>
        <v>44165</v>
      </c>
    </row>
    <row r="18" spans="2:23" ht="15" thickBot="1" x14ac:dyDescent="0.4">
      <c r="B18" s="30" t="s">
        <v>4</v>
      </c>
      <c r="C18" s="40">
        <v>30</v>
      </c>
      <c r="E18" s="43" t="s">
        <v>2</v>
      </c>
      <c r="F18" s="44">
        <f>C18</f>
        <v>30</v>
      </c>
      <c r="H18" s="96" t="s">
        <v>51</v>
      </c>
      <c r="I18" s="97"/>
    </row>
    <row r="19" spans="2:23" ht="15" thickBot="1" x14ac:dyDescent="0.4">
      <c r="B19" s="31" t="s">
        <v>16</v>
      </c>
      <c r="C19" s="41">
        <f>C17+C3</f>
        <v>44190</v>
      </c>
      <c r="H19" s="7" t="s">
        <v>42</v>
      </c>
      <c r="I19" s="8">
        <f>'October Statement'!I19+'October Statement'!F6+'October Statement'!I7+'October Statement'!I15-'October Statement'!I11</f>
        <v>3154.6188399657121</v>
      </c>
    </row>
    <row r="20" spans="2:23" ht="15" thickBot="1" x14ac:dyDescent="0.4">
      <c r="H20" s="49" t="s">
        <v>43</v>
      </c>
      <c r="I20" s="50">
        <v>638.51</v>
      </c>
      <c r="J20" s="5"/>
    </row>
    <row r="21" spans="2:23" x14ac:dyDescent="0.35">
      <c r="B21" s="96" t="s">
        <v>17</v>
      </c>
      <c r="C21" s="97"/>
      <c r="E21" s="96" t="s">
        <v>22</v>
      </c>
      <c r="F21" s="97"/>
      <c r="I21" s="62">
        <f>SUM(I19:I20)</f>
        <v>3793.1288399657124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44135</v>
      </c>
      <c r="C29" s="47">
        <f>C16</f>
        <v>44136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0.65</v>
      </c>
      <c r="M29" s="12">
        <f>ROUND(K29*$F$22,2)</f>
        <v>0.65</v>
      </c>
      <c r="N29" s="12">
        <f>I29+J29-G29</f>
        <v>0</v>
      </c>
      <c r="O29" s="12">
        <f>P29</f>
        <v>0</v>
      </c>
      <c r="P29" s="12">
        <f>N29*$F$22</f>
        <v>0</v>
      </c>
      <c r="Q29" s="12">
        <f>K29+N29</f>
        <v>1050</v>
      </c>
      <c r="R29" s="15"/>
      <c r="S29" s="15"/>
      <c r="T29" s="15">
        <f>$I$20+R29+S29-H29</f>
        <v>638.51</v>
      </c>
      <c r="U29" s="15">
        <f>V29</f>
        <v>0.52</v>
      </c>
      <c r="V29" s="16">
        <f>ROUND(T29*$F$23,2)</f>
        <v>0.52</v>
      </c>
      <c r="W29" s="16">
        <f>IF(T29=0,0,$I$20+R29+S29-H29)</f>
        <v>638.51</v>
      </c>
    </row>
    <row r="30" spans="2:23" x14ac:dyDescent="0.35">
      <c r="B30" s="47">
        <f t="shared" ref="B30:B58" si="0">C30-1</f>
        <v>44136</v>
      </c>
      <c r="C30" s="48">
        <f t="shared" ref="C30:C58" si="1">C29+1</f>
        <v>44137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0.65</v>
      </c>
      <c r="M30" s="13">
        <f>IF(K30=0,0,M29+ROUND(K30*$F$22,2))</f>
        <v>1.3</v>
      </c>
      <c r="N30" s="13">
        <f t="shared" ref="N30:N58" si="3">ROUND(N29+I30+J30+O29-G30,2)</f>
        <v>0</v>
      </c>
      <c r="O30" s="13">
        <f>P30-P29</f>
        <v>0</v>
      </c>
      <c r="P30" s="13">
        <f>P29+ROUND(N30*$F$22,2)</f>
        <v>0</v>
      </c>
      <c r="Q30" s="13">
        <f>ROUND(N30+K30-M29-P29,2)</f>
        <v>1050</v>
      </c>
      <c r="R30" s="17"/>
      <c r="S30" s="17"/>
      <c r="T30" s="17">
        <f>T29+U29+R30+S30-H30</f>
        <v>639.03</v>
      </c>
      <c r="U30" s="17">
        <f t="shared" ref="U30:U58" si="4">V30-V29</f>
        <v>0.53</v>
      </c>
      <c r="V30" s="18">
        <f>V29+ROUND(T30*$F$23,2)</f>
        <v>1.05</v>
      </c>
      <c r="W30" s="16">
        <f>IF(T30=0,0,W29+R30+S30-H30)</f>
        <v>638.51</v>
      </c>
    </row>
    <row r="31" spans="2:23" x14ac:dyDescent="0.35">
      <c r="B31" s="47">
        <f t="shared" si="0"/>
        <v>44137</v>
      </c>
      <c r="C31" s="48">
        <f t="shared" si="1"/>
        <v>44138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1051.3</v>
      </c>
      <c r="L31" s="13">
        <f t="shared" ref="L31:L58" si="7">M31-M30</f>
        <v>0.65000000000000013</v>
      </c>
      <c r="M31" s="13">
        <f t="shared" ref="M31:M58" si="8">IF(K31=0,0,M30+ROUND(K31*$F$22,2))</f>
        <v>1.9500000000000002</v>
      </c>
      <c r="N31" s="13">
        <f t="shared" si="3"/>
        <v>0</v>
      </c>
      <c r="O31" s="13">
        <f t="shared" ref="O31:O58" si="9">P31-P30</f>
        <v>0</v>
      </c>
      <c r="P31" s="13">
        <f t="shared" ref="P31:P58" si="10">P30+ROUND(N31*$F$22,2)</f>
        <v>0</v>
      </c>
      <c r="Q31" s="13">
        <f t="shared" ref="Q31:Q58" si="11">ROUND(N31+K31-M30-P30,2)</f>
        <v>1050</v>
      </c>
      <c r="R31" s="17"/>
      <c r="S31" s="17"/>
      <c r="T31" s="17">
        <f>T30+U30+R31+S31-H31</f>
        <v>639.55999999999995</v>
      </c>
      <c r="U31" s="17">
        <f t="shared" si="4"/>
        <v>0.53</v>
      </c>
      <c r="V31" s="18">
        <f t="shared" ref="V31:V58" si="12">V30+ROUND(T31*$F$23,2)</f>
        <v>1.58</v>
      </c>
      <c r="W31" s="16">
        <f t="shared" ref="W31:W58" si="13">IF(T31=0,0,W30+R31+S31-H31)</f>
        <v>638.51</v>
      </c>
    </row>
    <row r="32" spans="2:23" x14ac:dyDescent="0.35">
      <c r="B32" s="47">
        <f t="shared" si="0"/>
        <v>44138</v>
      </c>
      <c r="C32" s="48">
        <f t="shared" si="1"/>
        <v>44139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0.64999999999999991</v>
      </c>
      <c r="M32" s="13">
        <f t="shared" si="8"/>
        <v>2.6</v>
      </c>
      <c r="N32" s="13">
        <f t="shared" si="3"/>
        <v>0</v>
      </c>
      <c r="O32" s="13">
        <f t="shared" si="9"/>
        <v>0</v>
      </c>
      <c r="P32" s="13">
        <f t="shared" si="10"/>
        <v>0</v>
      </c>
      <c r="Q32" s="13">
        <f t="shared" si="11"/>
        <v>1050</v>
      </c>
      <c r="R32" s="17"/>
      <c r="S32" s="17"/>
      <c r="T32" s="17">
        <f>T31+U31+R32+S32-H32</f>
        <v>640.08999999999992</v>
      </c>
      <c r="U32" s="17">
        <f t="shared" si="4"/>
        <v>0.53000000000000025</v>
      </c>
      <c r="V32" s="18">
        <f t="shared" si="12"/>
        <v>2.1100000000000003</v>
      </c>
      <c r="W32" s="16">
        <f t="shared" si="13"/>
        <v>638.51</v>
      </c>
    </row>
    <row r="33" spans="2:23" x14ac:dyDescent="0.35">
      <c r="B33" s="47">
        <f t="shared" si="0"/>
        <v>44139</v>
      </c>
      <c r="C33" s="48">
        <f t="shared" si="1"/>
        <v>44140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0.64999999999999991</v>
      </c>
      <c r="M33" s="13">
        <f t="shared" si="8"/>
        <v>3.25</v>
      </c>
      <c r="N33" s="13">
        <f t="shared" si="3"/>
        <v>0</v>
      </c>
      <c r="O33" s="13">
        <f t="shared" si="9"/>
        <v>0</v>
      </c>
      <c r="P33" s="13">
        <f t="shared" si="10"/>
        <v>0</v>
      </c>
      <c r="Q33" s="13">
        <f t="shared" si="11"/>
        <v>1050</v>
      </c>
      <c r="R33" s="17"/>
      <c r="S33" s="17"/>
      <c r="T33" s="17">
        <f t="shared" ref="T33:T58" si="14">T32+U32+R33+S33-H33</f>
        <v>640.61999999999989</v>
      </c>
      <c r="U33" s="17">
        <f t="shared" si="4"/>
        <v>0.53000000000000025</v>
      </c>
      <c r="V33" s="18">
        <f t="shared" si="12"/>
        <v>2.6400000000000006</v>
      </c>
      <c r="W33" s="16">
        <f t="shared" si="13"/>
        <v>638.51</v>
      </c>
    </row>
    <row r="34" spans="2:23" x14ac:dyDescent="0.35">
      <c r="B34" s="47">
        <f t="shared" si="0"/>
        <v>44140</v>
      </c>
      <c r="C34" s="48">
        <f t="shared" si="1"/>
        <v>44141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0.64999999999999991</v>
      </c>
      <c r="M34" s="13">
        <f t="shared" si="8"/>
        <v>3.9</v>
      </c>
      <c r="N34" s="13">
        <f t="shared" si="3"/>
        <v>0</v>
      </c>
      <c r="O34" s="13">
        <f t="shared" si="9"/>
        <v>0</v>
      </c>
      <c r="P34" s="13">
        <f t="shared" si="10"/>
        <v>0</v>
      </c>
      <c r="Q34" s="13">
        <f t="shared" si="11"/>
        <v>1050</v>
      </c>
      <c r="R34" s="17"/>
      <c r="S34" s="17"/>
      <c r="T34" s="17">
        <f t="shared" si="14"/>
        <v>641.14999999999986</v>
      </c>
      <c r="U34" s="17">
        <f t="shared" si="4"/>
        <v>0.53000000000000025</v>
      </c>
      <c r="V34" s="18">
        <f t="shared" si="12"/>
        <v>3.1700000000000008</v>
      </c>
      <c r="W34" s="16">
        <f t="shared" si="13"/>
        <v>638.51</v>
      </c>
    </row>
    <row r="35" spans="2:23" x14ac:dyDescent="0.35">
      <c r="B35" s="47">
        <f t="shared" si="0"/>
        <v>44141</v>
      </c>
      <c r="C35" s="48">
        <f t="shared" si="1"/>
        <v>44142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0.64999999999999991</v>
      </c>
      <c r="M35" s="13">
        <f t="shared" si="8"/>
        <v>4.55</v>
      </c>
      <c r="N35" s="13">
        <f t="shared" si="3"/>
        <v>0</v>
      </c>
      <c r="O35" s="13">
        <f t="shared" si="9"/>
        <v>0</v>
      </c>
      <c r="P35" s="13">
        <f t="shared" si="10"/>
        <v>0</v>
      </c>
      <c r="Q35" s="13">
        <f t="shared" si="11"/>
        <v>1050</v>
      </c>
      <c r="R35" s="17"/>
      <c r="S35" s="17"/>
      <c r="T35" s="17">
        <f>T34+U34+R35+S35-H35</f>
        <v>641.67999999999984</v>
      </c>
      <c r="U35" s="17">
        <f t="shared" si="4"/>
        <v>0.53000000000000025</v>
      </c>
      <c r="V35" s="18">
        <f t="shared" si="12"/>
        <v>3.7000000000000011</v>
      </c>
      <c r="W35" s="16">
        <f t="shared" si="13"/>
        <v>638.51</v>
      </c>
    </row>
    <row r="36" spans="2:23" x14ac:dyDescent="0.35">
      <c r="B36" s="47">
        <f t="shared" si="0"/>
        <v>44142</v>
      </c>
      <c r="C36" s="48">
        <f t="shared" si="1"/>
        <v>44143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0.65000000000000036</v>
      </c>
      <c r="M36" s="13">
        <f t="shared" si="8"/>
        <v>5.2</v>
      </c>
      <c r="N36" s="13">
        <f t="shared" si="3"/>
        <v>0</v>
      </c>
      <c r="O36" s="13">
        <f t="shared" si="9"/>
        <v>0</v>
      </c>
      <c r="P36" s="13">
        <f t="shared" si="10"/>
        <v>0</v>
      </c>
      <c r="Q36" s="13">
        <f t="shared" si="11"/>
        <v>1050</v>
      </c>
      <c r="R36" s="17"/>
      <c r="S36" s="17"/>
      <c r="T36" s="17">
        <f t="shared" si="14"/>
        <v>642.20999999999981</v>
      </c>
      <c r="U36" s="17">
        <f t="shared" si="4"/>
        <v>0.53000000000000025</v>
      </c>
      <c r="V36" s="18">
        <f t="shared" si="12"/>
        <v>4.2300000000000013</v>
      </c>
      <c r="W36" s="16">
        <f t="shared" si="13"/>
        <v>638.51</v>
      </c>
    </row>
    <row r="37" spans="2:23" x14ac:dyDescent="0.35">
      <c r="B37" s="47">
        <f t="shared" si="0"/>
        <v>44143</v>
      </c>
      <c r="C37" s="48">
        <f t="shared" si="1"/>
        <v>44144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0.65000000000000036</v>
      </c>
      <c r="M37" s="13">
        <f t="shared" si="8"/>
        <v>5.8500000000000005</v>
      </c>
      <c r="N37" s="13">
        <f t="shared" si="3"/>
        <v>0</v>
      </c>
      <c r="O37" s="13">
        <f t="shared" si="9"/>
        <v>0</v>
      </c>
      <c r="P37" s="13">
        <f t="shared" si="10"/>
        <v>0</v>
      </c>
      <c r="Q37" s="13">
        <f t="shared" si="11"/>
        <v>1050</v>
      </c>
      <c r="R37" s="17"/>
      <c r="S37" s="17"/>
      <c r="T37" s="17">
        <f t="shared" si="14"/>
        <v>642.73999999999978</v>
      </c>
      <c r="U37" s="17">
        <f t="shared" si="4"/>
        <v>0.53000000000000025</v>
      </c>
      <c r="V37" s="18">
        <f t="shared" si="12"/>
        <v>4.7600000000000016</v>
      </c>
      <c r="W37" s="16">
        <f t="shared" si="13"/>
        <v>638.51</v>
      </c>
    </row>
    <row r="38" spans="2:23" s="90" customFormat="1" x14ac:dyDescent="0.35">
      <c r="B38" s="84">
        <f t="shared" si="0"/>
        <v>44144</v>
      </c>
      <c r="C38" s="85">
        <f t="shared" si="1"/>
        <v>44145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c r="J38" s="87"/>
      <c r="K38" s="87">
        <f t="shared" si="6"/>
        <v>1055.8499999999999</v>
      </c>
      <c r="L38" s="87">
        <f t="shared" si="7"/>
        <v>0.65000000000000036</v>
      </c>
      <c r="M38" s="87">
        <f t="shared" si="8"/>
        <v>6.5000000000000009</v>
      </c>
      <c r="N38" s="87">
        <f t="shared" si="3"/>
        <v>0</v>
      </c>
      <c r="O38" s="87">
        <f t="shared" si="9"/>
        <v>0</v>
      </c>
      <c r="P38" s="13">
        <f t="shared" si="10"/>
        <v>0</v>
      </c>
      <c r="Q38" s="87">
        <f t="shared" si="11"/>
        <v>1050</v>
      </c>
      <c r="R38" s="87"/>
      <c r="S38" s="87"/>
      <c r="T38" s="87">
        <f t="shared" si="14"/>
        <v>643.26999999999975</v>
      </c>
      <c r="U38" s="87">
        <f t="shared" si="4"/>
        <v>0.53000000000000025</v>
      </c>
      <c r="V38" s="18">
        <f t="shared" si="12"/>
        <v>5.2900000000000018</v>
      </c>
      <c r="W38" s="89">
        <f t="shared" si="13"/>
        <v>638.51</v>
      </c>
    </row>
    <row r="39" spans="2:23" x14ac:dyDescent="0.35">
      <c r="B39" s="47">
        <f t="shared" si="0"/>
        <v>44145</v>
      </c>
      <c r="C39" s="48">
        <f t="shared" si="1"/>
        <v>44146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0.65000000000000036</v>
      </c>
      <c r="M39" s="13">
        <f t="shared" si="8"/>
        <v>7.1500000000000012</v>
      </c>
      <c r="N39" s="13">
        <f t="shared" si="3"/>
        <v>0</v>
      </c>
      <c r="O39" s="13">
        <f>P39-P38</f>
        <v>0</v>
      </c>
      <c r="P39" s="13">
        <f t="shared" si="10"/>
        <v>0</v>
      </c>
      <c r="Q39" s="13">
        <f t="shared" si="11"/>
        <v>1050</v>
      </c>
      <c r="R39" s="17"/>
      <c r="S39" s="17"/>
      <c r="T39" s="17">
        <f t="shared" si="14"/>
        <v>643.79999999999973</v>
      </c>
      <c r="U39" s="17">
        <f t="shared" si="4"/>
        <v>0.53000000000000025</v>
      </c>
      <c r="V39" s="18">
        <f t="shared" si="12"/>
        <v>5.8200000000000021</v>
      </c>
      <c r="W39" s="16">
        <f t="shared" si="13"/>
        <v>638.51</v>
      </c>
    </row>
    <row r="40" spans="2:23" s="90" customFormat="1" x14ac:dyDescent="0.35">
      <c r="B40" s="84">
        <f t="shared" si="0"/>
        <v>44146</v>
      </c>
      <c r="C40" s="85">
        <f t="shared" si="1"/>
        <v>44147</v>
      </c>
      <c r="D40" s="86"/>
      <c r="E40" s="87">
        <f>IF(SUM(E$29:E39)=$I$24,0,IF((D40&lt;=$I$24-SUM(E$29:E39)),D40,$I$24-SUM(E$29:E39)))</f>
        <v>0</v>
      </c>
      <c r="F40" s="87">
        <f>IF($I$19&gt;0,IF(SUM(F$29:F39)&lt;$I$19,IF((D40-E40)&gt;0,IF($I$20=0,IF($I$19-SUM(F$29:F39)&gt;D40,D40,$I$19-SUM(F$29:F39)),E40),D40),0)+IF($I$20&gt;0,IF(D40-$I$20-SUM($H$29:H39)-IF($I$19=0,0,E40)&gt;0,IF(D40-$I$20-SUM($H$29:H39)-IF($I$19=0,0,E40)&gt;$I$19,$I$19-SUM(F$29:F39)-E40,D40-$I$20-SUM($H$29:H39)-IF($I$19=0,0,E40)),0),0),0)</f>
        <v>0</v>
      </c>
      <c r="G40" s="87">
        <f t="shared" si="2"/>
        <v>0</v>
      </c>
      <c r="H40" s="87">
        <f t="shared" si="5"/>
        <v>0</v>
      </c>
      <c r="I40" s="87"/>
      <c r="J40" s="87"/>
      <c r="K40" s="87">
        <f t="shared" si="6"/>
        <v>1057.1500000000001</v>
      </c>
      <c r="L40" s="87">
        <f t="shared" si="7"/>
        <v>0.65000000000000036</v>
      </c>
      <c r="M40" s="87">
        <f t="shared" si="8"/>
        <v>7.8000000000000016</v>
      </c>
      <c r="N40" s="87">
        <f t="shared" si="3"/>
        <v>0</v>
      </c>
      <c r="O40" s="87">
        <f t="shared" si="9"/>
        <v>0</v>
      </c>
      <c r="P40" s="13">
        <f t="shared" si="10"/>
        <v>0</v>
      </c>
      <c r="Q40" s="87">
        <f t="shared" si="11"/>
        <v>1050</v>
      </c>
      <c r="R40" s="87">
        <v>200</v>
      </c>
      <c r="S40" s="87">
        <v>10</v>
      </c>
      <c r="T40" s="87">
        <f t="shared" si="14"/>
        <v>854.3299999999997</v>
      </c>
      <c r="U40" s="87">
        <f t="shared" si="4"/>
        <v>0.70000000000000018</v>
      </c>
      <c r="V40" s="18">
        <f t="shared" si="12"/>
        <v>6.5200000000000022</v>
      </c>
      <c r="W40" s="89">
        <f t="shared" si="13"/>
        <v>848.51</v>
      </c>
    </row>
    <row r="41" spans="2:23" x14ac:dyDescent="0.35">
      <c r="B41" s="47">
        <f t="shared" si="0"/>
        <v>44147</v>
      </c>
      <c r="C41" s="48">
        <f t="shared" si="1"/>
        <v>44148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0.64999999999999947</v>
      </c>
      <c r="M41" s="13">
        <f t="shared" si="8"/>
        <v>8.4500000000000011</v>
      </c>
      <c r="N41" s="13">
        <f t="shared" si="3"/>
        <v>0</v>
      </c>
      <c r="O41" s="13">
        <f t="shared" si="9"/>
        <v>0</v>
      </c>
      <c r="P41" s="13">
        <f t="shared" si="10"/>
        <v>0</v>
      </c>
      <c r="Q41" s="13">
        <f t="shared" si="11"/>
        <v>1050</v>
      </c>
      <c r="R41" s="17"/>
      <c r="S41" s="17"/>
      <c r="T41" s="17">
        <f t="shared" si="14"/>
        <v>855.02999999999975</v>
      </c>
      <c r="U41" s="17">
        <f t="shared" si="4"/>
        <v>0.70000000000000018</v>
      </c>
      <c r="V41" s="18">
        <f t="shared" si="12"/>
        <v>7.2200000000000024</v>
      </c>
      <c r="W41" s="16">
        <f t="shared" si="13"/>
        <v>848.51</v>
      </c>
    </row>
    <row r="42" spans="2:23" x14ac:dyDescent="0.35">
      <c r="B42" s="47">
        <f>C42-2</f>
        <v>44147</v>
      </c>
      <c r="C42" s="48">
        <f t="shared" si="1"/>
        <v>44149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0.65000000000000036</v>
      </c>
      <c r="M42" s="13">
        <f t="shared" si="8"/>
        <v>9.1000000000000014</v>
      </c>
      <c r="N42" s="13">
        <f t="shared" si="3"/>
        <v>0</v>
      </c>
      <c r="O42" s="13">
        <f t="shared" si="9"/>
        <v>0</v>
      </c>
      <c r="P42" s="13">
        <f t="shared" si="10"/>
        <v>0</v>
      </c>
      <c r="Q42" s="13">
        <f t="shared" si="11"/>
        <v>1050</v>
      </c>
      <c r="R42" s="17"/>
      <c r="S42" s="17"/>
      <c r="T42" s="17">
        <f>T41+U41+R42+S42-H42</f>
        <v>855.72999999999979</v>
      </c>
      <c r="U42" s="17">
        <f>V42-V41</f>
        <v>0.70000000000000018</v>
      </c>
      <c r="V42" s="18">
        <f t="shared" si="12"/>
        <v>7.9200000000000026</v>
      </c>
      <c r="W42" s="16">
        <f t="shared" si="13"/>
        <v>848.51</v>
      </c>
    </row>
    <row r="43" spans="2:23" s="90" customFormat="1" x14ac:dyDescent="0.35">
      <c r="B43" s="84">
        <f t="shared" si="0"/>
        <v>44149</v>
      </c>
      <c r="C43" s="85">
        <f t="shared" si="1"/>
        <v>44150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1059.0999999999999</v>
      </c>
      <c r="L43" s="87">
        <f t="shared" si="7"/>
        <v>0.65000000000000036</v>
      </c>
      <c r="M43" s="87">
        <f t="shared" si="8"/>
        <v>9.7500000000000018</v>
      </c>
      <c r="N43" s="87">
        <f>ROUND(N42+I43+J43+O42-G43,2)</f>
        <v>0</v>
      </c>
      <c r="O43" s="87">
        <f t="shared" si="9"/>
        <v>0</v>
      </c>
      <c r="P43" s="13">
        <f t="shared" si="10"/>
        <v>0</v>
      </c>
      <c r="Q43" s="87">
        <f t="shared" si="11"/>
        <v>1050</v>
      </c>
      <c r="R43" s="87">
        <v>200</v>
      </c>
      <c r="S43" s="87">
        <v>10</v>
      </c>
      <c r="T43" s="87">
        <f>T42+U42+R43+S43-H43</f>
        <v>1066.4299999999998</v>
      </c>
      <c r="U43" s="87">
        <f t="shared" si="4"/>
        <v>0.87999999999999989</v>
      </c>
      <c r="V43" s="18">
        <f t="shared" si="12"/>
        <v>8.8000000000000025</v>
      </c>
      <c r="W43" s="89">
        <f t="shared" si="13"/>
        <v>1058.51</v>
      </c>
    </row>
    <row r="44" spans="2:23" x14ac:dyDescent="0.35">
      <c r="B44" s="47">
        <f t="shared" si="0"/>
        <v>44150</v>
      </c>
      <c r="C44" s="48">
        <f t="shared" si="1"/>
        <v>44151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0.65000000000000036</v>
      </c>
      <c r="M44" s="13">
        <f t="shared" si="8"/>
        <v>10.400000000000002</v>
      </c>
      <c r="N44" s="13">
        <f t="shared" si="3"/>
        <v>0</v>
      </c>
      <c r="O44" s="13">
        <f t="shared" si="9"/>
        <v>0</v>
      </c>
      <c r="P44" s="13">
        <f t="shared" si="10"/>
        <v>0</v>
      </c>
      <c r="Q44" s="13">
        <f t="shared" si="11"/>
        <v>1050</v>
      </c>
      <c r="R44" s="17"/>
      <c r="S44" s="17"/>
      <c r="T44" s="17">
        <f t="shared" si="14"/>
        <v>1067.31</v>
      </c>
      <c r="U44" s="17">
        <f t="shared" si="4"/>
        <v>0.88000000000000078</v>
      </c>
      <c r="V44" s="18">
        <f t="shared" si="12"/>
        <v>9.6800000000000033</v>
      </c>
      <c r="W44" s="16">
        <f t="shared" si="13"/>
        <v>1058.51</v>
      </c>
    </row>
    <row r="45" spans="2:23" x14ac:dyDescent="0.35">
      <c r="B45" s="47">
        <f t="shared" si="0"/>
        <v>44151</v>
      </c>
      <c r="C45" s="48">
        <f t="shared" si="1"/>
        <v>44152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0.65000000000000036</v>
      </c>
      <c r="M45" s="13">
        <f t="shared" si="8"/>
        <v>11.050000000000002</v>
      </c>
      <c r="N45" s="13">
        <f t="shared" si="3"/>
        <v>0</v>
      </c>
      <c r="O45" s="13">
        <f t="shared" si="9"/>
        <v>0</v>
      </c>
      <c r="P45" s="13">
        <f t="shared" si="10"/>
        <v>0</v>
      </c>
      <c r="Q45" s="13">
        <f t="shared" si="11"/>
        <v>1050</v>
      </c>
      <c r="R45" s="17"/>
      <c r="S45" s="17"/>
      <c r="T45" s="17">
        <f t="shared" si="14"/>
        <v>1068.19</v>
      </c>
      <c r="U45" s="17">
        <f t="shared" si="4"/>
        <v>0.88000000000000078</v>
      </c>
      <c r="V45" s="18">
        <f t="shared" si="12"/>
        <v>10.560000000000004</v>
      </c>
      <c r="W45" s="16">
        <f>IF(T45=0,0,W44+R45+S45-H45)</f>
        <v>1058.51</v>
      </c>
    </row>
    <row r="46" spans="2:23" x14ac:dyDescent="0.35">
      <c r="B46" s="47">
        <f t="shared" si="0"/>
        <v>44152</v>
      </c>
      <c r="C46" s="48">
        <f t="shared" si="1"/>
        <v>44153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0.65000000000000036</v>
      </c>
      <c r="M46" s="13">
        <f t="shared" si="8"/>
        <v>11.700000000000003</v>
      </c>
      <c r="N46" s="13">
        <f t="shared" si="3"/>
        <v>0</v>
      </c>
      <c r="O46" s="13">
        <f t="shared" si="9"/>
        <v>0</v>
      </c>
      <c r="P46" s="13">
        <f t="shared" si="10"/>
        <v>0</v>
      </c>
      <c r="Q46" s="13">
        <f t="shared" si="11"/>
        <v>1050</v>
      </c>
      <c r="R46" s="17"/>
      <c r="S46" s="17"/>
      <c r="T46" s="17">
        <f t="shared" si="14"/>
        <v>1069.0700000000002</v>
      </c>
      <c r="U46" s="17">
        <f t="shared" si="4"/>
        <v>0.88000000000000078</v>
      </c>
      <c r="V46" s="18">
        <f t="shared" si="12"/>
        <v>11.440000000000005</v>
      </c>
      <c r="W46" s="16">
        <f>IF(T46=0,0,W45+R46+S46-H46)</f>
        <v>1058.51</v>
      </c>
    </row>
    <row r="47" spans="2:23" s="122" customFormat="1" x14ac:dyDescent="0.35">
      <c r="B47" s="117">
        <f t="shared" si="0"/>
        <v>44153</v>
      </c>
      <c r="C47" s="118">
        <f t="shared" si="1"/>
        <v>44154</v>
      </c>
      <c r="D47" s="119"/>
      <c r="E47" s="120">
        <f>IF(SUM(E$29:E46)=$I$24,0,IF((D47&lt;=$I$24-SUM(E$29:E46)),D47,$I$24-SUM(E$29:E46)))</f>
        <v>0</v>
      </c>
      <c r="F47" s="120">
        <f>IF($I$19&gt;0,IF(SUM(F$29:F46)&lt;$I$19,IF((D47-E47)&gt;0,IF($I$20=0,IF($I$19-SUM(F$29:F46)&gt;D47,D47,$I$19-SUM(F$29:F46)),E47),D47),0)+IF($I$20&gt;0,IF(D47-$I$20-SUM($H$29:H46)-IF($I$19=0,0,E47)&gt;0,IF(D47-$I$20-SUM($H$29:H46)-IF($I$19=0,0,E47)&gt;$I$19,$I$19-SUM(F$29:F46)-E47,D47-$I$20-SUM($H$29:H46)-IF($I$19=0,0,E47)),0),0),0)</f>
        <v>0</v>
      </c>
      <c r="G47" s="120">
        <f t="shared" si="2"/>
        <v>0</v>
      </c>
      <c r="H47" s="120">
        <f t="shared" si="5"/>
        <v>0</v>
      </c>
      <c r="I47" s="120"/>
      <c r="J47" s="120"/>
      <c r="K47" s="120">
        <f t="shared" si="6"/>
        <v>1061.7</v>
      </c>
      <c r="L47" s="120">
        <f t="shared" si="7"/>
        <v>0.65000000000000036</v>
      </c>
      <c r="M47" s="120">
        <f t="shared" si="8"/>
        <v>12.350000000000003</v>
      </c>
      <c r="N47" s="120">
        <f t="shared" si="3"/>
        <v>0</v>
      </c>
      <c r="O47" s="120">
        <f t="shared" si="9"/>
        <v>0</v>
      </c>
      <c r="P47" s="13">
        <f t="shared" si="10"/>
        <v>0</v>
      </c>
      <c r="Q47" s="120">
        <f t="shared" si="11"/>
        <v>1050</v>
      </c>
      <c r="R47" s="120"/>
      <c r="S47" s="120"/>
      <c r="T47" s="120">
        <f t="shared" si="14"/>
        <v>1069.9500000000003</v>
      </c>
      <c r="U47" s="120">
        <f t="shared" si="4"/>
        <v>0.88000000000000078</v>
      </c>
      <c r="V47" s="18">
        <f t="shared" si="12"/>
        <v>12.320000000000006</v>
      </c>
      <c r="W47" s="121">
        <f t="shared" si="13"/>
        <v>1058.51</v>
      </c>
    </row>
    <row r="48" spans="2:23" s="90" customFormat="1" x14ac:dyDescent="0.35">
      <c r="B48" s="84">
        <f t="shared" si="0"/>
        <v>44154</v>
      </c>
      <c r="C48" s="85">
        <f t="shared" si="1"/>
        <v>44155</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1062.3499999999999</v>
      </c>
      <c r="L48" s="87">
        <f t="shared" si="7"/>
        <v>0.65000000000000036</v>
      </c>
      <c r="M48" s="87">
        <f t="shared" si="8"/>
        <v>13.000000000000004</v>
      </c>
      <c r="N48" s="87">
        <f t="shared" si="3"/>
        <v>0</v>
      </c>
      <c r="O48" s="87">
        <f t="shared" si="9"/>
        <v>0</v>
      </c>
      <c r="P48" s="13">
        <f t="shared" si="10"/>
        <v>0</v>
      </c>
      <c r="Q48" s="87">
        <f t="shared" si="11"/>
        <v>1050</v>
      </c>
      <c r="R48" s="87">
        <v>200</v>
      </c>
      <c r="S48" s="87">
        <v>10</v>
      </c>
      <c r="T48" s="87">
        <f t="shared" si="14"/>
        <v>1280.8300000000004</v>
      </c>
      <c r="U48" s="87">
        <f t="shared" si="4"/>
        <v>1.0500000000000007</v>
      </c>
      <c r="V48" s="18">
        <f t="shared" si="12"/>
        <v>13.370000000000006</v>
      </c>
      <c r="W48" s="89">
        <f t="shared" si="13"/>
        <v>1268.51</v>
      </c>
    </row>
    <row r="49" spans="2:23" x14ac:dyDescent="0.35">
      <c r="B49" s="47">
        <f t="shared" si="0"/>
        <v>44155</v>
      </c>
      <c r="C49" s="48">
        <f t="shared" si="1"/>
        <v>44156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0.65000000000000036</v>
      </c>
      <c r="M49" s="13">
        <f t="shared" si="8"/>
        <v>13.650000000000004</v>
      </c>
      <c r="N49" s="13">
        <f t="shared" si="3"/>
        <v>0</v>
      </c>
      <c r="O49" s="13">
        <f t="shared" si="9"/>
        <v>0</v>
      </c>
      <c r="P49" s="13">
        <f t="shared" si="10"/>
        <v>0</v>
      </c>
      <c r="Q49" s="13">
        <f t="shared" si="11"/>
        <v>1050</v>
      </c>
      <c r="R49" s="17"/>
      <c r="S49" s="17"/>
      <c r="T49" s="17">
        <f t="shared" si="14"/>
        <v>1281.8800000000003</v>
      </c>
      <c r="U49" s="17">
        <f t="shared" si="4"/>
        <v>1.0500000000000007</v>
      </c>
      <c r="V49" s="18">
        <f t="shared" si="12"/>
        <v>14.420000000000007</v>
      </c>
      <c r="W49" s="16">
        <f t="shared" si="13"/>
        <v>1268.51</v>
      </c>
    </row>
    <row r="50" spans="2:23" x14ac:dyDescent="0.35">
      <c r="B50" s="47">
        <f t="shared" si="0"/>
        <v>44156</v>
      </c>
      <c r="C50" s="48">
        <f t="shared" si="1"/>
        <v>44157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0.66000000000000014</v>
      </c>
      <c r="M50" s="13">
        <f t="shared" si="8"/>
        <v>14.310000000000004</v>
      </c>
      <c r="N50" s="13">
        <f t="shared" si="3"/>
        <v>0</v>
      </c>
      <c r="O50" s="13">
        <f t="shared" si="9"/>
        <v>0</v>
      </c>
      <c r="P50" s="13">
        <f t="shared" si="10"/>
        <v>0</v>
      </c>
      <c r="Q50" s="13">
        <f t="shared" si="11"/>
        <v>1050</v>
      </c>
      <c r="R50" s="17"/>
      <c r="S50" s="17"/>
      <c r="T50" s="17">
        <f t="shared" si="14"/>
        <v>1282.9300000000003</v>
      </c>
      <c r="U50" s="17">
        <f t="shared" si="4"/>
        <v>1.0500000000000007</v>
      </c>
      <c r="V50" s="18">
        <f t="shared" si="12"/>
        <v>15.470000000000008</v>
      </c>
      <c r="W50" s="16">
        <f t="shared" si="13"/>
        <v>1268.51</v>
      </c>
    </row>
    <row r="51" spans="2:23" x14ac:dyDescent="0.35">
      <c r="B51" s="47">
        <f t="shared" si="0"/>
        <v>44157</v>
      </c>
      <c r="C51" s="48">
        <f t="shared" si="1"/>
        <v>44158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1064.31</v>
      </c>
      <c r="L51" s="13">
        <f t="shared" si="7"/>
        <v>0.66000000000000014</v>
      </c>
      <c r="M51" s="13">
        <f t="shared" si="8"/>
        <v>14.970000000000004</v>
      </c>
      <c r="N51" s="13">
        <f t="shared" si="3"/>
        <v>0</v>
      </c>
      <c r="O51" s="13">
        <f t="shared" si="9"/>
        <v>0</v>
      </c>
      <c r="P51" s="13">
        <f t="shared" si="10"/>
        <v>0</v>
      </c>
      <c r="Q51" s="13">
        <f t="shared" si="11"/>
        <v>1050</v>
      </c>
      <c r="R51" s="17"/>
      <c r="S51" s="17"/>
      <c r="T51" s="17">
        <f t="shared" si="14"/>
        <v>1283.9800000000002</v>
      </c>
      <c r="U51" s="17">
        <f t="shared" si="4"/>
        <v>1.0499999999999989</v>
      </c>
      <c r="V51" s="18">
        <f t="shared" si="12"/>
        <v>16.520000000000007</v>
      </c>
      <c r="W51" s="16">
        <f t="shared" si="13"/>
        <v>1268.51</v>
      </c>
    </row>
    <row r="52" spans="2:23" x14ac:dyDescent="0.35">
      <c r="B52" s="47">
        <f t="shared" si="0"/>
        <v>44158</v>
      </c>
      <c r="C52" s="48">
        <f t="shared" si="1"/>
        <v>44159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0.66000000000000014</v>
      </c>
      <c r="M52" s="13">
        <f t="shared" si="8"/>
        <v>15.630000000000004</v>
      </c>
      <c r="N52" s="13">
        <f t="shared" si="3"/>
        <v>0</v>
      </c>
      <c r="O52" s="13">
        <f t="shared" si="9"/>
        <v>0</v>
      </c>
      <c r="P52" s="13">
        <f t="shared" si="10"/>
        <v>0</v>
      </c>
      <c r="Q52" s="13">
        <f t="shared" si="11"/>
        <v>1050</v>
      </c>
      <c r="R52" s="17"/>
      <c r="S52" s="17"/>
      <c r="T52" s="17">
        <f t="shared" si="14"/>
        <v>1285.0300000000002</v>
      </c>
      <c r="U52" s="17">
        <f t="shared" si="4"/>
        <v>1.0599999999999987</v>
      </c>
      <c r="V52" s="18">
        <f t="shared" si="12"/>
        <v>17.580000000000005</v>
      </c>
      <c r="W52" s="16">
        <f t="shared" si="13"/>
        <v>1268.51</v>
      </c>
    </row>
    <row r="53" spans="2:23" s="90" customFormat="1" x14ac:dyDescent="0.35">
      <c r="B53" s="84">
        <f t="shared" si="0"/>
        <v>44159</v>
      </c>
      <c r="C53" s="85">
        <f t="shared" si="1"/>
        <v>44160</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1065.6300000000001</v>
      </c>
      <c r="L53" s="87">
        <f t="shared" si="7"/>
        <v>0.65999999999999837</v>
      </c>
      <c r="M53" s="87">
        <f t="shared" si="8"/>
        <v>16.290000000000003</v>
      </c>
      <c r="N53" s="87">
        <f t="shared" si="3"/>
        <v>0</v>
      </c>
      <c r="O53" s="87">
        <f t="shared" si="9"/>
        <v>0</v>
      </c>
      <c r="P53" s="13">
        <f t="shared" si="10"/>
        <v>0</v>
      </c>
      <c r="Q53" s="87">
        <f t="shared" si="11"/>
        <v>1050</v>
      </c>
      <c r="R53" s="87"/>
      <c r="S53" s="87"/>
      <c r="T53" s="87">
        <f t="shared" si="14"/>
        <v>1286.0900000000001</v>
      </c>
      <c r="U53" s="87">
        <f t="shared" si="4"/>
        <v>1.0599999999999987</v>
      </c>
      <c r="V53" s="18">
        <f t="shared" si="12"/>
        <v>18.640000000000004</v>
      </c>
      <c r="W53" s="89">
        <f t="shared" si="13"/>
        <v>1268.51</v>
      </c>
    </row>
    <row r="54" spans="2:23" x14ac:dyDescent="0.35">
      <c r="B54" s="47">
        <f t="shared" si="0"/>
        <v>44160</v>
      </c>
      <c r="C54" s="48">
        <f t="shared" si="1"/>
        <v>44161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0.66000000000000014</v>
      </c>
      <c r="M54" s="13">
        <f t="shared" si="8"/>
        <v>16.950000000000003</v>
      </c>
      <c r="N54" s="13">
        <f t="shared" si="3"/>
        <v>0</v>
      </c>
      <c r="O54" s="13">
        <f t="shared" si="9"/>
        <v>0</v>
      </c>
      <c r="P54" s="13">
        <f t="shared" si="10"/>
        <v>0</v>
      </c>
      <c r="Q54" s="13">
        <f t="shared" si="11"/>
        <v>1050</v>
      </c>
      <c r="R54" s="17"/>
      <c r="S54" s="17"/>
      <c r="T54" s="17">
        <f t="shared" si="14"/>
        <v>1287.1500000000001</v>
      </c>
      <c r="U54" s="17">
        <f t="shared" si="4"/>
        <v>1.0599999999999987</v>
      </c>
      <c r="V54" s="18">
        <f t="shared" si="12"/>
        <v>19.700000000000003</v>
      </c>
      <c r="W54" s="16">
        <f t="shared" si="13"/>
        <v>1268.51</v>
      </c>
    </row>
    <row r="55" spans="2:23" s="90" customFormat="1" x14ac:dyDescent="0.35">
      <c r="B55" s="84">
        <f t="shared" si="0"/>
        <v>44161</v>
      </c>
      <c r="C55" s="85">
        <f t="shared" si="1"/>
        <v>44162</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1066.95</v>
      </c>
      <c r="L55" s="87">
        <f t="shared" si="7"/>
        <v>0.66000000000000014</v>
      </c>
      <c r="M55" s="87">
        <f t="shared" si="8"/>
        <v>17.610000000000003</v>
      </c>
      <c r="N55" s="87">
        <f t="shared" si="3"/>
        <v>0</v>
      </c>
      <c r="O55" s="87">
        <f t="shared" si="9"/>
        <v>0</v>
      </c>
      <c r="P55" s="13">
        <f t="shared" si="10"/>
        <v>0</v>
      </c>
      <c r="Q55" s="87">
        <f t="shared" si="11"/>
        <v>1050</v>
      </c>
      <c r="R55" s="87"/>
      <c r="S55" s="87"/>
      <c r="T55" s="87">
        <f t="shared" si="14"/>
        <v>1288.21</v>
      </c>
      <c r="U55" s="87">
        <f t="shared" si="4"/>
        <v>1.0599999999999987</v>
      </c>
      <c r="V55" s="18">
        <f t="shared" si="12"/>
        <v>20.76</v>
      </c>
      <c r="W55" s="89">
        <f t="shared" si="13"/>
        <v>1268.51</v>
      </c>
    </row>
    <row r="56" spans="2:23" x14ac:dyDescent="0.35">
      <c r="B56" s="47">
        <f t="shared" si="0"/>
        <v>44162</v>
      </c>
      <c r="C56" s="48">
        <f t="shared" si="1"/>
        <v>44163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0.66000000000000014</v>
      </c>
      <c r="M56" s="13">
        <f t="shared" si="8"/>
        <v>18.270000000000003</v>
      </c>
      <c r="N56" s="13">
        <f t="shared" si="3"/>
        <v>0</v>
      </c>
      <c r="O56" s="13">
        <f t="shared" si="9"/>
        <v>0</v>
      </c>
      <c r="P56" s="13">
        <f t="shared" si="10"/>
        <v>0</v>
      </c>
      <c r="Q56" s="13">
        <f t="shared" si="11"/>
        <v>1050</v>
      </c>
      <c r="R56" s="17"/>
      <c r="S56" s="17"/>
      <c r="T56" s="17">
        <f t="shared" si="14"/>
        <v>1289.27</v>
      </c>
      <c r="U56" s="17">
        <f t="shared" si="4"/>
        <v>1.0599999999999987</v>
      </c>
      <c r="V56" s="18">
        <f t="shared" si="12"/>
        <v>21.82</v>
      </c>
      <c r="W56" s="16">
        <f t="shared" si="13"/>
        <v>1268.51</v>
      </c>
    </row>
    <row r="57" spans="2:23" x14ac:dyDescent="0.35">
      <c r="B57" s="47">
        <f t="shared" si="0"/>
        <v>44163</v>
      </c>
      <c r="C57" s="48">
        <f t="shared" si="1"/>
        <v>44164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0.66000000000000014</v>
      </c>
      <c r="M57" s="13">
        <f t="shared" si="8"/>
        <v>18.930000000000003</v>
      </c>
      <c r="N57" s="13">
        <f t="shared" si="3"/>
        <v>0</v>
      </c>
      <c r="O57" s="13">
        <f t="shared" si="9"/>
        <v>0</v>
      </c>
      <c r="P57" s="130">
        <f t="shared" si="10"/>
        <v>0</v>
      </c>
      <c r="Q57" s="13">
        <f t="shared" si="11"/>
        <v>1050</v>
      </c>
      <c r="R57" s="17"/>
      <c r="S57" s="17"/>
      <c r="T57" s="17">
        <f t="shared" si="14"/>
        <v>1290.33</v>
      </c>
      <c r="U57" s="17">
        <f t="shared" si="4"/>
        <v>1.0599999999999987</v>
      </c>
      <c r="V57" s="18">
        <f t="shared" si="12"/>
        <v>22.88</v>
      </c>
      <c r="W57" s="16">
        <f t="shared" si="13"/>
        <v>1268.51</v>
      </c>
    </row>
    <row r="58" spans="2:23" s="11" customFormat="1" ht="15" thickBot="1" x14ac:dyDescent="0.4">
      <c r="B58" s="47">
        <f t="shared" si="0"/>
        <v>44164</v>
      </c>
      <c r="C58" s="48">
        <f t="shared" si="1"/>
        <v>44165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0.66000000000000014</v>
      </c>
      <c r="M58" s="13">
        <f t="shared" si="8"/>
        <v>19.590000000000003</v>
      </c>
      <c r="N58" s="13">
        <f t="shared" si="3"/>
        <v>0</v>
      </c>
      <c r="O58" s="13">
        <f t="shared" si="9"/>
        <v>0</v>
      </c>
      <c r="P58" s="13">
        <f t="shared" si="10"/>
        <v>0</v>
      </c>
      <c r="Q58" s="13">
        <f t="shared" si="11"/>
        <v>1050</v>
      </c>
      <c r="R58" s="17"/>
      <c r="S58" s="17"/>
      <c r="T58" s="17">
        <f t="shared" si="14"/>
        <v>1291.3899999999999</v>
      </c>
      <c r="U58" s="17">
        <f t="shared" si="4"/>
        <v>1.0599999999999987</v>
      </c>
      <c r="V58" s="18">
        <f t="shared" si="12"/>
        <v>23.939999999999998</v>
      </c>
      <c r="W58" s="16">
        <f t="shared" si="13"/>
        <v>1268.51</v>
      </c>
    </row>
    <row r="59" spans="2:23" ht="15" thickBot="1" x14ac:dyDescent="0.4">
      <c r="B59" s="111" t="s">
        <v>49</v>
      </c>
      <c r="C59" s="112"/>
      <c r="D59" s="67">
        <f>SUM(D29:D58)</f>
        <v>0</v>
      </c>
      <c r="E59" s="21">
        <f>SUM(E29:E58)</f>
        <v>0</v>
      </c>
      <c r="F59" s="21">
        <f>SUM(F29:F58)</f>
        <v>0</v>
      </c>
      <c r="G59" s="21">
        <f>SUM(G29:G58)</f>
        <v>0</v>
      </c>
      <c r="H59" s="22">
        <f>SUM(H29:H58)</f>
        <v>0</v>
      </c>
      <c r="I59" s="20">
        <f>SUM(I29:I58)</f>
        <v>0</v>
      </c>
      <c r="J59" s="21">
        <f>SUM(J29:J58)</f>
        <v>0</v>
      </c>
      <c r="K59" s="21">
        <f>SUM(K29:K58)</f>
        <v>31783.110000000008</v>
      </c>
      <c r="L59" s="74">
        <f>SUM(L29:L58)</f>
        <v>19.590000000000003</v>
      </c>
      <c r="M59" s="20"/>
      <c r="N59" s="21">
        <f>SUM(N29:N58)</f>
        <v>0</v>
      </c>
      <c r="O59" s="21">
        <f>SUM(O29:O58)</f>
        <v>0</v>
      </c>
      <c r="P59" s="20"/>
      <c r="Q59" s="20"/>
      <c r="R59" s="22">
        <f>SUM(R29:R58)</f>
        <v>600</v>
      </c>
      <c r="S59" s="22">
        <f>SUM(S29:S58)</f>
        <v>30</v>
      </c>
      <c r="T59" s="22">
        <f>SUM(T29:T58)</f>
        <v>29105.789999999994</v>
      </c>
      <c r="U59" s="22">
        <f>SUM(U29:U58)</f>
        <v>23.939999999999998</v>
      </c>
      <c r="V59" s="23"/>
      <c r="W59" s="23"/>
    </row>
    <row r="60" spans="2:23" ht="15" thickBot="1" x14ac:dyDescent="0.4">
      <c r="G60" s="61"/>
      <c r="J60" s="82" t="s">
        <v>71</v>
      </c>
      <c r="K60" s="82">
        <f>K59/$C$18</f>
        <v>1059.4370000000004</v>
      </c>
      <c r="M60" s="82" t="s">
        <v>69</v>
      </c>
      <c r="N60" s="82">
        <f>ROUND(N59/$C$18,2)</f>
        <v>0</v>
      </c>
      <c r="O60" s="61"/>
      <c r="S60" s="82" t="s">
        <v>65</v>
      </c>
      <c r="T60" s="82">
        <f>T59/$C$18</f>
        <v>970.19299999999976</v>
      </c>
    </row>
    <row r="61" spans="2:23" ht="15" thickBot="1" x14ac:dyDescent="0.4">
      <c r="H61" s="2"/>
      <c r="J61" s="82" t="s">
        <v>72</v>
      </c>
      <c r="K61" s="82">
        <f>ROUND(K60*$F$22*$C$18,2)</f>
        <v>19.579999999999998</v>
      </c>
      <c r="M61" s="82" t="s">
        <v>70</v>
      </c>
      <c r="N61" s="82">
        <f>(N60*$F$22*$C$18)</f>
        <v>0</v>
      </c>
      <c r="S61" s="82" t="s">
        <v>64</v>
      </c>
      <c r="T61" s="82">
        <f>T60*$F$23*$C$18</f>
        <v>23.914592934246571</v>
      </c>
    </row>
    <row r="62" spans="2:23" x14ac:dyDescent="0.35">
      <c r="M62" s="61"/>
      <c r="N62" s="61"/>
    </row>
    <row r="63" spans="2:23" ht="15" thickBot="1" x14ac:dyDescent="0.4"/>
    <row r="64" spans="2:23" ht="15" thickBot="1" x14ac:dyDescent="0.4">
      <c r="M64" s="82">
        <f>K61+N61</f>
        <v>19.579999999999998</v>
      </c>
      <c r="P64" s="61">
        <f>N61-N67</f>
        <v>0</v>
      </c>
    </row>
    <row r="65" spans="11:24" ht="15" thickBot="1" x14ac:dyDescent="0.4">
      <c r="K65" s="61">
        <f>1050*24</f>
        <v>25200</v>
      </c>
      <c r="N65" s="61">
        <f>SUM(N29:N52)</f>
        <v>0</v>
      </c>
      <c r="P65" s="61">
        <f>SUM(O56:O58)</f>
        <v>0</v>
      </c>
    </row>
    <row r="66" spans="11:24" ht="15" thickBot="1" x14ac:dyDescent="0.4">
      <c r="K66" s="82">
        <f>K65/$C$18</f>
        <v>840</v>
      </c>
      <c r="N66" s="82">
        <f>N65/$C$18</f>
        <v>0</v>
      </c>
      <c r="O66" s="61">
        <f>SUM(O43:O55)</f>
        <v>0</v>
      </c>
      <c r="W66">
        <v>12.77</v>
      </c>
    </row>
    <row r="67" spans="11:24" ht="15" thickBot="1" x14ac:dyDescent="0.4">
      <c r="K67" s="136">
        <f>ROUND(K66*$F$22*$C$18,2)</f>
        <v>15.53</v>
      </c>
      <c r="M67">
        <v>25.48</v>
      </c>
      <c r="N67" s="82">
        <f>ROUND(N66*$F$22*$C$18,2)</f>
        <v>0</v>
      </c>
      <c r="O67">
        <v>17.440000000000001</v>
      </c>
      <c r="W67">
        <v>4.87</v>
      </c>
    </row>
    <row r="68" spans="11:24" x14ac:dyDescent="0.35">
      <c r="M68" s="61"/>
      <c r="O68" s="61">
        <f>SUM(O66,O67)</f>
        <v>17.440000000000001</v>
      </c>
      <c r="W68" s="90">
        <v>17.64</v>
      </c>
      <c r="X68" s="90"/>
    </row>
    <row r="69" spans="11:24" x14ac:dyDescent="0.35">
      <c r="M69" s="61">
        <f>K67+N67</f>
        <v>15.53</v>
      </c>
      <c r="S69" s="61">
        <f>N61+L59</f>
        <v>19.590000000000003</v>
      </c>
    </row>
    <row r="70" spans="11:24" ht="15" thickBot="1" x14ac:dyDescent="0.4">
      <c r="L70" s="61"/>
    </row>
    <row r="71" spans="11:24" ht="15" thickBot="1" x14ac:dyDescent="0.4">
      <c r="L71" s="82"/>
      <c r="M71" s="61">
        <f>M64-M67</f>
        <v>-5.9000000000000021</v>
      </c>
    </row>
    <row r="72" spans="11:24" ht="15" thickBot="1" x14ac:dyDescent="0.4">
      <c r="L72" s="82"/>
    </row>
    <row r="73" spans="11:24" x14ac:dyDescent="0.35">
      <c r="N73" s="61">
        <f>(K67+N67)-(SUM(L56:L58)+SUM(O56:O58))</f>
        <v>13.549999999999999</v>
      </c>
    </row>
    <row r="78" spans="11:24" x14ac:dyDescent="0.35">
      <c r="M78" s="61">
        <f>K29-D48</f>
        <v>1050</v>
      </c>
    </row>
    <row r="79" spans="11:24" x14ac:dyDescent="0.35">
      <c r="M79">
        <f>M78</f>
        <v>1050</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7"/>
  <sheetViews>
    <sheetView topLeftCell="J26" zoomScale="60" zoomScaleNormal="60" workbookViewId="0">
      <selection activeCell="R74" sqref="R7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21.54296875" customWidth="1"/>
    <col min="15" max="15" width="11.6328125" customWidth="1"/>
    <col min="16" max="16" width="13.1796875" bestFit="1" customWidth="1"/>
    <col min="17" max="17" width="19.26953125" bestFit="1" customWidth="1"/>
    <col min="18" max="18" width="14.54296875" customWidth="1"/>
    <col min="19" max="19" width="19.26953125" bestFit="1" customWidth="1"/>
    <col min="20" max="20" width="15"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45291</v>
      </c>
    </row>
    <row r="4" spans="2:12" ht="15" thickBot="1" x14ac:dyDescent="0.4">
      <c r="B4"/>
      <c r="C4"/>
      <c r="E4" s="62" t="s">
        <v>25</v>
      </c>
      <c r="F4" s="62">
        <v>0</v>
      </c>
    </row>
    <row r="5" spans="2:12" ht="15" thickBot="1" x14ac:dyDescent="0.4">
      <c r="B5" s="29" t="s">
        <v>5</v>
      </c>
      <c r="C5" s="38">
        <v>45017</v>
      </c>
      <c r="E5" s="32" t="s">
        <v>10</v>
      </c>
      <c r="F5" s="33">
        <f>SUM(I11:I12)</f>
        <v>500</v>
      </c>
    </row>
    <row r="6" spans="2:12" x14ac:dyDescent="0.35">
      <c r="B6" s="30" t="s">
        <v>8</v>
      </c>
      <c r="C6" s="39">
        <v>45046</v>
      </c>
      <c r="E6" s="34" t="s">
        <v>26</v>
      </c>
      <c r="F6" s="35">
        <f>I60</f>
        <v>1000</v>
      </c>
      <c r="H6" s="96" t="s">
        <v>40</v>
      </c>
      <c r="I6" s="97"/>
    </row>
    <row r="7" spans="2:12" ht="29" x14ac:dyDescent="0.35">
      <c r="B7" s="30" t="s">
        <v>6</v>
      </c>
      <c r="C7" s="40">
        <v>30</v>
      </c>
      <c r="E7" s="34" t="s">
        <v>27</v>
      </c>
      <c r="F7" s="35">
        <f>R60</f>
        <v>1000</v>
      </c>
      <c r="H7" s="7" t="s">
        <v>37</v>
      </c>
      <c r="I7" s="8">
        <f>J60</f>
        <v>10</v>
      </c>
      <c r="L7" s="61"/>
    </row>
    <row r="8" spans="2:12" ht="29.5" thickBot="1" x14ac:dyDescent="0.4">
      <c r="B8" s="31" t="s">
        <v>7</v>
      </c>
      <c r="C8" s="41">
        <f>C6+C3</f>
        <v>45071</v>
      </c>
      <c r="E8" s="34" t="s">
        <v>28</v>
      </c>
      <c r="F8" s="35">
        <f>SUM(I7:I8)</f>
        <v>60</v>
      </c>
      <c r="H8" s="49" t="s">
        <v>38</v>
      </c>
      <c r="I8" s="50">
        <f>S60</f>
        <v>50</v>
      </c>
      <c r="L8" s="61"/>
    </row>
    <row r="9" spans="2:12" ht="29.5" customHeight="1" thickBot="1" x14ac:dyDescent="0.4">
      <c r="B9"/>
      <c r="C9" s="3"/>
      <c r="E9" s="34" t="s">
        <v>29</v>
      </c>
      <c r="F9" s="35">
        <f>SUM(I15:I16)</f>
        <v>6.4621630356164399</v>
      </c>
      <c r="L9" s="61"/>
    </row>
    <row r="10" spans="2:12" ht="15" thickBot="1" x14ac:dyDescent="0.4">
      <c r="B10" s="29" t="s">
        <v>12</v>
      </c>
      <c r="C10" s="38">
        <v>45231</v>
      </c>
      <c r="E10" s="4"/>
      <c r="F10" s="6"/>
      <c r="H10" s="114" t="s">
        <v>41</v>
      </c>
      <c r="I10" s="115"/>
      <c r="J10" s="116"/>
    </row>
    <row r="11" spans="2:12" ht="14.5" customHeight="1" x14ac:dyDescent="0.35">
      <c r="B11" s="30" t="s">
        <v>13</v>
      </c>
      <c r="C11" s="39">
        <f>C10+C12-1</f>
        <v>45260</v>
      </c>
      <c r="E11" s="55" t="s">
        <v>30</v>
      </c>
      <c r="F11" s="56">
        <f>F4+F6+F7+F8+F9-F5</f>
        <v>1566.4621630356164</v>
      </c>
      <c r="H11" s="72" t="s">
        <v>42</v>
      </c>
      <c r="I11" s="73">
        <f>SUM(F60:G60)</f>
        <v>0</v>
      </c>
      <c r="J11" s="92" t="s">
        <v>73</v>
      </c>
      <c r="K11" s="113"/>
    </row>
    <row r="12" spans="2:12" ht="15" thickBot="1" x14ac:dyDescent="0.4">
      <c r="B12" s="30" t="s">
        <v>14</v>
      </c>
      <c r="C12" s="40">
        <v>30</v>
      </c>
      <c r="E12" s="4"/>
      <c r="F12" s="6"/>
      <c r="H12" s="49" t="s">
        <v>43</v>
      </c>
      <c r="I12" s="50">
        <f>H60</f>
        <v>500</v>
      </c>
      <c r="J12" s="93"/>
      <c r="K12" s="113"/>
    </row>
    <row r="13" spans="2:12" ht="15" thickBot="1" x14ac:dyDescent="0.4">
      <c r="B13" s="31" t="s">
        <v>15</v>
      </c>
      <c r="C13" s="41" t="s">
        <v>74</v>
      </c>
      <c r="E13" s="53" t="s">
        <v>31</v>
      </c>
      <c r="F13" s="54">
        <v>10000</v>
      </c>
    </row>
    <row r="14" spans="2:12" x14ac:dyDescent="0.35">
      <c r="E14" s="51" t="s">
        <v>32</v>
      </c>
      <c r="F14" s="52">
        <f>F13-F11</f>
        <v>8433.537836964384</v>
      </c>
      <c r="H14" s="96" t="s">
        <v>44</v>
      </c>
      <c r="I14" s="97"/>
    </row>
    <row r="15" spans="2:12" ht="29.5" thickBot="1" x14ac:dyDescent="0.4">
      <c r="B15"/>
      <c r="C15" s="3"/>
      <c r="E15" s="53" t="s">
        <v>33</v>
      </c>
      <c r="F15" s="54">
        <v>2000</v>
      </c>
      <c r="H15" s="7" t="s">
        <v>45</v>
      </c>
      <c r="I15" s="8">
        <f>K62</f>
        <v>0</v>
      </c>
    </row>
    <row r="16" spans="2:12" ht="29.5" thickBot="1" x14ac:dyDescent="0.4">
      <c r="B16" s="29" t="s">
        <v>3</v>
      </c>
      <c r="C16" s="38">
        <f>C10+C12</f>
        <v>45261</v>
      </c>
      <c r="E16" s="51" t="s">
        <v>34</v>
      </c>
      <c r="F16" s="52">
        <f>F15-F7-I16</f>
        <v>993.53783696438359</v>
      </c>
      <c r="H16" s="49" t="s">
        <v>43</v>
      </c>
      <c r="I16" s="50">
        <f>T62</f>
        <v>6.4621630356164399</v>
      </c>
    </row>
    <row r="17" spans="2:23" ht="15" thickBot="1" x14ac:dyDescent="0.4">
      <c r="B17" s="30" t="s">
        <v>9</v>
      </c>
      <c r="C17" s="39">
        <f>C16+C18-1</f>
        <v>45291</v>
      </c>
      <c r="E17" s="42" t="s">
        <v>0</v>
      </c>
      <c r="F17" s="39">
        <f>C17</f>
        <v>45291</v>
      </c>
    </row>
    <row r="18" spans="2:23" ht="15" thickBot="1" x14ac:dyDescent="0.4">
      <c r="B18" s="30" t="s">
        <v>4</v>
      </c>
      <c r="C18" s="40">
        <v>31</v>
      </c>
      <c r="E18" s="43" t="s">
        <v>2</v>
      </c>
      <c r="F18" s="44">
        <f>C18</f>
        <v>31</v>
      </c>
      <c r="H18" s="96" t="s">
        <v>51</v>
      </c>
      <c r="I18" s="97"/>
    </row>
    <row r="19" spans="2:23" ht="15" thickBot="1" x14ac:dyDescent="0.4">
      <c r="B19" s="31" t="s">
        <v>16</v>
      </c>
      <c r="C19" s="41">
        <f>C17+C3</f>
        <v>45316</v>
      </c>
      <c r="H19" s="7" t="s">
        <v>42</v>
      </c>
      <c r="I19" s="8">
        <v>0</v>
      </c>
    </row>
    <row r="20" spans="2:23" ht="15" thickBot="1" x14ac:dyDescent="0.4">
      <c r="H20" s="49" t="s">
        <v>43</v>
      </c>
      <c r="I20" s="50">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45260</v>
      </c>
      <c r="C29" s="47">
        <f>C16</f>
        <v>45261</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IF(SUM($F$29:$F$53)&gt;=$I$19,0,$I$19+'November Statement'!N59-$F$29)</f>
        <v>0</v>
      </c>
      <c r="L29" s="12">
        <f>M29</f>
        <v>0</v>
      </c>
      <c r="M29" s="12">
        <f>K29*$F$22</f>
        <v>0</v>
      </c>
      <c r="N29" s="12">
        <f>I29+J29-G29</f>
        <v>0</v>
      </c>
      <c r="O29" s="12">
        <f>P29</f>
        <v>0</v>
      </c>
      <c r="P29" s="12">
        <f>N29*$F$22</f>
        <v>0</v>
      </c>
      <c r="Q29" s="12">
        <f>K29+N29</f>
        <v>0</v>
      </c>
      <c r="R29" s="15"/>
      <c r="S29" s="15"/>
      <c r="T29" s="15">
        <f>$I$20+R29+S29-H29</f>
        <v>0</v>
      </c>
      <c r="U29" s="15">
        <f>V29</f>
        <v>0</v>
      </c>
      <c r="V29" s="16">
        <f>ROUND(T29*$F$23,2)</f>
        <v>0</v>
      </c>
      <c r="W29" s="16">
        <f>IF(T29=0,0,$I$20+R29+S29-H29)</f>
        <v>0</v>
      </c>
    </row>
    <row r="30" spans="2:23" x14ac:dyDescent="0.35">
      <c r="B30" s="47">
        <f t="shared" ref="B30:B57" si="0">C30-1</f>
        <v>45261</v>
      </c>
      <c r="C30" s="48">
        <f t="shared" ref="C30:C57" si="1">C29+1</f>
        <v>45262</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v>
      </c>
      <c r="U30" s="17">
        <f t="shared" ref="U30:U57" si="4">V30-V29</f>
        <v>0</v>
      </c>
      <c r="V30" s="18">
        <f>V29+ROUND(T30*$F$23,2)</f>
        <v>0</v>
      </c>
      <c r="W30" s="16">
        <f>IF(T30=0,0,W29+R30+S30-H30)</f>
        <v>0</v>
      </c>
    </row>
    <row r="31" spans="2:23" x14ac:dyDescent="0.35">
      <c r="B31" s="47">
        <f t="shared" si="0"/>
        <v>45262</v>
      </c>
      <c r="C31" s="48">
        <f t="shared" si="1"/>
        <v>45263</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0</v>
      </c>
      <c r="L31" s="13">
        <f t="shared" ref="L31:L57" si="7">M31-M30</f>
        <v>0</v>
      </c>
      <c r="M31" s="13">
        <f t="shared" ref="M31:M57" si="8">IF(K31=0,0,M30+K31*$F$22)</f>
        <v>0</v>
      </c>
      <c r="N31" s="13">
        <f t="shared" si="3"/>
        <v>0</v>
      </c>
      <c r="O31" s="13">
        <f t="shared" ref="O31:O57" si="9">P31-P30</f>
        <v>0</v>
      </c>
      <c r="P31" s="13">
        <f t="shared" ref="P31:P55" si="10">ROUND(P30+N31*$F$22,2)</f>
        <v>0</v>
      </c>
      <c r="Q31" s="13">
        <f t="shared" ref="Q31:Q57" si="11">ROUND(N31+K31-M30-P30,2)</f>
        <v>0</v>
      </c>
      <c r="R31" s="17"/>
      <c r="S31" s="17"/>
      <c r="T31" s="17">
        <f>T30+U30+R31+S31-H31</f>
        <v>0</v>
      </c>
      <c r="U31" s="17">
        <f t="shared" si="4"/>
        <v>0</v>
      </c>
      <c r="V31" s="18">
        <f t="shared" ref="V31:V59" si="12">V30+ROUND(T31*$F$23,2)</f>
        <v>0</v>
      </c>
      <c r="W31" s="16">
        <f t="shared" ref="W31:W57" si="13">IF(T31=0,0,W30+R31+S31-H31)</f>
        <v>0</v>
      </c>
    </row>
    <row r="32" spans="2:23" x14ac:dyDescent="0.35">
      <c r="B32" s="47">
        <f t="shared" si="0"/>
        <v>45263</v>
      </c>
      <c r="C32" s="48">
        <f t="shared" si="1"/>
        <v>45264</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45264</v>
      </c>
      <c r="C33" s="48">
        <f t="shared" si="1"/>
        <v>45265</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v>
      </c>
      <c r="U33" s="17">
        <f t="shared" si="4"/>
        <v>0</v>
      </c>
      <c r="V33" s="18">
        <f t="shared" si="12"/>
        <v>0</v>
      </c>
      <c r="W33" s="16">
        <f t="shared" si="13"/>
        <v>0</v>
      </c>
    </row>
    <row r="34" spans="2:23" x14ac:dyDescent="0.35">
      <c r="B34" s="47">
        <f t="shared" si="0"/>
        <v>45265</v>
      </c>
      <c r="C34" s="48">
        <f t="shared" si="1"/>
        <v>45266</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45266</v>
      </c>
      <c r="C35" s="48">
        <f t="shared" si="1"/>
        <v>45267</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45267</v>
      </c>
      <c r="C36" s="48">
        <f t="shared" si="1"/>
        <v>45268</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45268</v>
      </c>
      <c r="C37" s="48">
        <f t="shared" si="1"/>
        <v>45269</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s="129" customFormat="1" x14ac:dyDescent="0.35">
      <c r="B38" s="123">
        <f t="shared" si="0"/>
        <v>45269</v>
      </c>
      <c r="C38" s="124">
        <f t="shared" si="1"/>
        <v>45270</v>
      </c>
      <c r="D38" s="125"/>
      <c r="E38" s="126">
        <f>IF(SUM(E$29:E37)=$I$24,0,IF((D38&lt;=$I$24-SUM(E$29:E37)),D38,$I$24-SUM(E$29:E37)))</f>
        <v>0</v>
      </c>
      <c r="F38" s="126">
        <f>IF($I$19&gt;0,IF(SUM(F$29:F37)&lt;$I$19,IF((D38-E38)&gt;0,IF($I$20=0,IF($I$19-SUM(F$29:F37)&gt;D38,D38,$I$19-SUM(F$29:F37)),E38),D38),0)+IF($I$20&gt;0,IF(D38-$I$20-SUM($H$29:H37)-IF($I$19=0,0,E38)&gt;0,IF(D38-$I$20-SUM($H$29:H37)-IF($I$19=0,0,E38)&gt;$I$19,$I$19-SUM(F$29:F37)-E38,D38-$I$20-SUM($H$29:H37)-IF($I$19=0,0,E38)),0),0),0)</f>
        <v>0</v>
      </c>
      <c r="G38" s="126">
        <f t="shared" si="2"/>
        <v>0</v>
      </c>
      <c r="H38" s="126">
        <f t="shared" si="5"/>
        <v>0</v>
      </c>
      <c r="I38" s="126">
        <v>500</v>
      </c>
      <c r="J38" s="126"/>
      <c r="K38" s="126">
        <f t="shared" si="6"/>
        <v>0</v>
      </c>
      <c r="L38" s="126">
        <f t="shared" si="7"/>
        <v>0</v>
      </c>
      <c r="M38" s="126">
        <f t="shared" si="8"/>
        <v>0</v>
      </c>
      <c r="N38" s="126">
        <f t="shared" si="3"/>
        <v>500</v>
      </c>
      <c r="O38" s="126">
        <f t="shared" si="9"/>
        <v>0.31</v>
      </c>
      <c r="P38" s="126">
        <f t="shared" si="10"/>
        <v>0.31</v>
      </c>
      <c r="Q38" s="126">
        <f t="shared" si="11"/>
        <v>500</v>
      </c>
      <c r="R38" s="126"/>
      <c r="S38" s="126"/>
      <c r="T38" s="126">
        <f t="shared" si="14"/>
        <v>0</v>
      </c>
      <c r="U38" s="126">
        <f t="shared" si="4"/>
        <v>0</v>
      </c>
      <c r="V38" s="18">
        <f t="shared" si="12"/>
        <v>0</v>
      </c>
      <c r="W38" s="128">
        <f t="shared" si="13"/>
        <v>0</v>
      </c>
    </row>
    <row r="39" spans="2:23" x14ac:dyDescent="0.35">
      <c r="B39" s="47">
        <f t="shared" si="0"/>
        <v>45270</v>
      </c>
      <c r="C39" s="48">
        <f t="shared" si="1"/>
        <v>45271</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500.31</v>
      </c>
      <c r="O39" s="13">
        <f>P39-P38</f>
        <v>0.31</v>
      </c>
      <c r="P39" s="13">
        <f t="shared" si="10"/>
        <v>0.62</v>
      </c>
      <c r="Q39" s="13">
        <f t="shared" si="11"/>
        <v>500</v>
      </c>
      <c r="R39" s="17"/>
      <c r="S39" s="17"/>
      <c r="T39" s="17">
        <f t="shared" si="14"/>
        <v>0</v>
      </c>
      <c r="U39" s="17">
        <f t="shared" si="4"/>
        <v>0</v>
      </c>
      <c r="V39" s="18">
        <f t="shared" si="12"/>
        <v>0</v>
      </c>
      <c r="W39" s="16">
        <f t="shared" si="13"/>
        <v>0</v>
      </c>
    </row>
    <row r="40" spans="2:23" s="129" customFormat="1" x14ac:dyDescent="0.35">
      <c r="B40" s="123">
        <f t="shared" si="0"/>
        <v>45271</v>
      </c>
      <c r="C40" s="124">
        <f t="shared" si="1"/>
        <v>45272</v>
      </c>
      <c r="D40" s="125"/>
      <c r="E40" s="126">
        <f>IF(SUM(E$29:E39)=$I$24,0,IF((D40&lt;=$I$24-SUM(E$29:E39)),D40,$I$24-SUM(E$29:E39)))</f>
        <v>0</v>
      </c>
      <c r="F40" s="126">
        <f>IF($I$19&gt;0,IF(SUM(F$29:F39)&lt;$I$19,IF((D40-E40)&gt;0,IF($I$20=0,IF($I$19-SUM(F$29:F39)&gt;D40,D40,$I$19-SUM(F$29:F39)),E40),D40),0)+IF($I$20&gt;0,IF(D40-$I$20-SUM($H$29:H39)-IF($I$19=0,0,E40)&gt;0,IF(D40-$I$20-SUM($H$29:H39)-IF($I$19=0,0,E40)&gt;$I$19,$I$19-SUM(F$29:F39)-E40,D40-$I$20-SUM($H$29:H39)-IF($I$19=0,0,E40)),0),0),0)</f>
        <v>0</v>
      </c>
      <c r="G40" s="126">
        <f t="shared" si="2"/>
        <v>0</v>
      </c>
      <c r="H40" s="126">
        <f t="shared" si="5"/>
        <v>0</v>
      </c>
      <c r="I40" s="126">
        <v>500</v>
      </c>
      <c r="J40" s="126">
        <v>10</v>
      </c>
      <c r="K40" s="126">
        <f t="shared" si="6"/>
        <v>0</v>
      </c>
      <c r="L40" s="126">
        <f t="shared" si="7"/>
        <v>0</v>
      </c>
      <c r="M40" s="126">
        <f t="shared" si="8"/>
        <v>0</v>
      </c>
      <c r="N40" s="126">
        <f t="shared" si="3"/>
        <v>1010.62</v>
      </c>
      <c r="O40" s="126">
        <f t="shared" si="9"/>
        <v>0.62</v>
      </c>
      <c r="P40" s="126">
        <f t="shared" si="10"/>
        <v>1.24</v>
      </c>
      <c r="Q40" s="126">
        <f t="shared" si="11"/>
        <v>1010</v>
      </c>
      <c r="R40" s="126">
        <v>200</v>
      </c>
      <c r="S40" s="126">
        <v>10</v>
      </c>
      <c r="T40" s="126">
        <f t="shared" si="14"/>
        <v>210</v>
      </c>
      <c r="U40" s="126">
        <f t="shared" si="4"/>
        <v>0.17</v>
      </c>
      <c r="V40" s="18">
        <f t="shared" si="12"/>
        <v>0.17</v>
      </c>
      <c r="W40" s="128">
        <f t="shared" si="13"/>
        <v>210</v>
      </c>
    </row>
    <row r="41" spans="2:23" x14ac:dyDescent="0.35">
      <c r="B41" s="47">
        <f t="shared" si="0"/>
        <v>45272</v>
      </c>
      <c r="C41" s="48">
        <f t="shared" si="1"/>
        <v>45273</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1011.24</v>
      </c>
      <c r="O41" s="13">
        <f t="shared" si="9"/>
        <v>0.62000000000000011</v>
      </c>
      <c r="P41" s="13">
        <f t="shared" si="10"/>
        <v>1.86</v>
      </c>
      <c r="Q41" s="13">
        <f t="shared" si="11"/>
        <v>1010</v>
      </c>
      <c r="R41" s="17"/>
      <c r="S41" s="17"/>
      <c r="T41" s="17">
        <f t="shared" si="14"/>
        <v>210.17</v>
      </c>
      <c r="U41" s="17">
        <f t="shared" si="4"/>
        <v>0.17</v>
      </c>
      <c r="V41" s="18">
        <f t="shared" si="12"/>
        <v>0.34</v>
      </c>
      <c r="W41" s="16">
        <f t="shared" si="13"/>
        <v>210</v>
      </c>
    </row>
    <row r="42" spans="2:23" x14ac:dyDescent="0.35">
      <c r="B42" s="47">
        <f>C42-2</f>
        <v>45272</v>
      </c>
      <c r="C42" s="48">
        <f t="shared" si="1"/>
        <v>45274</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1011.86</v>
      </c>
      <c r="O42" s="13">
        <f t="shared" si="9"/>
        <v>0.61999999999999988</v>
      </c>
      <c r="P42" s="13">
        <f t="shared" si="10"/>
        <v>2.48</v>
      </c>
      <c r="Q42" s="13">
        <f t="shared" si="11"/>
        <v>1010</v>
      </c>
      <c r="R42" s="17"/>
      <c r="S42" s="17"/>
      <c r="T42" s="17">
        <f>T41+U41+R42+S42-H42</f>
        <v>210.33999999999997</v>
      </c>
      <c r="U42" s="17">
        <f>V42-V41</f>
        <v>0.16999999999999998</v>
      </c>
      <c r="V42" s="18">
        <f t="shared" si="12"/>
        <v>0.51</v>
      </c>
      <c r="W42" s="16">
        <f t="shared" si="13"/>
        <v>210</v>
      </c>
    </row>
    <row r="43" spans="2:23" s="129" customFormat="1" x14ac:dyDescent="0.35">
      <c r="B43" s="123">
        <f t="shared" si="0"/>
        <v>45274</v>
      </c>
      <c r="C43" s="124">
        <f t="shared" si="1"/>
        <v>45275</v>
      </c>
      <c r="D43" s="125"/>
      <c r="E43" s="126">
        <f>IF(SUM(E$29:E42)=$I$24,0,IF((D43&lt;=$I$24-SUM(E$29:E42)),D43,$I$24-SUM(E$29:E42)))</f>
        <v>0</v>
      </c>
      <c r="F43" s="126">
        <f>IF($I$19&gt;0,IF(SUM(F$29:F42)&lt;$I$19,IF((D43-E43)&gt;0,IF($I$20=0,IF($I$19-SUM(F$29:F42)&gt;D43,D43,$I$19-SUM(F$29:F42)),E43),D43),0)+IF($I$20&gt;0,IF(D43-$I$20-SUM($H$29:H42)-IF($I$19=0,0,E43)&gt;0,IF(D43-$I$20-SUM($H$29:H42)-IF($I$19=0,0,E43)&gt;$I$19,$I$19-SUM(F$29:F42)-E43,D43-$I$20-SUM($H$29:H42)-IF($I$19=0,0,E43)),0),0),0)</f>
        <v>0</v>
      </c>
      <c r="G43" s="126">
        <f t="shared" si="2"/>
        <v>0</v>
      </c>
      <c r="H43" s="126">
        <f t="shared" si="5"/>
        <v>0</v>
      </c>
      <c r="I43" s="126"/>
      <c r="J43" s="126"/>
      <c r="K43" s="126">
        <f t="shared" si="6"/>
        <v>0</v>
      </c>
      <c r="L43" s="126">
        <f t="shared" si="7"/>
        <v>0</v>
      </c>
      <c r="M43" s="126">
        <f t="shared" si="8"/>
        <v>0</v>
      </c>
      <c r="N43" s="126">
        <f t="shared" si="3"/>
        <v>1012.48</v>
      </c>
      <c r="O43" s="126">
        <f t="shared" si="9"/>
        <v>0.62000000000000011</v>
      </c>
      <c r="P43" s="126">
        <f t="shared" si="10"/>
        <v>3.1</v>
      </c>
      <c r="Q43" s="126">
        <f t="shared" si="11"/>
        <v>1010</v>
      </c>
      <c r="R43" s="126">
        <v>200</v>
      </c>
      <c r="S43" s="126">
        <v>10</v>
      </c>
      <c r="T43" s="126">
        <f>T42+U42+R43+S43-H43</f>
        <v>420.51</v>
      </c>
      <c r="U43" s="126">
        <f t="shared" si="4"/>
        <v>0.35</v>
      </c>
      <c r="V43" s="18">
        <f t="shared" si="12"/>
        <v>0.86</v>
      </c>
      <c r="W43" s="128">
        <f t="shared" si="13"/>
        <v>420</v>
      </c>
    </row>
    <row r="44" spans="2:23" x14ac:dyDescent="0.35">
      <c r="B44" s="47">
        <f t="shared" si="0"/>
        <v>45275</v>
      </c>
      <c r="C44" s="48">
        <f t="shared" si="1"/>
        <v>45276</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1013.1</v>
      </c>
      <c r="O44" s="13">
        <f t="shared" si="9"/>
        <v>0.62000000000000011</v>
      </c>
      <c r="P44" s="13">
        <f t="shared" si="10"/>
        <v>3.72</v>
      </c>
      <c r="Q44" s="13">
        <f t="shared" si="11"/>
        <v>1010</v>
      </c>
      <c r="R44" s="17"/>
      <c r="S44" s="17"/>
      <c r="T44" s="17">
        <f t="shared" si="14"/>
        <v>420.86</v>
      </c>
      <c r="U44" s="17">
        <f t="shared" si="4"/>
        <v>0.35</v>
      </c>
      <c r="V44" s="18">
        <f t="shared" si="12"/>
        <v>1.21</v>
      </c>
      <c r="W44" s="16">
        <f t="shared" si="13"/>
        <v>420</v>
      </c>
    </row>
    <row r="45" spans="2:23" x14ac:dyDescent="0.35">
      <c r="B45" s="47">
        <f t="shared" si="0"/>
        <v>45276</v>
      </c>
      <c r="C45" s="48">
        <f t="shared" si="1"/>
        <v>45277</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1013.72</v>
      </c>
      <c r="O45" s="13">
        <f t="shared" si="9"/>
        <v>0.61999999999999966</v>
      </c>
      <c r="P45" s="13">
        <f t="shared" si="10"/>
        <v>4.34</v>
      </c>
      <c r="Q45" s="13">
        <f t="shared" si="11"/>
        <v>1010</v>
      </c>
      <c r="R45" s="17"/>
      <c r="S45" s="17"/>
      <c r="T45" s="17">
        <f t="shared" si="14"/>
        <v>421.21000000000004</v>
      </c>
      <c r="U45" s="17">
        <f t="shared" si="4"/>
        <v>0.35000000000000009</v>
      </c>
      <c r="V45" s="18">
        <f t="shared" si="12"/>
        <v>1.56</v>
      </c>
      <c r="W45" s="16">
        <f>IF(T45=0,0,W44+R45+S45-H45)</f>
        <v>420</v>
      </c>
    </row>
    <row r="46" spans="2:23" x14ac:dyDescent="0.35">
      <c r="B46" s="47">
        <f t="shared" si="0"/>
        <v>45277</v>
      </c>
      <c r="C46" s="48">
        <f t="shared" si="1"/>
        <v>45278</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1014.34</v>
      </c>
      <c r="O46" s="13">
        <f t="shared" si="9"/>
        <v>0.62999999999999989</v>
      </c>
      <c r="P46" s="13">
        <f t="shared" si="10"/>
        <v>4.97</v>
      </c>
      <c r="Q46" s="13">
        <f t="shared" si="11"/>
        <v>1010</v>
      </c>
      <c r="R46" s="17"/>
      <c r="S46" s="17"/>
      <c r="T46" s="17">
        <f t="shared" si="14"/>
        <v>421.56000000000006</v>
      </c>
      <c r="U46" s="17">
        <f t="shared" si="4"/>
        <v>0.35000000000000009</v>
      </c>
      <c r="V46" s="18">
        <f t="shared" si="12"/>
        <v>1.9100000000000001</v>
      </c>
      <c r="W46" s="16">
        <f>IF(T46=0,0,W45+R46+S46-H46)</f>
        <v>420</v>
      </c>
    </row>
    <row r="47" spans="2:23" x14ac:dyDescent="0.35">
      <c r="B47" s="47">
        <f t="shared" si="0"/>
        <v>45278</v>
      </c>
      <c r="C47" s="48">
        <f t="shared" si="1"/>
        <v>45279</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1014.97</v>
      </c>
      <c r="O47" s="13">
        <f t="shared" si="9"/>
        <v>0.62999999999999989</v>
      </c>
      <c r="P47" s="13">
        <f t="shared" si="10"/>
        <v>5.6</v>
      </c>
      <c r="Q47" s="13">
        <f t="shared" si="11"/>
        <v>1010</v>
      </c>
      <c r="R47" s="17"/>
      <c r="S47" s="17"/>
      <c r="T47" s="17">
        <f t="shared" si="14"/>
        <v>421.91000000000008</v>
      </c>
      <c r="U47" s="17">
        <f t="shared" si="4"/>
        <v>0.35000000000000009</v>
      </c>
      <c r="V47" s="18">
        <f t="shared" si="12"/>
        <v>2.2600000000000002</v>
      </c>
      <c r="W47" s="16">
        <f t="shared" si="13"/>
        <v>420</v>
      </c>
    </row>
    <row r="48" spans="2:23" s="129" customFormat="1" x14ac:dyDescent="0.35">
      <c r="B48" s="123">
        <f t="shared" si="0"/>
        <v>45279</v>
      </c>
      <c r="C48" s="124">
        <f t="shared" si="1"/>
        <v>45280</v>
      </c>
      <c r="D48" s="125"/>
      <c r="E48" s="126">
        <f>IF(SUM(E$29:E47)=$I$24,0,IF((D48&lt;=$I$24-SUM(E$29:E47)),D48,$I$24-SUM(E$29:E47)))</f>
        <v>0</v>
      </c>
      <c r="F48" s="126">
        <f>IF($I$19&gt;0,IF(SUM(F$29:F47)&lt;$I$19,IF((D48-E48)&gt;0,IF($I$20=0,IF($I$19-SUM(F$29:F47)&gt;D48,D48,$I$19-SUM(F$29:F47)),E48),D48),0)+IF($I$20&gt;0,IF(D48-$I$20-SUM($H$29:H47)-IF($I$19=0,0,E48)&gt;0,IF(D48-$I$20-SUM($H$29:H47)-IF($I$19=0,0,E48)&gt;$I$19,$I$19-SUM(F$29:F47)-E48,D48-$I$20-SUM($H$29:H47)-IF($I$19=0,0,E48)),0),0),0)</f>
        <v>0</v>
      </c>
      <c r="G48" s="126">
        <f t="shared" si="2"/>
        <v>0</v>
      </c>
      <c r="H48" s="126">
        <f t="shared" si="5"/>
        <v>0</v>
      </c>
      <c r="I48" s="126"/>
      <c r="J48" s="126"/>
      <c r="K48" s="126">
        <f t="shared" si="6"/>
        <v>0</v>
      </c>
      <c r="L48" s="126">
        <f t="shared" si="7"/>
        <v>0</v>
      </c>
      <c r="M48" s="126">
        <f t="shared" si="8"/>
        <v>0</v>
      </c>
      <c r="N48" s="126">
        <f t="shared" si="3"/>
        <v>1015.6</v>
      </c>
      <c r="O48" s="126">
        <f t="shared" si="9"/>
        <v>0.63000000000000078</v>
      </c>
      <c r="P48" s="126">
        <f t="shared" si="10"/>
        <v>6.23</v>
      </c>
      <c r="Q48" s="126">
        <f t="shared" si="11"/>
        <v>1010</v>
      </c>
      <c r="R48" s="126">
        <v>200</v>
      </c>
      <c r="S48" s="126">
        <v>10</v>
      </c>
      <c r="T48" s="126">
        <f t="shared" si="14"/>
        <v>632.2600000000001</v>
      </c>
      <c r="U48" s="126">
        <f t="shared" si="4"/>
        <v>0.52</v>
      </c>
      <c r="V48" s="18">
        <f t="shared" si="12"/>
        <v>2.7800000000000002</v>
      </c>
      <c r="W48" s="128">
        <f t="shared" si="13"/>
        <v>630</v>
      </c>
    </row>
    <row r="49" spans="2:23" x14ac:dyDescent="0.35">
      <c r="B49" s="47">
        <f t="shared" si="0"/>
        <v>45280</v>
      </c>
      <c r="C49" s="48">
        <f t="shared" si="1"/>
        <v>45281</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1016.23</v>
      </c>
      <c r="O49" s="13">
        <f t="shared" si="9"/>
        <v>0.62999999999999989</v>
      </c>
      <c r="P49" s="13">
        <f t="shared" si="10"/>
        <v>6.86</v>
      </c>
      <c r="Q49" s="13">
        <f t="shared" si="11"/>
        <v>1010</v>
      </c>
      <c r="R49" s="17"/>
      <c r="S49" s="17"/>
      <c r="T49" s="17">
        <f t="shared" si="14"/>
        <v>632.78000000000009</v>
      </c>
      <c r="U49" s="17">
        <f t="shared" si="4"/>
        <v>0.52</v>
      </c>
      <c r="V49" s="18">
        <f t="shared" si="12"/>
        <v>3.3000000000000003</v>
      </c>
      <c r="W49" s="16">
        <f t="shared" si="13"/>
        <v>630</v>
      </c>
    </row>
    <row r="50" spans="2:23" s="129" customFormat="1" x14ac:dyDescent="0.35">
      <c r="B50" s="123">
        <f t="shared" si="0"/>
        <v>45281</v>
      </c>
      <c r="C50" s="124">
        <f t="shared" si="1"/>
        <v>45282</v>
      </c>
      <c r="D50" s="125">
        <v>500</v>
      </c>
      <c r="E50" s="126">
        <f>IF(SUM(E$29:E49)=$I$24,0,IF((D50&lt;=$I$24-SUM(E$29:E49)),D50,$I$24-SUM(E$29:E49)))</f>
        <v>35</v>
      </c>
      <c r="F50" s="126">
        <f>IF($I$19&gt;0,IF(SUM(F$29:F49)&lt;$I$19,IF((D50-E50)&gt;0,IF($I$20=0,IF($I$19-SUM(F$29:F49)&gt;D50,D50,$I$19-SUM(F$29:F49)),E50),D50),0)+IF($I$20&gt;0,IF(D50-$I$20-SUM($H$29:H49)-IF($I$19=0,0,E50)&gt;0,IF(D50-$I$20-SUM($H$29:H49)-IF($I$19=0,0,E50)&gt;$I$19,$I$19-SUM(F$29:F49)-E50,D50-$I$20-SUM($H$29:H49)-IF($I$19=0,0,E50)),0),0),0)</f>
        <v>0</v>
      </c>
      <c r="G50" s="126">
        <f t="shared" si="2"/>
        <v>0</v>
      </c>
      <c r="H50" s="126">
        <f t="shared" si="5"/>
        <v>500</v>
      </c>
      <c r="I50" s="126"/>
      <c r="J50" s="126"/>
      <c r="K50" s="126">
        <f t="shared" si="6"/>
        <v>0</v>
      </c>
      <c r="L50" s="126">
        <f t="shared" si="7"/>
        <v>0</v>
      </c>
      <c r="M50" s="126">
        <f t="shared" si="8"/>
        <v>0</v>
      </c>
      <c r="N50" s="126">
        <f t="shared" si="3"/>
        <v>1016.86</v>
      </c>
      <c r="O50" s="126">
        <f t="shared" si="9"/>
        <v>0.62999999999999989</v>
      </c>
      <c r="P50" s="126">
        <f t="shared" si="10"/>
        <v>7.49</v>
      </c>
      <c r="Q50" s="126">
        <f t="shared" si="11"/>
        <v>1010</v>
      </c>
      <c r="R50" s="126"/>
      <c r="S50" s="126"/>
      <c r="T50" s="126">
        <f t="shared" si="14"/>
        <v>133.30000000000007</v>
      </c>
      <c r="U50" s="126">
        <f t="shared" si="4"/>
        <v>0.10999999999999988</v>
      </c>
      <c r="V50" s="18">
        <f t="shared" si="12"/>
        <v>3.41</v>
      </c>
      <c r="W50" s="128">
        <f t="shared" si="13"/>
        <v>130</v>
      </c>
    </row>
    <row r="51" spans="2:23" x14ac:dyDescent="0.35">
      <c r="B51" s="47">
        <f t="shared" si="0"/>
        <v>45282</v>
      </c>
      <c r="C51" s="48">
        <f t="shared" si="1"/>
        <v>45283</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1017.49</v>
      </c>
      <c r="O51" s="13">
        <f t="shared" si="9"/>
        <v>0.62999999999999901</v>
      </c>
      <c r="P51" s="13">
        <f t="shared" si="10"/>
        <v>8.1199999999999992</v>
      </c>
      <c r="Q51" s="13">
        <f t="shared" si="11"/>
        <v>1010</v>
      </c>
      <c r="R51" s="17"/>
      <c r="S51" s="17"/>
      <c r="T51" s="17">
        <f t="shared" si="14"/>
        <v>133.41000000000008</v>
      </c>
      <c r="U51" s="17">
        <f t="shared" si="4"/>
        <v>0.10999999999999988</v>
      </c>
      <c r="V51" s="18">
        <f t="shared" si="12"/>
        <v>3.52</v>
      </c>
      <c r="W51" s="16">
        <f t="shared" si="13"/>
        <v>130</v>
      </c>
    </row>
    <row r="52" spans="2:23" x14ac:dyDescent="0.35">
      <c r="B52" s="47">
        <f t="shared" si="0"/>
        <v>45283</v>
      </c>
      <c r="C52" s="48">
        <f t="shared" si="1"/>
        <v>45284</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1018.12</v>
      </c>
      <c r="O52" s="13">
        <f t="shared" si="9"/>
        <v>0.63000000000000078</v>
      </c>
      <c r="P52" s="13">
        <f t="shared" si="10"/>
        <v>8.75</v>
      </c>
      <c r="Q52" s="13">
        <f t="shared" si="11"/>
        <v>1010</v>
      </c>
      <c r="R52" s="17"/>
      <c r="S52" s="17"/>
      <c r="T52" s="17">
        <f t="shared" si="14"/>
        <v>133.5200000000001</v>
      </c>
      <c r="U52" s="17">
        <f t="shared" si="4"/>
        <v>0.10999999999999988</v>
      </c>
      <c r="V52" s="18">
        <f t="shared" si="12"/>
        <v>3.63</v>
      </c>
      <c r="W52" s="16">
        <f t="shared" si="13"/>
        <v>130</v>
      </c>
    </row>
    <row r="53" spans="2:23" s="129" customFormat="1" x14ac:dyDescent="0.35">
      <c r="B53" s="123">
        <f t="shared" si="0"/>
        <v>45284</v>
      </c>
      <c r="C53" s="124">
        <f t="shared" si="1"/>
        <v>45285</v>
      </c>
      <c r="D53" s="125"/>
      <c r="E53" s="126">
        <f>IF(SUM(E$29:E52)=$I$24,0,IF((D53&lt;=$I$24-SUM(E$29:E52)),D53,$I$24-SUM(E$29:E52)))</f>
        <v>0</v>
      </c>
      <c r="F53" s="126">
        <f>IF($I$19&gt;0,IF(SUM(F$29:F52)&lt;$I$19,IF((D53-E53)&gt;0,IF($I$20=0,IF($I$19-SUM(F$29:F52)&gt;D53,D53,$I$19-SUM(F$29:F52)),E53),D53),0)+IF($I$20&gt;0,IF(D53-$I$20-SUM($H$29:H52)-IF($I$19=0,0,E53)&gt;0,IF(D53-$I$20-SUM($H$29:H52)-IF($I$19=0,0,E53)&gt;$I$19,$I$19-SUM(F$29:F52)-E53,D53-$I$20-SUM($H$29:H52)-IF($I$19=0,0,E53)),0),0),0)</f>
        <v>0</v>
      </c>
      <c r="G53" s="126">
        <f t="shared" si="2"/>
        <v>0</v>
      </c>
      <c r="H53" s="126">
        <f t="shared" si="5"/>
        <v>0</v>
      </c>
      <c r="I53" s="126"/>
      <c r="J53" s="126"/>
      <c r="K53" s="126">
        <f t="shared" si="6"/>
        <v>0</v>
      </c>
      <c r="L53" s="126">
        <f t="shared" si="7"/>
        <v>0</v>
      </c>
      <c r="M53" s="126">
        <f t="shared" si="8"/>
        <v>0</v>
      </c>
      <c r="N53" s="126">
        <f t="shared" si="3"/>
        <v>1018.75</v>
      </c>
      <c r="O53" s="126">
        <f t="shared" si="9"/>
        <v>0.63000000000000078</v>
      </c>
      <c r="P53" s="126">
        <f t="shared" si="10"/>
        <v>9.3800000000000008</v>
      </c>
      <c r="Q53" s="126">
        <f t="shared" si="11"/>
        <v>1010</v>
      </c>
      <c r="R53" s="126">
        <v>200</v>
      </c>
      <c r="S53" s="126">
        <v>10</v>
      </c>
      <c r="T53" s="126">
        <f t="shared" si="14"/>
        <v>343.63000000000011</v>
      </c>
      <c r="U53" s="126">
        <f t="shared" si="4"/>
        <v>0.28000000000000025</v>
      </c>
      <c r="V53" s="18">
        <f t="shared" si="12"/>
        <v>3.91</v>
      </c>
      <c r="W53" s="128">
        <f t="shared" si="13"/>
        <v>340</v>
      </c>
    </row>
    <row r="54" spans="2:23" x14ac:dyDescent="0.35">
      <c r="B54" s="47">
        <f t="shared" si="0"/>
        <v>45285</v>
      </c>
      <c r="C54" s="48">
        <f t="shared" si="1"/>
        <v>45286</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1019.38</v>
      </c>
      <c r="O54" s="13">
        <f t="shared" si="9"/>
        <v>0.62999999999999901</v>
      </c>
      <c r="P54" s="13">
        <f>ROUND(P53+N54*$F$22,2)</f>
        <v>10.01</v>
      </c>
      <c r="Q54" s="13">
        <f t="shared" si="11"/>
        <v>1010</v>
      </c>
      <c r="R54" s="17"/>
      <c r="S54" s="17"/>
      <c r="T54" s="17">
        <f t="shared" si="14"/>
        <v>343.91000000000008</v>
      </c>
      <c r="U54" s="17">
        <f t="shared" si="4"/>
        <v>0.28000000000000025</v>
      </c>
      <c r="V54" s="18">
        <f t="shared" si="12"/>
        <v>4.1900000000000004</v>
      </c>
      <c r="W54" s="16">
        <f t="shared" si="13"/>
        <v>340</v>
      </c>
    </row>
    <row r="55" spans="2:23" s="129" customFormat="1" x14ac:dyDescent="0.35">
      <c r="B55" s="123">
        <f t="shared" si="0"/>
        <v>45286</v>
      </c>
      <c r="C55" s="124">
        <f t="shared" si="1"/>
        <v>45287</v>
      </c>
      <c r="D55" s="125"/>
      <c r="E55" s="126">
        <f>IF(SUM(E$29:E54)=$I$24,0,IF((D55&lt;=$I$24-SUM(E$29:E54)),D55,$I$24-SUM(E$29:E54)))</f>
        <v>0</v>
      </c>
      <c r="F55" s="126">
        <f>IF($I$19&gt;0,IF(SUM(F$29:F54)&lt;$I$19,IF((D55-E55)&gt;0,IF($I$20=0,IF($I$19-SUM(F$29:F54)&gt;D55,D55,$I$19-SUM(F$29:F54)),E55),D55),0)+IF($I$20&gt;0,IF(D55-$I$20-SUM($H$29:H54)-IF($I$19=0,0,E55)&gt;0,IF(D55-$I$20-SUM($H$29:H54)-IF($I$19=0,0,E55)&gt;$I$19,$I$19-SUM(F$29:F54)-E55,D55-$I$20-SUM($H$29:H54)-IF($I$19=0,0,E55)),0),0),0)</f>
        <v>0</v>
      </c>
      <c r="G55" s="126">
        <f t="shared" si="2"/>
        <v>0</v>
      </c>
      <c r="H55" s="126">
        <f t="shared" si="5"/>
        <v>0</v>
      </c>
      <c r="I55" s="126"/>
      <c r="J55" s="126"/>
      <c r="K55" s="126">
        <f t="shared" si="6"/>
        <v>0</v>
      </c>
      <c r="L55" s="126">
        <f t="shared" si="7"/>
        <v>0</v>
      </c>
      <c r="M55" s="126">
        <f t="shared" si="8"/>
        <v>0</v>
      </c>
      <c r="N55" s="126">
        <f t="shared" si="3"/>
        <v>1020.01</v>
      </c>
      <c r="O55" s="126">
        <f t="shared" si="9"/>
        <v>0.63000000000000078</v>
      </c>
      <c r="P55" s="126">
        <f t="shared" si="10"/>
        <v>10.64</v>
      </c>
      <c r="Q55" s="126">
        <f t="shared" si="11"/>
        <v>1010</v>
      </c>
      <c r="R55" s="126">
        <v>200</v>
      </c>
      <c r="S55" s="126">
        <v>10</v>
      </c>
      <c r="T55" s="126">
        <f t="shared" si="14"/>
        <v>554.19000000000005</v>
      </c>
      <c r="U55" s="126">
        <f t="shared" si="4"/>
        <v>0.45999999999999996</v>
      </c>
      <c r="V55" s="18">
        <f t="shared" si="12"/>
        <v>4.6500000000000004</v>
      </c>
      <c r="W55" s="128">
        <f t="shared" si="13"/>
        <v>550</v>
      </c>
    </row>
    <row r="56" spans="2:23" x14ac:dyDescent="0.35">
      <c r="B56" s="47">
        <f t="shared" si="0"/>
        <v>45287</v>
      </c>
      <c r="C56" s="48">
        <f>C55+1</f>
        <v>45288</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IF((T55+U55-V55+R56+S56)&gt;0,IF($I$19=0,E56,0),0)+IF((T55+U55-V55+R56+S56)&gt;0,(IF((D56-F56)&gt;0,(IF((T55+U55-V55+R56+S56)&gt;(D56-F56),(D56-F56-IF($I$19=0,E56,0)),(T55+U55-V55+R56+S56-IF($I$19=0,E56,0)))),0)),0)</f>
        <v>0</v>
      </c>
      <c r="I56" s="13"/>
      <c r="J56" s="13"/>
      <c r="K56" s="13">
        <f>IF(SUM($F$29:$F$53)&gt;=$I$19,0,ROUND(K55+L55-F56,2))</f>
        <v>0</v>
      </c>
      <c r="L56" s="13">
        <f>M56-M55</f>
        <v>0</v>
      </c>
      <c r="M56" s="13">
        <f>IF(K56=0,0,M55+K56*$F$22)</f>
        <v>0</v>
      </c>
      <c r="N56" s="13">
        <f>ROUND(N55+I56+J56+O55-G56,2)</f>
        <v>1020.64</v>
      </c>
      <c r="O56" s="13">
        <f>P56-P55</f>
        <v>0.62999999999999901</v>
      </c>
      <c r="P56" s="13">
        <f>ROUND(P55+N56*$F$22,2)</f>
        <v>11.27</v>
      </c>
      <c r="Q56" s="13">
        <f>ROUND(N56+K56-M55-P55,2)</f>
        <v>1010</v>
      </c>
      <c r="R56" s="17"/>
      <c r="S56" s="17"/>
      <c r="T56" s="17">
        <f>T55+U55+R56+S56-H56</f>
        <v>554.65000000000009</v>
      </c>
      <c r="U56" s="17">
        <f>V56-V55</f>
        <v>0.45999999999999996</v>
      </c>
      <c r="V56" s="18">
        <f t="shared" si="12"/>
        <v>5.1100000000000003</v>
      </c>
      <c r="W56" s="16">
        <f>IF(T56=0,0,W55+R56+S56-H56)</f>
        <v>550</v>
      </c>
    </row>
    <row r="57" spans="2:23" x14ac:dyDescent="0.35">
      <c r="B57" s="47">
        <f t="shared" si="0"/>
        <v>45288</v>
      </c>
      <c r="C57" s="48">
        <f t="shared" si="1"/>
        <v>45289</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1021.27</v>
      </c>
      <c r="O57" s="13">
        <f t="shared" si="9"/>
        <v>0.63000000000000078</v>
      </c>
      <c r="P57" s="13">
        <f>ROUND(P56+N57*$F$22,2)</f>
        <v>11.9</v>
      </c>
      <c r="Q57" s="13">
        <f t="shared" si="11"/>
        <v>1010</v>
      </c>
      <c r="R57" s="17"/>
      <c r="S57" s="17"/>
      <c r="T57" s="17">
        <f t="shared" si="14"/>
        <v>555.11000000000013</v>
      </c>
      <c r="U57" s="17">
        <f t="shared" si="4"/>
        <v>0.45999999999999996</v>
      </c>
      <c r="V57" s="18">
        <f t="shared" si="12"/>
        <v>5.57</v>
      </c>
      <c r="W57" s="16">
        <f t="shared" si="13"/>
        <v>550</v>
      </c>
    </row>
    <row r="58" spans="2:23" x14ac:dyDescent="0.35">
      <c r="B58" s="47">
        <f t="shared" ref="B58" si="15">C58-1</f>
        <v>45289</v>
      </c>
      <c r="C58" s="48">
        <f>C57+1</f>
        <v>45290</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IF((T57+U57-V57+R58+S58)&gt;0,IF($I$19=0,E58,0),0)+IF((T57+U57-V57+R58+S58)&gt;0,(IF((D58-F58)&gt;0,(IF((T57+U57-V57+R58+S58)&gt;(D58-F58),(D58-F58-IF($I$19=0,E58,0)),(T57+U57-V57+R58+S58-IF($I$19=0,E58,0)))),0)),0)</f>
        <v>0</v>
      </c>
      <c r="I58" s="13"/>
      <c r="J58" s="13"/>
      <c r="K58" s="13">
        <f>IF(SUM($F$29:$F$53)&gt;=$I$19,0,ROUND(K57+L57-F58,2))</f>
        <v>0</v>
      </c>
      <c r="L58" s="13">
        <f>M58-M57</f>
        <v>0</v>
      </c>
      <c r="M58" s="13">
        <f>IF(K58=0,0,M57+K58*$F$22)</f>
        <v>0</v>
      </c>
      <c r="N58" s="13">
        <f>ROUND(N57+I58+J58+O57-G58,2)</f>
        <v>1021.9</v>
      </c>
      <c r="O58" s="13">
        <f>P58-P57</f>
        <v>0.62999999999999901</v>
      </c>
      <c r="P58" s="13">
        <f>ROUND(P57+N58*$F$22,2)</f>
        <v>12.53</v>
      </c>
      <c r="Q58" s="13">
        <f>ROUND(N58+K58-M57-P57,2)</f>
        <v>1010</v>
      </c>
      <c r="R58" s="17"/>
      <c r="S58" s="17"/>
      <c r="T58" s="17">
        <f>T57+U57+R58+S58-H58</f>
        <v>555.57000000000016</v>
      </c>
      <c r="U58" s="17">
        <f>V58-V57</f>
        <v>0.45999999999999996</v>
      </c>
      <c r="V58" s="18">
        <f t="shared" si="12"/>
        <v>6.03</v>
      </c>
      <c r="W58" s="16">
        <f>IF(T58=0,0,W57+R58+S58-H58)</f>
        <v>550</v>
      </c>
    </row>
    <row r="59" spans="2:23" ht="15" thickBot="1" x14ac:dyDescent="0.4">
      <c r="B59" s="47">
        <f t="shared" ref="B59" si="17">C59-1</f>
        <v>45290</v>
      </c>
      <c r="C59" s="48">
        <f>C58+1</f>
        <v>45291</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8">ROUND(D59-F59-H59,2)</f>
        <v>0</v>
      </c>
      <c r="H59" s="17">
        <f>IF((T58+U58-V58+R59+S59)&gt;0,IF($I$19=0,E59,0),0)+IF((T58+U58-V58+R59+S59)&gt;0,(IF((D59-F59)&gt;0,(IF((T58+U58-V58+R59+S59)&gt;(D59-F59),(D59-F59-IF($I$19=0,E59,0)),(T58+U58-V58+R59+S59-IF($I$19=0,E59,0)))),0)),0)</f>
        <v>0</v>
      </c>
      <c r="I59" s="13"/>
      <c r="J59" s="13"/>
      <c r="K59" s="13">
        <f>IF(SUM($F$29:$F$53)&gt;=$I$19,0,ROUND(K58+L58-F59,2))</f>
        <v>0</v>
      </c>
      <c r="L59" s="13">
        <f>M59-M58</f>
        <v>0</v>
      </c>
      <c r="M59" s="13">
        <f>IF(K59=0,0,M58+K59*$F$22)</f>
        <v>0</v>
      </c>
      <c r="N59" s="13">
        <f>ROUND(N58+I59+J59+O58-G59,2)</f>
        <v>1022.53</v>
      </c>
      <c r="O59" s="13">
        <f>P59-P58</f>
        <v>0.63000000000000078</v>
      </c>
      <c r="P59" s="13">
        <f>ROUND(P58+N59*$F$22,2)</f>
        <v>13.16</v>
      </c>
      <c r="Q59" s="13">
        <f>ROUND(N59+K59-M58-P58,2)</f>
        <v>1010</v>
      </c>
      <c r="R59" s="17"/>
      <c r="S59" s="17"/>
      <c r="T59" s="17">
        <f>T58+U58+R59+S59-H59</f>
        <v>556.0300000000002</v>
      </c>
      <c r="U59" s="17">
        <f>V59-V58</f>
        <v>0.45999999999999996</v>
      </c>
      <c r="V59" s="18">
        <f t="shared" si="12"/>
        <v>6.49</v>
      </c>
      <c r="W59" s="16">
        <f>IF(T59=0,0,W58+R59+S59-H59)</f>
        <v>550</v>
      </c>
    </row>
    <row r="60" spans="2:23" ht="15" thickBot="1" x14ac:dyDescent="0.4">
      <c r="B60" s="111" t="s">
        <v>49</v>
      </c>
      <c r="C60" s="112"/>
      <c r="D60" s="67">
        <f>SUM(D29:D58)</f>
        <v>500</v>
      </c>
      <c r="E60" s="21">
        <f>SUM(E29:E58)</f>
        <v>35</v>
      </c>
      <c r="F60" s="21">
        <f>SUM(F29:F58)</f>
        <v>0</v>
      </c>
      <c r="G60" s="21">
        <f>SUM(G29:G58)</f>
        <v>0</v>
      </c>
      <c r="H60" s="22">
        <f>SUM(H29:H58)</f>
        <v>500</v>
      </c>
      <c r="I60" s="20">
        <f>SUM(I29:I58)</f>
        <v>1000</v>
      </c>
      <c r="J60" s="21">
        <f>SUM(J29:J58)</f>
        <v>10</v>
      </c>
      <c r="K60" s="21">
        <f>SUM(K29:K58)</f>
        <v>0</v>
      </c>
      <c r="L60" s="74">
        <f>SUM(L29:L58)</f>
        <v>0</v>
      </c>
      <c r="M60" s="20"/>
      <c r="N60" s="21">
        <f>SUM(N29:N58)</f>
        <v>20308.890000000003</v>
      </c>
      <c r="O60" s="21">
        <f>SUM(O29:O58)</f>
        <v>12.53</v>
      </c>
      <c r="P60" s="20"/>
      <c r="Q60" s="20"/>
      <c r="R60" s="22">
        <f>SUM(R29:R58)</f>
        <v>1000</v>
      </c>
      <c r="S60" s="22">
        <f>SUM(S29:S58)</f>
        <v>50</v>
      </c>
      <c r="T60" s="22">
        <f>SUM(T29:T59)</f>
        <v>7864.9200000000019</v>
      </c>
      <c r="U60" s="22">
        <f>SUM(U29:U58)</f>
        <v>6.03</v>
      </c>
      <c r="V60" s="23"/>
      <c r="W60" s="23"/>
    </row>
    <row r="61" spans="2:23" ht="15" thickBot="1" x14ac:dyDescent="0.4">
      <c r="G61" s="61"/>
      <c r="J61" s="82" t="s">
        <v>71</v>
      </c>
      <c r="K61" s="82">
        <f>K60/$C$18</f>
        <v>0</v>
      </c>
      <c r="M61" s="82" t="s">
        <v>69</v>
      </c>
      <c r="N61" s="82">
        <f>N60/$C$18</f>
        <v>655.12548387096786</v>
      </c>
      <c r="O61" s="61"/>
      <c r="S61" s="82" t="s">
        <v>65</v>
      </c>
      <c r="T61" s="82">
        <f>T60/$C$18</f>
        <v>253.70709677419362</v>
      </c>
    </row>
    <row r="62" spans="2:23" ht="15" thickBot="1" x14ac:dyDescent="0.4">
      <c r="H62" s="2"/>
      <c r="J62" s="82" t="s">
        <v>72</v>
      </c>
      <c r="K62" s="82">
        <f>M58</f>
        <v>0</v>
      </c>
      <c r="M62" s="82" t="s">
        <v>70</v>
      </c>
      <c r="N62" s="82">
        <f>IF(ROUND(N58,2)=0,0,N61*$F$22*$C$18)</f>
        <v>12.513614687671234</v>
      </c>
      <c r="S62" s="82" t="s">
        <v>64</v>
      </c>
      <c r="T62" s="137">
        <f>T61*$F$23*$C$18</f>
        <v>6.4621630356164399</v>
      </c>
    </row>
    <row r="63" spans="2:23" x14ac:dyDescent="0.35">
      <c r="M63" s="61"/>
      <c r="N63" s="61"/>
    </row>
    <row r="65" spans="14:14" ht="15" thickBot="1" x14ac:dyDescent="0.4">
      <c r="N65" s="61">
        <f>SUM(N29:N59)</f>
        <v>21331.420000000002</v>
      </c>
    </row>
    <row r="66" spans="14:14" ht="15" thickBot="1" x14ac:dyDescent="0.4">
      <c r="N66" s="82">
        <f>N65/$C$18</f>
        <v>688.11032258064517</v>
      </c>
    </row>
    <row r="67" spans="14:14" ht="15" thickBot="1" x14ac:dyDescent="0.4">
      <c r="N67" s="137">
        <f>ROUND(N66*$F$22*$C$18,2)</f>
        <v>13.14</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9"/>
  <sheetViews>
    <sheetView tabSelected="1" zoomScale="62" zoomScaleNormal="53" workbookViewId="0">
      <selection activeCell="K62" sqref="K62"/>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94" t="s">
        <v>50</v>
      </c>
      <c r="F2" s="95"/>
      <c r="J2" s="1"/>
    </row>
    <row r="3" spans="2:12" ht="15" thickBot="1" x14ac:dyDescent="0.4">
      <c r="B3" s="28" t="s">
        <v>1</v>
      </c>
      <c r="C3" s="37">
        <v>25</v>
      </c>
      <c r="E3" s="45" t="s">
        <v>24</v>
      </c>
      <c r="F3" s="39">
        <v>44957</v>
      </c>
    </row>
    <row r="4" spans="2:12" ht="15" thickBot="1" x14ac:dyDescent="0.4">
      <c r="B4"/>
      <c r="C4"/>
      <c r="E4" s="62" t="s">
        <v>25</v>
      </c>
      <c r="F4" s="62">
        <f>SUM(I19:I20)</f>
        <v>1566.46</v>
      </c>
    </row>
    <row r="5" spans="2:12" ht="15" thickBot="1" x14ac:dyDescent="0.4">
      <c r="B5" s="29" t="s">
        <v>5</v>
      </c>
      <c r="C5" s="38"/>
      <c r="E5" s="32" t="s">
        <v>10</v>
      </c>
      <c r="F5" s="33">
        <f>SUM(I11:I12)</f>
        <v>0</v>
      </c>
    </row>
    <row r="6" spans="2:12" x14ac:dyDescent="0.35">
      <c r="B6" s="30" t="s">
        <v>8</v>
      </c>
      <c r="C6" s="39"/>
      <c r="E6" s="34" t="s">
        <v>26</v>
      </c>
      <c r="F6" s="35">
        <f>I60</f>
        <v>1000</v>
      </c>
      <c r="H6" s="96" t="s">
        <v>40</v>
      </c>
      <c r="I6" s="97"/>
    </row>
    <row r="7" spans="2:12" ht="29" x14ac:dyDescent="0.35">
      <c r="B7" s="30" t="s">
        <v>6</v>
      </c>
      <c r="C7" s="40"/>
      <c r="E7" s="34" t="s">
        <v>27</v>
      </c>
      <c r="F7" s="35">
        <f>R60</f>
        <v>800</v>
      </c>
      <c r="H7" s="7" t="s">
        <v>37</v>
      </c>
      <c r="I7" s="8"/>
    </row>
    <row r="8" spans="2:12" ht="29.5" thickBot="1" x14ac:dyDescent="0.4">
      <c r="B8" s="31" t="s">
        <v>7</v>
      </c>
      <c r="C8" s="41"/>
      <c r="E8" s="34" t="s">
        <v>28</v>
      </c>
      <c r="F8" s="35">
        <f>SUM(I7:I8)</f>
        <v>40</v>
      </c>
      <c r="H8" s="49" t="s">
        <v>38</v>
      </c>
      <c r="I8" s="50">
        <f>S60</f>
        <v>40</v>
      </c>
      <c r="L8" s="61"/>
    </row>
    <row r="9" spans="2:12" ht="15" thickBot="1" x14ac:dyDescent="0.4">
      <c r="B9"/>
      <c r="C9" s="3"/>
      <c r="E9" s="34" t="s">
        <v>29</v>
      </c>
      <c r="F9" s="35">
        <f>SUM(I15:I16)</f>
        <v>42.342051474416735</v>
      </c>
    </row>
    <row r="10" spans="2:12" x14ac:dyDescent="0.35">
      <c r="B10" s="29" t="s">
        <v>12</v>
      </c>
      <c r="C10" s="38">
        <v>45261</v>
      </c>
      <c r="E10" s="4"/>
      <c r="F10" s="6"/>
      <c r="H10" s="96" t="s">
        <v>41</v>
      </c>
      <c r="I10" s="97"/>
    </row>
    <row r="11" spans="2:12" x14ac:dyDescent="0.35">
      <c r="B11" s="30" t="s">
        <v>13</v>
      </c>
      <c r="C11" s="39">
        <v>45291</v>
      </c>
      <c r="E11" s="55" t="s">
        <v>30</v>
      </c>
      <c r="F11" s="56">
        <f>F4+F6+F7+F8+F9-F5</f>
        <v>3448.8020514744167</v>
      </c>
      <c r="G11" s="61"/>
      <c r="H11" s="7" t="s">
        <v>42</v>
      </c>
      <c r="I11" s="8">
        <f>SUM(F60:G60)</f>
        <v>0</v>
      </c>
      <c r="J11" s="92" t="s">
        <v>73</v>
      </c>
    </row>
    <row r="12" spans="2:12" ht="15" thickBot="1" x14ac:dyDescent="0.4">
      <c r="B12" s="30" t="s">
        <v>14</v>
      </c>
      <c r="C12" s="40">
        <v>31</v>
      </c>
      <c r="E12" s="4"/>
      <c r="F12" s="6"/>
      <c r="H12" s="49" t="s">
        <v>43</v>
      </c>
      <c r="I12" s="50">
        <f>H60</f>
        <v>0</v>
      </c>
      <c r="J12" s="93"/>
    </row>
    <row r="13" spans="2:12" ht="15" thickBot="1" x14ac:dyDescent="0.4">
      <c r="B13" s="31" t="s">
        <v>15</v>
      </c>
      <c r="C13" s="41">
        <v>44951</v>
      </c>
      <c r="E13" s="53" t="s">
        <v>31</v>
      </c>
      <c r="F13" s="54">
        <v>5000</v>
      </c>
    </row>
    <row r="14" spans="2:12" x14ac:dyDescent="0.35">
      <c r="E14" s="51" t="s">
        <v>32</v>
      </c>
      <c r="F14" s="52">
        <f>F13-F11</f>
        <v>1551.1979485255833</v>
      </c>
      <c r="H14" s="96" t="s">
        <v>44</v>
      </c>
      <c r="I14" s="97"/>
    </row>
    <row r="15" spans="2:12" ht="29.5" thickBot="1" x14ac:dyDescent="0.4">
      <c r="B15"/>
      <c r="C15" s="3"/>
      <c r="E15" s="53" t="s">
        <v>33</v>
      </c>
      <c r="F15" s="54">
        <v>2000</v>
      </c>
      <c r="H15" s="7" t="s">
        <v>45</v>
      </c>
      <c r="I15" s="8">
        <f>K62</f>
        <v>18.444474153424657</v>
      </c>
    </row>
    <row r="16" spans="2:12" ht="29.5" thickBot="1" x14ac:dyDescent="0.4">
      <c r="B16" s="29" t="s">
        <v>3</v>
      </c>
      <c r="C16" s="38">
        <f>C10+C12</f>
        <v>45292</v>
      </c>
      <c r="E16" s="51" t="s">
        <v>34</v>
      </c>
      <c r="F16" s="52">
        <f>F15-F7-F9</f>
        <v>1157.6579485255834</v>
      </c>
      <c r="H16" s="49" t="s">
        <v>43</v>
      </c>
      <c r="I16" s="50">
        <f>T62</f>
        <v>23.897577320992074</v>
      </c>
    </row>
    <row r="17" spans="2:26" ht="15" thickBot="1" x14ac:dyDescent="0.4">
      <c r="B17" s="30" t="s">
        <v>9</v>
      </c>
      <c r="C17" s="39">
        <f>C16+C18-1</f>
        <v>45322</v>
      </c>
      <c r="E17" s="42" t="s">
        <v>0</v>
      </c>
      <c r="F17" s="39">
        <f>C11</f>
        <v>45291</v>
      </c>
      <c r="M17" s="61"/>
    </row>
    <row r="18" spans="2:26" ht="15" thickBot="1" x14ac:dyDescent="0.4">
      <c r="B18" s="30" t="s">
        <v>4</v>
      </c>
      <c r="C18" s="40">
        <v>31</v>
      </c>
      <c r="E18" s="43" t="s">
        <v>2</v>
      </c>
      <c r="F18" s="44">
        <f>C18</f>
        <v>31</v>
      </c>
      <c r="H18" s="96" t="s">
        <v>51</v>
      </c>
      <c r="I18" s="97"/>
      <c r="M18" s="61"/>
    </row>
    <row r="19" spans="2:26" ht="15" thickBot="1" x14ac:dyDescent="0.4">
      <c r="B19" s="31" t="s">
        <v>16</v>
      </c>
      <c r="C19" s="41">
        <f>C17+C3</f>
        <v>45347</v>
      </c>
      <c r="H19" s="7" t="s">
        <v>42</v>
      </c>
      <c r="I19" s="8">
        <v>1010</v>
      </c>
    </row>
    <row r="20" spans="2:26" ht="15" thickBot="1" x14ac:dyDescent="0.4">
      <c r="H20" s="49" t="s">
        <v>43</v>
      </c>
      <c r="I20" s="50">
        <v>556.46</v>
      </c>
    </row>
    <row r="21" spans="2:26" x14ac:dyDescent="0.35">
      <c r="B21" s="96" t="s">
        <v>17</v>
      </c>
      <c r="C21" s="97"/>
      <c r="E21" s="96" t="s">
        <v>22</v>
      </c>
      <c r="F21" s="97"/>
      <c r="H21"/>
      <c r="I21" s="62">
        <f>SUM(I19:I20)</f>
        <v>1566.46</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53.26</v>
      </c>
      <c r="L24" s="1"/>
    </row>
    <row r="25" spans="2:26" x14ac:dyDescent="0.35">
      <c r="C25" s="9"/>
      <c r="E25" s="1"/>
      <c r="F25" s="10"/>
      <c r="N25" s="61"/>
    </row>
    <row r="26" spans="2:26" ht="15" thickBot="1" x14ac:dyDescent="0.4">
      <c r="C26" s="9"/>
      <c r="E26" s="1"/>
      <c r="F26" s="10"/>
    </row>
    <row r="27" spans="2:26" ht="15" customHeight="1" thickBot="1" x14ac:dyDescent="0.4">
      <c r="B27" s="70"/>
      <c r="C27" s="71"/>
      <c r="D27" s="98" t="s">
        <v>10</v>
      </c>
      <c r="E27" s="99"/>
      <c r="F27" s="99"/>
      <c r="G27" s="99"/>
      <c r="H27" s="100"/>
      <c r="I27" s="104" t="s">
        <v>47</v>
      </c>
      <c r="J27" s="105"/>
      <c r="K27" s="105"/>
      <c r="L27" s="105"/>
      <c r="M27" s="105"/>
      <c r="N27" s="105"/>
      <c r="O27" s="105"/>
      <c r="P27" s="105"/>
      <c r="Q27" s="106"/>
      <c r="R27" s="101" t="s">
        <v>48</v>
      </c>
      <c r="S27" s="102"/>
      <c r="T27" s="102"/>
      <c r="U27" s="102"/>
      <c r="V27" s="102"/>
      <c r="W27" s="103"/>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45291</v>
      </c>
      <c r="C29" s="47">
        <f>C16</f>
        <v>45292</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956.74</v>
      </c>
      <c r="L29" s="12">
        <f>M29</f>
        <v>0.58950911232876713</v>
      </c>
      <c r="M29" s="12">
        <f>K29*$F$22</f>
        <v>0.58950911232876713</v>
      </c>
      <c r="N29" s="12">
        <f>I29+J29-G29</f>
        <v>0</v>
      </c>
      <c r="O29" s="12">
        <f>P29</f>
        <v>0</v>
      </c>
      <c r="P29" s="12">
        <f>N29*$F$22</f>
        <v>0</v>
      </c>
      <c r="Q29" s="12">
        <f>K29+N29</f>
        <v>956.74</v>
      </c>
      <c r="R29" s="15"/>
      <c r="S29" s="15"/>
      <c r="T29" s="15">
        <f>$I$20+R29+S29-H29</f>
        <v>556.46</v>
      </c>
      <c r="U29" s="15">
        <f>V29</f>
        <v>0.45721192876712335</v>
      </c>
      <c r="V29" s="16">
        <f>T29*$F$23</f>
        <v>0.45721192876712335</v>
      </c>
      <c r="W29" s="16">
        <f>IF(T29=0,0,$I$20+R29+S29-H29)</f>
        <v>556.46</v>
      </c>
    </row>
    <row r="30" spans="2:26" x14ac:dyDescent="0.35">
      <c r="B30" s="47">
        <f t="shared" ref="B30:B56" si="0">C30-1</f>
        <v>45292</v>
      </c>
      <c r="C30" s="48">
        <f t="shared" ref="C30:C59" si="1">C29+1</f>
        <v>45293</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957.33</v>
      </c>
      <c r="L30" s="13">
        <f>M30-M29</f>
        <v>0.58987264931506844</v>
      </c>
      <c r="M30" s="13">
        <f>IF(K30=0,0,M29+K30*$F$22)</f>
        <v>1.1793817616438356</v>
      </c>
      <c r="N30" s="13">
        <f t="shared" ref="N30:N56" si="3">ROUND(N29+I30+J30+O29-G30,2)</f>
        <v>0</v>
      </c>
      <c r="O30" s="13">
        <f>P30-P29</f>
        <v>0</v>
      </c>
      <c r="P30" s="13">
        <f>ROUND(P29+N30*$F$22,2)</f>
        <v>0</v>
      </c>
      <c r="Q30" s="13">
        <f>ROUND(N30+K30-M29-P29,2)</f>
        <v>956.74</v>
      </c>
      <c r="R30" s="17"/>
      <c r="S30" s="17"/>
      <c r="T30" s="17">
        <f>T29+U29+R30+S30-H30</f>
        <v>556.91721192876719</v>
      </c>
      <c r="U30" s="17">
        <f t="shared" ref="U30:U56" si="4">V30-V29</f>
        <v>0.45758759412996519</v>
      </c>
      <c r="V30" s="18">
        <f>V29+T30*$F$23</f>
        <v>0.91479952289708855</v>
      </c>
      <c r="W30" s="16">
        <f>IF(T30=0,0,W29+R30+S30-H30)</f>
        <v>556.46</v>
      </c>
    </row>
    <row r="31" spans="2:26" x14ac:dyDescent="0.35">
      <c r="B31" s="47">
        <f t="shared" si="0"/>
        <v>45293</v>
      </c>
      <c r="C31" s="48">
        <f t="shared" si="1"/>
        <v>45294</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957.92</v>
      </c>
      <c r="L31" s="13">
        <f t="shared" ref="L31:L56" si="7">M31-M30</f>
        <v>0.59023618630136965</v>
      </c>
      <c r="M31" s="13">
        <f t="shared" ref="M31:M56" si="8">IF(K31=0,0,M30+K31*$F$22)</f>
        <v>1.7696179479452052</v>
      </c>
      <c r="N31" s="13">
        <f t="shared" si="3"/>
        <v>0</v>
      </c>
      <c r="O31" s="13">
        <f t="shared" ref="O31:O56" si="9">P31-P30</f>
        <v>0</v>
      </c>
      <c r="P31" s="13">
        <f t="shared" ref="P31:P56" si="10">ROUND(P30+N31*$F$22,2)</f>
        <v>0</v>
      </c>
      <c r="Q31" s="13">
        <f t="shared" ref="Q31:Q56" si="11">ROUND(N31+K31-M30-P30,2)</f>
        <v>956.74</v>
      </c>
      <c r="R31" s="17"/>
      <c r="S31" s="17"/>
      <c r="T31" s="17">
        <f>T30+U30+R31+S31-H31</f>
        <v>557.37479952289721</v>
      </c>
      <c r="U31" s="17">
        <f t="shared" si="4"/>
        <v>0.45796356815593653</v>
      </c>
      <c r="V31" s="18">
        <f t="shared" ref="V31:V56" si="12">V30+T31*$F$23</f>
        <v>1.3727630910530251</v>
      </c>
      <c r="W31" s="16">
        <f t="shared" ref="W31:W56" si="13">IF(T31=0,0,W30+R31+S31-H31)</f>
        <v>556.46</v>
      </c>
      <c r="Y31" s="1"/>
      <c r="Z31" s="1"/>
    </row>
    <row r="32" spans="2:26" x14ac:dyDescent="0.35">
      <c r="B32" s="47">
        <f t="shared" si="0"/>
        <v>45294</v>
      </c>
      <c r="C32" s="48">
        <f t="shared" si="1"/>
        <v>45295</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958.51</v>
      </c>
      <c r="L32" s="13">
        <f t="shared" si="7"/>
        <v>0.59059972328767119</v>
      </c>
      <c r="M32" s="13">
        <f t="shared" si="8"/>
        <v>2.3602176712328764</v>
      </c>
      <c r="N32" s="13">
        <f t="shared" si="3"/>
        <v>0</v>
      </c>
      <c r="O32" s="13">
        <f t="shared" si="9"/>
        <v>0</v>
      </c>
      <c r="P32" s="13">
        <f t="shared" si="10"/>
        <v>0</v>
      </c>
      <c r="Q32" s="13">
        <f t="shared" si="11"/>
        <v>956.74</v>
      </c>
      <c r="R32" s="17"/>
      <c r="S32" s="17"/>
      <c r="T32" s="17">
        <f>T31+U31+R32+S32-H32</f>
        <v>557.83276309105315</v>
      </c>
      <c r="U32" s="17">
        <f t="shared" si="4"/>
        <v>0.45833985109864894</v>
      </c>
      <c r="V32" s="18">
        <f t="shared" si="12"/>
        <v>1.831102942151674</v>
      </c>
      <c r="W32" s="16">
        <f t="shared" si="13"/>
        <v>556.46</v>
      </c>
    </row>
    <row r="33" spans="2:23" x14ac:dyDescent="0.35">
      <c r="B33" s="47">
        <f t="shared" si="0"/>
        <v>45295</v>
      </c>
      <c r="C33" s="48">
        <f t="shared" si="1"/>
        <v>45296</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959.1</v>
      </c>
      <c r="L33" s="13">
        <f t="shared" si="7"/>
        <v>0.5909632602739725</v>
      </c>
      <c r="M33" s="13">
        <f t="shared" si="8"/>
        <v>2.9511809315068489</v>
      </c>
      <c r="N33" s="13">
        <f t="shared" si="3"/>
        <v>0</v>
      </c>
      <c r="O33" s="13">
        <f t="shared" si="9"/>
        <v>0</v>
      </c>
      <c r="P33" s="13">
        <f t="shared" si="10"/>
        <v>0</v>
      </c>
      <c r="Q33" s="13">
        <f t="shared" si="11"/>
        <v>956.74</v>
      </c>
      <c r="R33" s="17"/>
      <c r="S33" s="17"/>
      <c r="T33" s="17">
        <f t="shared" ref="T33:T56" si="14">T32+U32+R33+S33-H33</f>
        <v>558.29110294215184</v>
      </c>
      <c r="U33" s="17">
        <f t="shared" si="4"/>
        <v>0.45871644321192173</v>
      </c>
      <c r="V33" s="18">
        <f t="shared" si="12"/>
        <v>2.2898193853635957</v>
      </c>
      <c r="W33" s="16">
        <f t="shared" si="13"/>
        <v>556.46</v>
      </c>
    </row>
    <row r="34" spans="2:23" x14ac:dyDescent="0.35">
      <c r="B34" s="47">
        <f t="shared" si="0"/>
        <v>45296</v>
      </c>
      <c r="C34" s="48">
        <f t="shared" si="1"/>
        <v>45297</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959.69</v>
      </c>
      <c r="L34" s="13">
        <f t="shared" si="7"/>
        <v>0.59132679726027382</v>
      </c>
      <c r="M34" s="13">
        <f t="shared" si="8"/>
        <v>3.5425077287671227</v>
      </c>
      <c r="N34" s="13">
        <f t="shared" si="3"/>
        <v>0</v>
      </c>
      <c r="O34" s="13">
        <f t="shared" si="9"/>
        <v>0</v>
      </c>
      <c r="P34" s="13">
        <f t="shared" si="10"/>
        <v>0</v>
      </c>
      <c r="Q34" s="13">
        <f t="shared" si="11"/>
        <v>956.74</v>
      </c>
      <c r="R34" s="17"/>
      <c r="S34" s="17"/>
      <c r="T34" s="17">
        <f t="shared" si="14"/>
        <v>558.74981938536371</v>
      </c>
      <c r="U34" s="17">
        <f t="shared" si="4"/>
        <v>0.45909334474978225</v>
      </c>
      <c r="V34" s="18">
        <f t="shared" si="12"/>
        <v>2.748912730113378</v>
      </c>
      <c r="W34" s="16">
        <f t="shared" si="13"/>
        <v>556.46</v>
      </c>
    </row>
    <row r="35" spans="2:23" x14ac:dyDescent="0.35">
      <c r="B35" s="47">
        <f t="shared" si="0"/>
        <v>45297</v>
      </c>
      <c r="C35" s="48">
        <f t="shared" si="1"/>
        <v>45298</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960.28</v>
      </c>
      <c r="L35" s="13">
        <f t="shared" si="7"/>
        <v>0.59169033424657513</v>
      </c>
      <c r="M35" s="13">
        <f t="shared" si="8"/>
        <v>4.1341980630136979</v>
      </c>
      <c r="N35" s="13">
        <f t="shared" si="3"/>
        <v>0</v>
      </c>
      <c r="O35" s="13">
        <f t="shared" si="9"/>
        <v>0</v>
      </c>
      <c r="P35" s="13">
        <f t="shared" si="10"/>
        <v>0</v>
      </c>
      <c r="Q35" s="13">
        <f t="shared" si="11"/>
        <v>956.74</v>
      </c>
      <c r="R35" s="17"/>
      <c r="S35" s="17"/>
      <c r="T35" s="17">
        <f>T34+U34+R35+S35-H35</f>
        <v>559.20891273011352</v>
      </c>
      <c r="U35" s="17">
        <f t="shared" si="4"/>
        <v>0.45947055596646846</v>
      </c>
      <c r="V35" s="18">
        <f t="shared" si="12"/>
        <v>3.2083832860798465</v>
      </c>
      <c r="W35" s="16">
        <f t="shared" si="13"/>
        <v>556.46</v>
      </c>
    </row>
    <row r="36" spans="2:23" x14ac:dyDescent="0.35">
      <c r="B36" s="47">
        <f t="shared" si="0"/>
        <v>45298</v>
      </c>
      <c r="C36" s="48">
        <f t="shared" si="1"/>
        <v>45299</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960.87</v>
      </c>
      <c r="L36" s="13">
        <f t="shared" si="7"/>
        <v>0.59205387123287689</v>
      </c>
      <c r="M36" s="13">
        <f t="shared" si="8"/>
        <v>4.7262519342465747</v>
      </c>
      <c r="N36" s="13">
        <f t="shared" si="3"/>
        <v>0</v>
      </c>
      <c r="O36" s="13">
        <f t="shared" si="9"/>
        <v>0</v>
      </c>
      <c r="P36" s="13">
        <f t="shared" si="10"/>
        <v>0</v>
      </c>
      <c r="Q36" s="13">
        <f t="shared" si="11"/>
        <v>956.74</v>
      </c>
      <c r="R36" s="17"/>
      <c r="S36" s="17"/>
      <c r="T36" s="17">
        <f t="shared" si="14"/>
        <v>559.66838328608003</v>
      </c>
      <c r="U36" s="17">
        <f t="shared" si="4"/>
        <v>0.45984807711642572</v>
      </c>
      <c r="V36" s="18">
        <f t="shared" si="12"/>
        <v>3.6682313631962722</v>
      </c>
      <c r="W36" s="16">
        <f t="shared" si="13"/>
        <v>556.46</v>
      </c>
    </row>
    <row r="37" spans="2:23" x14ac:dyDescent="0.35">
      <c r="B37" s="47">
        <f t="shared" si="0"/>
        <v>45299</v>
      </c>
      <c r="C37" s="48">
        <f t="shared" si="1"/>
        <v>45300</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961.46</v>
      </c>
      <c r="L37" s="13">
        <f t="shared" si="7"/>
        <v>0.59241740821917777</v>
      </c>
      <c r="M37" s="13">
        <f t="shared" si="8"/>
        <v>5.3186693424657525</v>
      </c>
      <c r="N37" s="13">
        <f t="shared" si="3"/>
        <v>0</v>
      </c>
      <c r="O37" s="13">
        <f t="shared" si="9"/>
        <v>0</v>
      </c>
      <c r="P37" s="13">
        <f t="shared" si="10"/>
        <v>0</v>
      </c>
      <c r="Q37" s="13">
        <f t="shared" si="11"/>
        <v>956.73</v>
      </c>
      <c r="R37" s="17"/>
      <c r="S37" s="17"/>
      <c r="T37" s="17">
        <f t="shared" si="14"/>
        <v>560.12823136319651</v>
      </c>
      <c r="U37" s="17">
        <f t="shared" si="4"/>
        <v>0.460225908454309</v>
      </c>
      <c r="V37" s="18">
        <f t="shared" si="12"/>
        <v>4.1284572716505812</v>
      </c>
      <c r="W37" s="16">
        <f t="shared" si="13"/>
        <v>556.46</v>
      </c>
    </row>
    <row r="38" spans="2:23" s="129" customFormat="1" x14ac:dyDescent="0.35">
      <c r="B38" s="123">
        <f t="shared" si="0"/>
        <v>45300</v>
      </c>
      <c r="C38" s="124">
        <f t="shared" si="1"/>
        <v>45301</v>
      </c>
      <c r="D38" s="125"/>
      <c r="E38" s="126">
        <f>IF(SUM(E$29:E37)=$I$24,0,IF((D38&lt;=$I$24-SUM(E$29:E37)),D38,$I$24-SUM(E$29:E37)))</f>
        <v>0</v>
      </c>
      <c r="F38" s="126">
        <f>IF($I$19&gt;0,IF(SUM(F$29:F37)&lt;$I$19,IF((D38-E38)&gt;0,IF($I$20=0,IF($I$19-SUM(F$29:F37)&gt;D38,D38,$I$19-SUM(F$29:F37)),E38),D38),0)+IF($I$20&gt;0,IF(D38-$I$20-SUM($H$29:H37)-IF($I$19=0,0,E38)&gt;0,IF(D38-$I$20-SUM($H$29:H37)-IF($I$19=0,0,E38)&gt;$I$19,$I$19-SUM(F$29:F37)-E38,D38-$I$20-SUM($H$29:H37)-IF($I$19=0,0,E38)),0),0),0)</f>
        <v>0</v>
      </c>
      <c r="G38" s="126">
        <f t="shared" si="2"/>
        <v>0</v>
      </c>
      <c r="H38" s="126">
        <f t="shared" si="5"/>
        <v>0</v>
      </c>
      <c r="I38" s="126">
        <v>500</v>
      </c>
      <c r="J38" s="126"/>
      <c r="K38" s="126">
        <f t="shared" si="6"/>
        <v>962.05</v>
      </c>
      <c r="L38" s="126">
        <f t="shared" si="7"/>
        <v>0.59278094520547953</v>
      </c>
      <c r="M38" s="126">
        <f t="shared" si="8"/>
        <v>5.911450287671232</v>
      </c>
      <c r="N38" s="126">
        <f t="shared" si="3"/>
        <v>500</v>
      </c>
      <c r="O38" s="126">
        <f t="shared" si="9"/>
        <v>0.31</v>
      </c>
      <c r="P38" s="126">
        <f t="shared" si="10"/>
        <v>0.31</v>
      </c>
      <c r="Q38" s="126">
        <f t="shared" si="11"/>
        <v>1456.73</v>
      </c>
      <c r="R38" s="126"/>
      <c r="S38" s="126"/>
      <c r="T38" s="126">
        <f t="shared" si="14"/>
        <v>560.58845727165078</v>
      </c>
      <c r="U38" s="126">
        <f t="shared" si="4"/>
        <v>0.46060405023498063</v>
      </c>
      <c r="V38" s="127">
        <f t="shared" si="12"/>
        <v>4.5890613218855618</v>
      </c>
      <c r="W38" s="128">
        <f t="shared" si="13"/>
        <v>556.46</v>
      </c>
    </row>
    <row r="39" spans="2:23" x14ac:dyDescent="0.35">
      <c r="B39" s="47">
        <f t="shared" si="0"/>
        <v>45301</v>
      </c>
      <c r="C39" s="48">
        <f t="shared" si="1"/>
        <v>45302</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962.64</v>
      </c>
      <c r="L39" s="13">
        <f t="shared" si="7"/>
        <v>0.59314448219178129</v>
      </c>
      <c r="M39" s="13">
        <f t="shared" si="8"/>
        <v>6.5045947698630133</v>
      </c>
      <c r="N39" s="13">
        <f t="shared" si="3"/>
        <v>500.31</v>
      </c>
      <c r="O39" s="13">
        <f>P39-P38</f>
        <v>0.31</v>
      </c>
      <c r="P39" s="13">
        <f t="shared" si="10"/>
        <v>0.62</v>
      </c>
      <c r="Q39" s="13">
        <f t="shared" si="11"/>
        <v>1456.73</v>
      </c>
      <c r="R39" s="17"/>
      <c r="S39" s="17"/>
      <c r="T39" s="17">
        <f t="shared" si="14"/>
        <v>561.0490613218858</v>
      </c>
      <c r="U39" s="17">
        <f t="shared" si="4"/>
        <v>0.4609825027135166</v>
      </c>
      <c r="V39" s="18">
        <f t="shared" si="12"/>
        <v>5.0500438245990784</v>
      </c>
      <c r="W39" s="16">
        <f t="shared" si="13"/>
        <v>556.46</v>
      </c>
    </row>
    <row r="40" spans="2:23" s="129" customFormat="1" x14ac:dyDescent="0.35">
      <c r="B40" s="123">
        <f t="shared" si="0"/>
        <v>45302</v>
      </c>
      <c r="C40" s="124">
        <f t="shared" si="1"/>
        <v>45303</v>
      </c>
      <c r="D40" s="125"/>
      <c r="E40" s="126">
        <f>IF(SUM(E$29:E39)=$I$24,0,IF((D40&lt;=$I$24-SUM(E$29:E39)),D40,$I$24-SUM(E$29:E39)))</f>
        <v>0</v>
      </c>
      <c r="F40" s="126">
        <f>IF($I$19&gt;0,IF(SUM(F$29:F39)&lt;$I$19,IF((D40-E40)&gt;0,IF($I$20=0,IF($I$19-SUM(F$29:F39)&gt;D40,D40,$I$19-SUM(F$29:F39)),E40),D40),0)+IF($I$20&gt;0,IF(D40-$I$20-SUM($H$29:H39)-IF($I$19=0,0,E40)&gt;0,IF(D40-$I$20-SUM($H$29:H39)-IF($I$19=0,0,E40)&gt;$I$19,$I$19-SUM(F$29:F39)-E40,D40-$I$20-SUM($H$29:H39)-IF($I$19=0,0,E40)),0),0),0)</f>
        <v>0</v>
      </c>
      <c r="G40" s="126">
        <f t="shared" si="2"/>
        <v>0</v>
      </c>
      <c r="H40" s="126">
        <f t="shared" si="5"/>
        <v>0</v>
      </c>
      <c r="I40" s="126">
        <v>500</v>
      </c>
      <c r="J40" s="126">
        <v>10</v>
      </c>
      <c r="K40" s="126">
        <f>IF(SUM($F$29:$F$53)&gt;=$I$19,0,ROUND(K39+L39-F40,2))</f>
        <v>963.23</v>
      </c>
      <c r="L40" s="126">
        <f t="shared" si="7"/>
        <v>0.59350801917808216</v>
      </c>
      <c r="M40" s="126">
        <f t="shared" si="8"/>
        <v>7.0981027890410955</v>
      </c>
      <c r="N40" s="126">
        <f t="shared" si="3"/>
        <v>1010.62</v>
      </c>
      <c r="O40" s="126">
        <f t="shared" si="9"/>
        <v>0.62</v>
      </c>
      <c r="P40" s="126">
        <f t="shared" si="10"/>
        <v>1.24</v>
      </c>
      <c r="Q40" s="126">
        <f t="shared" si="11"/>
        <v>1966.73</v>
      </c>
      <c r="R40" s="126">
        <v>200</v>
      </c>
      <c r="S40" s="126">
        <v>10</v>
      </c>
      <c r="T40" s="126">
        <f t="shared" si="14"/>
        <v>771.51004382459928</v>
      </c>
      <c r="U40" s="126">
        <f t="shared" si="4"/>
        <v>0.63390647162465008</v>
      </c>
      <c r="V40" s="127">
        <f t="shared" si="12"/>
        <v>5.6839502962237285</v>
      </c>
      <c r="W40" s="128">
        <f t="shared" si="13"/>
        <v>766.46</v>
      </c>
    </row>
    <row r="41" spans="2:23" x14ac:dyDescent="0.35">
      <c r="B41" s="47">
        <f t="shared" si="0"/>
        <v>45303</v>
      </c>
      <c r="C41" s="48">
        <f t="shared" si="1"/>
        <v>45304</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963.82</v>
      </c>
      <c r="L41" s="13">
        <f t="shared" si="7"/>
        <v>0.59387155616438392</v>
      </c>
      <c r="M41" s="13">
        <f t="shared" si="8"/>
        <v>7.6919743452054794</v>
      </c>
      <c r="N41" s="13">
        <f t="shared" si="3"/>
        <v>1011.24</v>
      </c>
      <c r="O41" s="13">
        <f t="shared" si="9"/>
        <v>0.62000000000000011</v>
      </c>
      <c r="P41" s="13">
        <f t="shared" si="10"/>
        <v>1.86</v>
      </c>
      <c r="Q41" s="13">
        <f t="shared" si="11"/>
        <v>1966.72</v>
      </c>
      <c r="R41" s="17"/>
      <c r="S41" s="17"/>
      <c r="T41" s="17">
        <f t="shared" si="14"/>
        <v>772.14395029622392</v>
      </c>
      <c r="U41" s="17">
        <f t="shared" si="4"/>
        <v>0.63442731696941834</v>
      </c>
      <c r="V41" s="18">
        <f t="shared" si="12"/>
        <v>6.3183776131931468</v>
      </c>
      <c r="W41" s="16">
        <f t="shared" si="13"/>
        <v>766.46</v>
      </c>
    </row>
    <row r="42" spans="2:23" x14ac:dyDescent="0.35">
      <c r="B42" s="47">
        <f>C42-2</f>
        <v>45303</v>
      </c>
      <c r="C42" s="48">
        <f t="shared" si="1"/>
        <v>45305</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964.41</v>
      </c>
      <c r="L42" s="13">
        <f t="shared" si="7"/>
        <v>0.59423509315068568</v>
      </c>
      <c r="M42" s="13">
        <f t="shared" si="8"/>
        <v>8.2862094383561651</v>
      </c>
      <c r="N42" s="13">
        <f t="shared" si="3"/>
        <v>1011.86</v>
      </c>
      <c r="O42" s="13">
        <f t="shared" si="9"/>
        <v>0.61999999999999988</v>
      </c>
      <c r="P42" s="13">
        <f t="shared" si="10"/>
        <v>2.48</v>
      </c>
      <c r="Q42" s="13">
        <f t="shared" si="11"/>
        <v>1966.72</v>
      </c>
      <c r="R42" s="17"/>
      <c r="S42" s="17"/>
      <c r="T42" s="17">
        <f>T41+U41+R42+S42-H42</f>
        <v>772.77837761319336</v>
      </c>
      <c r="U42" s="17">
        <f>V42-V41</f>
        <v>0.63494859026355233</v>
      </c>
      <c r="V42" s="18">
        <f t="shared" si="12"/>
        <v>6.9533262034566992</v>
      </c>
      <c r="W42" s="16">
        <f t="shared" si="13"/>
        <v>766.46</v>
      </c>
    </row>
    <row r="43" spans="2:23" s="129" customFormat="1" x14ac:dyDescent="0.35">
      <c r="B43" s="123">
        <f t="shared" si="0"/>
        <v>45305</v>
      </c>
      <c r="C43" s="124">
        <f t="shared" si="1"/>
        <v>45306</v>
      </c>
      <c r="D43" s="125"/>
      <c r="E43" s="126">
        <f>IF(SUM(E$29:E42)=$I$24,0,IF((D43&lt;=$I$24-SUM(E$29:E42)),D43,$I$24-SUM(E$29:E42)))</f>
        <v>0</v>
      </c>
      <c r="F43" s="126">
        <f>IF($I$19&gt;0,IF(SUM(F$29:F42)&lt;$I$19,IF((D43-E43)&gt;0,IF($I$20=0,IF($I$19-SUM(F$29:F42)&gt;D43,D43,$I$19-SUM(F$29:F42)),E43),D43),0)+IF($I$20&gt;0,IF(D43-$I$20-SUM($H$29:H42)-IF($I$19=0,0,E43)&gt;0,IF(D43-$I$20-SUM($H$29:H42)-IF($I$19=0,0,E43)&gt;$I$19,$I$19-SUM(F$29:F42)-E43,D43-$I$20-SUM($H$29:H42)-IF($I$19=0,0,E43)),0),0),0)</f>
        <v>0</v>
      </c>
      <c r="G43" s="126">
        <f t="shared" si="2"/>
        <v>0</v>
      </c>
      <c r="H43" s="126">
        <f t="shared" si="5"/>
        <v>0</v>
      </c>
      <c r="I43" s="126"/>
      <c r="J43" s="126"/>
      <c r="K43" s="126">
        <f t="shared" si="6"/>
        <v>965</v>
      </c>
      <c r="L43" s="126">
        <f t="shared" si="7"/>
        <v>0.59459863013698566</v>
      </c>
      <c r="M43" s="126">
        <f t="shared" si="8"/>
        <v>8.8808080684931507</v>
      </c>
      <c r="N43" s="126">
        <f t="shared" si="3"/>
        <v>1012.48</v>
      </c>
      <c r="O43" s="126">
        <f t="shared" si="9"/>
        <v>0.62000000000000011</v>
      </c>
      <c r="P43" s="126">
        <f t="shared" si="10"/>
        <v>3.1</v>
      </c>
      <c r="Q43" s="126">
        <f t="shared" si="11"/>
        <v>1966.71</v>
      </c>
      <c r="R43" s="126">
        <v>200</v>
      </c>
      <c r="S43" s="126">
        <v>10</v>
      </c>
      <c r="T43" s="126">
        <f>T42+U42+R43+S43-H43</f>
        <v>983.4133262034569</v>
      </c>
      <c r="U43" s="126">
        <f t="shared" si="4"/>
        <v>0.80801549733812816</v>
      </c>
      <c r="V43" s="127">
        <f t="shared" si="12"/>
        <v>7.7613417007948273</v>
      </c>
      <c r="W43" s="128">
        <f t="shared" si="13"/>
        <v>976.46</v>
      </c>
    </row>
    <row r="44" spans="2:23" x14ac:dyDescent="0.35">
      <c r="B44" s="47">
        <f t="shared" si="0"/>
        <v>45306</v>
      </c>
      <c r="C44" s="48">
        <f t="shared" si="1"/>
        <v>45307</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965.59</v>
      </c>
      <c r="L44" s="13">
        <f t="shared" si="7"/>
        <v>0.59496216712328831</v>
      </c>
      <c r="M44" s="13">
        <f t="shared" si="8"/>
        <v>9.4757702356164391</v>
      </c>
      <c r="N44" s="13">
        <f t="shared" si="3"/>
        <v>1013.1</v>
      </c>
      <c r="O44" s="13">
        <f t="shared" si="9"/>
        <v>0.62000000000000011</v>
      </c>
      <c r="P44" s="13">
        <f t="shared" si="10"/>
        <v>3.72</v>
      </c>
      <c r="Q44" s="13">
        <f t="shared" si="11"/>
        <v>1966.71</v>
      </c>
      <c r="R44" s="17"/>
      <c r="S44" s="17"/>
      <c r="T44" s="17">
        <f t="shared" si="14"/>
        <v>984.22134170079505</v>
      </c>
      <c r="U44" s="17">
        <f t="shared" si="4"/>
        <v>0.80867939829059932</v>
      </c>
      <c r="V44" s="18">
        <f t="shared" si="12"/>
        <v>8.5700210990854266</v>
      </c>
      <c r="W44" s="16">
        <f t="shared" si="13"/>
        <v>976.46</v>
      </c>
    </row>
    <row r="45" spans="2:23" x14ac:dyDescent="0.35">
      <c r="B45" s="47">
        <f t="shared" si="0"/>
        <v>45307</v>
      </c>
      <c r="C45" s="48">
        <f t="shared" si="1"/>
        <v>45308</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966.18</v>
      </c>
      <c r="L45" s="13">
        <f t="shared" si="7"/>
        <v>0.59532570410958918</v>
      </c>
      <c r="M45" s="13">
        <f t="shared" si="8"/>
        <v>10.071095939726028</v>
      </c>
      <c r="N45" s="13">
        <f t="shared" si="3"/>
        <v>1013.72</v>
      </c>
      <c r="O45" s="13">
        <f t="shared" si="9"/>
        <v>0.61999999999999966</v>
      </c>
      <c r="P45" s="13">
        <f t="shared" si="10"/>
        <v>4.34</v>
      </c>
      <c r="Q45" s="13">
        <f t="shared" si="11"/>
        <v>1966.7</v>
      </c>
      <c r="R45" s="17"/>
      <c r="S45" s="17"/>
      <c r="T45" s="17">
        <f t="shared" si="14"/>
        <v>985.03002109908562</v>
      </c>
      <c r="U45" s="17">
        <f t="shared" si="4"/>
        <v>0.80934384473319376</v>
      </c>
      <c r="V45" s="18">
        <f t="shared" si="12"/>
        <v>9.3793649438186204</v>
      </c>
      <c r="W45" s="16">
        <f>IF(T45=0,0,W44+R45+S45-H45)</f>
        <v>976.46</v>
      </c>
    </row>
    <row r="46" spans="2:23" x14ac:dyDescent="0.35">
      <c r="B46" s="47">
        <f t="shared" si="0"/>
        <v>45308</v>
      </c>
      <c r="C46" s="48">
        <f t="shared" si="1"/>
        <v>45309</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966.78</v>
      </c>
      <c r="L46" s="13">
        <f t="shared" si="7"/>
        <v>0.59569540273972521</v>
      </c>
      <c r="M46" s="13">
        <f t="shared" si="8"/>
        <v>10.666791342465753</v>
      </c>
      <c r="N46" s="13">
        <f t="shared" si="3"/>
        <v>1014.34</v>
      </c>
      <c r="O46" s="13">
        <f t="shared" si="9"/>
        <v>0.62999999999999989</v>
      </c>
      <c r="P46" s="13">
        <f t="shared" si="10"/>
        <v>4.97</v>
      </c>
      <c r="Q46" s="13">
        <f t="shared" si="11"/>
        <v>1966.71</v>
      </c>
      <c r="R46" s="17"/>
      <c r="S46" s="17"/>
      <c r="T46" s="17">
        <f t="shared" si="14"/>
        <v>985.83936494381885</v>
      </c>
      <c r="U46" s="17">
        <f t="shared" si="4"/>
        <v>0.81000883711411298</v>
      </c>
      <c r="V46" s="18">
        <f t="shared" si="12"/>
        <v>10.189373780932733</v>
      </c>
      <c r="W46" s="16">
        <f>IF(T46=0,0,W45+R46+S46-H46)</f>
        <v>976.46</v>
      </c>
    </row>
    <row r="47" spans="2:23" x14ac:dyDescent="0.35">
      <c r="B47" s="47">
        <f t="shared" si="0"/>
        <v>45309</v>
      </c>
      <c r="C47" s="48">
        <f t="shared" si="1"/>
        <v>45310</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967.38</v>
      </c>
      <c r="L47" s="13">
        <f t="shared" si="7"/>
        <v>0.59606510136986302</v>
      </c>
      <c r="M47" s="13">
        <f t="shared" si="8"/>
        <v>11.262856443835616</v>
      </c>
      <c r="N47" s="13">
        <f t="shared" si="3"/>
        <v>1014.97</v>
      </c>
      <c r="O47" s="13">
        <f t="shared" si="9"/>
        <v>0.62999999999999989</v>
      </c>
      <c r="P47" s="13">
        <f t="shared" si="10"/>
        <v>5.6</v>
      </c>
      <c r="Q47" s="13">
        <f t="shared" si="11"/>
        <v>1966.71</v>
      </c>
      <c r="R47" s="17"/>
      <c r="S47" s="17"/>
      <c r="T47" s="17">
        <f t="shared" si="14"/>
        <v>986.64937378093293</v>
      </c>
      <c r="U47" s="17">
        <f t="shared" si="4"/>
        <v>0.81067437588192348</v>
      </c>
      <c r="V47" s="18">
        <f t="shared" si="12"/>
        <v>11.000048156814657</v>
      </c>
      <c r="W47" s="16">
        <f t="shared" si="13"/>
        <v>976.46</v>
      </c>
    </row>
    <row r="48" spans="2:23" s="129" customFormat="1" x14ac:dyDescent="0.35">
      <c r="B48" s="123">
        <f t="shared" si="0"/>
        <v>45310</v>
      </c>
      <c r="C48" s="124">
        <f t="shared" si="1"/>
        <v>45311</v>
      </c>
      <c r="D48" s="125"/>
      <c r="E48" s="126">
        <f>IF(SUM(E$29:E47)=$I$24,0,IF((D48&lt;=$I$24-SUM(E$29:E47)),D48,$I$24-SUM(E$29:E47)))</f>
        <v>0</v>
      </c>
      <c r="F48" s="126">
        <f>IF($I$19&gt;0,IF(SUM(F$29:F47)&lt;$I$19,IF((D48-E48)&gt;0,IF($I$20=0,IF($I$19-SUM(F$29:F47)&gt;D48,D48,$I$19-SUM(F$29:F47)),E48),D48),0)+IF($I$20&gt;0,IF(D48-$I$20-SUM($H$29:H47)-IF($I$19=0,0,E48)&gt;0,IF(D48-$I$20-SUM($H$29:H47)-IF($I$19=0,0,E48)&gt;$I$19,$I$19-SUM(F$29:F47)-E48,D48-$I$20-SUM($H$29:H47)-IF($I$19=0,0,E48)),0),0),0)</f>
        <v>0</v>
      </c>
      <c r="G48" s="126">
        <f t="shared" si="2"/>
        <v>0</v>
      </c>
      <c r="H48" s="126">
        <f t="shared" si="5"/>
        <v>0</v>
      </c>
      <c r="I48" s="126"/>
      <c r="J48" s="126"/>
      <c r="K48" s="126">
        <f t="shared" si="6"/>
        <v>967.98</v>
      </c>
      <c r="L48" s="126">
        <f t="shared" si="7"/>
        <v>0.59643480000000082</v>
      </c>
      <c r="M48" s="126">
        <f t="shared" si="8"/>
        <v>11.859291243835617</v>
      </c>
      <c r="N48" s="126">
        <f t="shared" si="3"/>
        <v>1015.6</v>
      </c>
      <c r="O48" s="126">
        <f t="shared" si="9"/>
        <v>0.63000000000000078</v>
      </c>
      <c r="P48" s="126">
        <f t="shared" si="10"/>
        <v>6.23</v>
      </c>
      <c r="Q48" s="126">
        <f t="shared" si="11"/>
        <v>1966.72</v>
      </c>
      <c r="R48" s="126">
        <v>200</v>
      </c>
      <c r="S48" s="126">
        <v>10</v>
      </c>
      <c r="T48" s="126">
        <f t="shared" si="14"/>
        <v>1197.460048156815</v>
      </c>
      <c r="U48" s="126">
        <f t="shared" si="4"/>
        <v>0.98388566696501023</v>
      </c>
      <c r="V48" s="127">
        <f t="shared" si="12"/>
        <v>11.983933823779667</v>
      </c>
      <c r="W48" s="128">
        <f t="shared" si="13"/>
        <v>1186.46</v>
      </c>
    </row>
    <row r="49" spans="2:23" x14ac:dyDescent="0.35">
      <c r="B49" s="47">
        <f t="shared" si="0"/>
        <v>45311</v>
      </c>
      <c r="C49" s="48">
        <f t="shared" si="1"/>
        <v>45312</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968.58</v>
      </c>
      <c r="L49" s="13">
        <f>M49-M48</f>
        <v>0.59680449863013685</v>
      </c>
      <c r="M49" s="13">
        <f t="shared" si="8"/>
        <v>12.456095742465754</v>
      </c>
      <c r="N49" s="13">
        <f t="shared" si="3"/>
        <v>1016.23</v>
      </c>
      <c r="O49" s="13">
        <f t="shared" si="9"/>
        <v>0.62999999999999989</v>
      </c>
      <c r="P49" s="13">
        <f t="shared" si="10"/>
        <v>6.86</v>
      </c>
      <c r="Q49" s="13">
        <f t="shared" si="11"/>
        <v>1966.72</v>
      </c>
      <c r="R49" s="17"/>
      <c r="S49" s="17"/>
      <c r="T49" s="17">
        <f t="shared" si="14"/>
        <v>1198.4439338237801</v>
      </c>
      <c r="U49" s="17">
        <f t="shared" si="4"/>
        <v>0.98469407055822344</v>
      </c>
      <c r="V49" s="18">
        <f t="shared" si="12"/>
        <v>12.968627894337891</v>
      </c>
      <c r="W49" s="16">
        <f t="shared" si="13"/>
        <v>1186.46</v>
      </c>
    </row>
    <row r="50" spans="2:23" x14ac:dyDescent="0.35">
      <c r="B50" s="47">
        <f t="shared" si="0"/>
        <v>45312</v>
      </c>
      <c r="C50" s="48">
        <f t="shared" si="1"/>
        <v>45313</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969.18</v>
      </c>
      <c r="L50" s="13">
        <f t="shared" si="7"/>
        <v>0.59717419726027465</v>
      </c>
      <c r="M50" s="13">
        <f t="shared" si="8"/>
        <v>13.053269939726029</v>
      </c>
      <c r="N50" s="13">
        <f t="shared" si="3"/>
        <v>1016.86</v>
      </c>
      <c r="O50" s="13">
        <f t="shared" si="9"/>
        <v>0.62999999999999989</v>
      </c>
      <c r="P50" s="13">
        <f t="shared" si="10"/>
        <v>7.49</v>
      </c>
      <c r="Q50" s="13">
        <f t="shared" si="11"/>
        <v>1966.72</v>
      </c>
      <c r="R50" s="17"/>
      <c r="S50" s="17"/>
      <c r="T50" s="17">
        <f t="shared" si="14"/>
        <v>1199.4286278943382</v>
      </c>
      <c r="U50" s="17">
        <f t="shared" si="4"/>
        <v>0.98550313837126602</v>
      </c>
      <c r="V50" s="18">
        <f t="shared" si="12"/>
        <v>13.954131032709157</v>
      </c>
      <c r="W50" s="16">
        <f t="shared" si="13"/>
        <v>1186.46</v>
      </c>
    </row>
    <row r="51" spans="2:23" x14ac:dyDescent="0.35">
      <c r="B51" s="47">
        <f t="shared" si="0"/>
        <v>45313</v>
      </c>
      <c r="C51" s="48">
        <f t="shared" si="1"/>
        <v>45314</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969.78</v>
      </c>
      <c r="L51" s="13">
        <f t="shared" si="7"/>
        <v>0.59754389589041068</v>
      </c>
      <c r="M51" s="13">
        <f t="shared" si="8"/>
        <v>13.650813835616439</v>
      </c>
      <c r="N51" s="13">
        <f t="shared" si="3"/>
        <v>1017.49</v>
      </c>
      <c r="O51" s="13">
        <f t="shared" si="9"/>
        <v>0.62999999999999901</v>
      </c>
      <c r="P51" s="13">
        <f t="shared" si="10"/>
        <v>8.1199999999999992</v>
      </c>
      <c r="Q51" s="13">
        <f t="shared" si="11"/>
        <v>1966.73</v>
      </c>
      <c r="R51" s="17"/>
      <c r="S51" s="17"/>
      <c r="T51" s="17">
        <f t="shared" si="14"/>
        <v>1200.4141310327095</v>
      </c>
      <c r="U51" s="17">
        <f t="shared" si="4"/>
        <v>0.98631287094988984</v>
      </c>
      <c r="V51" s="18">
        <f t="shared" si="12"/>
        <v>14.940443903659046</v>
      </c>
      <c r="W51" s="16">
        <f t="shared" si="13"/>
        <v>1186.46</v>
      </c>
    </row>
    <row r="52" spans="2:23" x14ac:dyDescent="0.35">
      <c r="B52" s="47">
        <f t="shared" si="0"/>
        <v>45314</v>
      </c>
      <c r="C52" s="48">
        <f t="shared" si="1"/>
        <v>45315</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970.38</v>
      </c>
      <c r="L52" s="13">
        <f t="shared" si="7"/>
        <v>0.59791359452054849</v>
      </c>
      <c r="M52" s="13">
        <f t="shared" si="8"/>
        <v>14.248727430136988</v>
      </c>
      <c r="N52" s="13">
        <f t="shared" si="3"/>
        <v>1018.12</v>
      </c>
      <c r="O52" s="13">
        <f t="shared" si="9"/>
        <v>0.63000000000000078</v>
      </c>
      <c r="P52" s="13">
        <f t="shared" si="10"/>
        <v>8.75</v>
      </c>
      <c r="Q52" s="13">
        <f t="shared" si="11"/>
        <v>1966.73</v>
      </c>
      <c r="R52" s="17"/>
      <c r="S52" s="17"/>
      <c r="T52" s="17">
        <f t="shared" si="14"/>
        <v>1201.4004439036594</v>
      </c>
      <c r="U52" s="17">
        <f t="shared" si="4"/>
        <v>0.98712326884029444</v>
      </c>
      <c r="V52" s="18">
        <f t="shared" si="12"/>
        <v>15.927567172499341</v>
      </c>
      <c r="W52" s="16">
        <f t="shared" si="13"/>
        <v>1186.46</v>
      </c>
    </row>
    <row r="53" spans="2:23" s="129" customFormat="1" x14ac:dyDescent="0.35">
      <c r="B53" s="123">
        <f t="shared" si="0"/>
        <v>45315</v>
      </c>
      <c r="C53" s="124">
        <f t="shared" si="1"/>
        <v>45316</v>
      </c>
      <c r="D53" s="125"/>
      <c r="E53" s="126">
        <f>IF(SUM(E$29:E52)=$I$24,0,IF((D53&lt;=$I$24-SUM(E$29:E52)),D53,$I$24-SUM(E$29:E52)))</f>
        <v>0</v>
      </c>
      <c r="F53" s="126">
        <f>IF($I$19&gt;0,IF(SUM(F$29:F52)&lt;$I$19,IF((D53-E53)&gt;0,IF($I$20=0,IF($I$19-SUM(F$29:F52)&gt;D53,D53,$I$19-SUM(F$29:F52)),E53),D53),0)+IF($I$20&gt;0,IF(D53-$I$20-SUM($H$29:H52)-IF($I$19=0,0,E53)&gt;0,IF(D53-$I$20-SUM($H$29:H52)-IF($I$19=0,0,E53)&gt;$I$19,$I$19-SUM(F$29:F52)-E53,D53-$I$20-SUM($H$29:H52)-IF($I$19=0,0,E53)),0),0),0)</f>
        <v>0</v>
      </c>
      <c r="G53" s="126">
        <f t="shared" si="2"/>
        <v>0</v>
      </c>
      <c r="H53" s="126">
        <f t="shared" si="5"/>
        <v>0</v>
      </c>
      <c r="I53" s="126"/>
      <c r="J53" s="126"/>
      <c r="K53" s="126">
        <f t="shared" si="6"/>
        <v>970.98</v>
      </c>
      <c r="L53" s="126">
        <f t="shared" si="7"/>
        <v>0.59828329315068451</v>
      </c>
      <c r="M53" s="126">
        <f t="shared" si="8"/>
        <v>14.847010723287672</v>
      </c>
      <c r="N53" s="126">
        <f t="shared" si="3"/>
        <v>1018.75</v>
      </c>
      <c r="O53" s="126">
        <f t="shared" si="9"/>
        <v>0.63000000000000078</v>
      </c>
      <c r="P53" s="126">
        <f t="shared" si="10"/>
        <v>9.3800000000000008</v>
      </c>
      <c r="Q53" s="126">
        <f t="shared" si="11"/>
        <v>1966.73</v>
      </c>
      <c r="R53" s="126"/>
      <c r="S53" s="126"/>
      <c r="T53" s="126">
        <f t="shared" si="14"/>
        <v>1202.3875671724998</v>
      </c>
      <c r="U53" s="126">
        <f t="shared" si="4"/>
        <v>0.98793433258913055</v>
      </c>
      <c r="V53" s="127">
        <f t="shared" si="12"/>
        <v>16.915501505088471</v>
      </c>
      <c r="W53" s="128">
        <f t="shared" si="13"/>
        <v>1186.46</v>
      </c>
    </row>
    <row r="54" spans="2:23" s="129" customFormat="1" x14ac:dyDescent="0.35">
      <c r="B54" s="123">
        <f t="shared" si="0"/>
        <v>45316</v>
      </c>
      <c r="C54" s="124">
        <f t="shared" si="1"/>
        <v>45317</v>
      </c>
      <c r="D54" s="125"/>
      <c r="E54" s="126">
        <f>IF(SUM(E$29:E53)=$I$24,0,IF((D54&lt;=$I$24-SUM(E$29:E53)),D54,$I$24-SUM(E$29:E53)))</f>
        <v>0</v>
      </c>
      <c r="F54" s="126">
        <f>IF($I$19&gt;0,IF(SUM(F$29:F53)&lt;$I$19,IF((D54-E54)&gt;0,IF($I$20=0,IF($I$19-SUM(F$29:F53)&gt;D54,D54,$I$19-SUM(F$29:F53)),E54),D54),0)+IF($I$20&gt;0,IF(D54-$I$20-SUM($H$29:H53)-IF($I$19=0,0,E54)&gt;0,IF(D54-$I$20-SUM($H$29:H53)-IF($I$19=0,0,E54)&gt;$I$19,$I$19-SUM(F$29:F53)-E54,D54-$I$20-SUM($H$29:H53)-IF($I$19=0,0,E54)),0),0),0)</f>
        <v>0</v>
      </c>
      <c r="G54" s="126">
        <f t="shared" si="2"/>
        <v>0</v>
      </c>
      <c r="H54" s="126">
        <f t="shared" si="5"/>
        <v>0</v>
      </c>
      <c r="I54" s="126"/>
      <c r="J54" s="126"/>
      <c r="K54" s="126">
        <f t="shared" si="6"/>
        <v>971.58</v>
      </c>
      <c r="L54" s="126">
        <f t="shared" si="7"/>
        <v>0.59865299178082232</v>
      </c>
      <c r="M54" s="126">
        <f t="shared" si="8"/>
        <v>15.445663715068495</v>
      </c>
      <c r="N54" s="126">
        <f t="shared" si="3"/>
        <v>1019.38</v>
      </c>
      <c r="O54" s="126">
        <f t="shared" si="9"/>
        <v>0.62999999999999901</v>
      </c>
      <c r="P54" s="126">
        <f t="shared" si="10"/>
        <v>10.01</v>
      </c>
      <c r="Q54" s="126">
        <f t="shared" si="11"/>
        <v>1966.73</v>
      </c>
      <c r="R54" s="126">
        <v>200</v>
      </c>
      <c r="S54" s="126">
        <v>10</v>
      </c>
      <c r="T54" s="126">
        <f t="shared" si="14"/>
        <v>1413.3755015050888</v>
      </c>
      <c r="U54" s="126">
        <f t="shared" si="4"/>
        <v>1.1612912682229499</v>
      </c>
      <c r="V54" s="127">
        <f t="shared" si="12"/>
        <v>18.076792773311421</v>
      </c>
      <c r="W54" s="128">
        <f t="shared" si="13"/>
        <v>1396.46</v>
      </c>
    </row>
    <row r="55" spans="2:23" x14ac:dyDescent="0.35">
      <c r="B55" s="47">
        <f t="shared" si="0"/>
        <v>45317</v>
      </c>
      <c r="C55" s="48">
        <f t="shared" si="1"/>
        <v>45318</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972.18</v>
      </c>
      <c r="L55" s="13">
        <f t="shared" si="7"/>
        <v>0.59902269041095835</v>
      </c>
      <c r="M55" s="13">
        <f t="shared" si="8"/>
        <v>16.044686405479453</v>
      </c>
      <c r="N55" s="13">
        <f t="shared" si="3"/>
        <v>1020.01</v>
      </c>
      <c r="O55" s="13">
        <f t="shared" si="9"/>
        <v>0.63000000000000078</v>
      </c>
      <c r="P55" s="13">
        <f t="shared" si="10"/>
        <v>10.64</v>
      </c>
      <c r="Q55" s="13">
        <f t="shared" si="11"/>
        <v>1966.73</v>
      </c>
      <c r="R55" s="17"/>
      <c r="S55" s="17"/>
      <c r="T55" s="17">
        <f t="shared" si="14"/>
        <v>1414.5367927733116</v>
      </c>
      <c r="U55" s="17">
        <f t="shared" si="4"/>
        <v>1.1622454360348407</v>
      </c>
      <c r="V55" s="18">
        <f t="shared" si="12"/>
        <v>19.239038209346262</v>
      </c>
      <c r="W55" s="16">
        <f t="shared" si="13"/>
        <v>1396.46</v>
      </c>
    </row>
    <row r="56" spans="2:23" x14ac:dyDescent="0.35">
      <c r="B56" s="47">
        <f t="shared" si="0"/>
        <v>45318</v>
      </c>
      <c r="C56" s="48">
        <f t="shared" si="1"/>
        <v>45319</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972.78</v>
      </c>
      <c r="L56" s="13">
        <f t="shared" si="7"/>
        <v>0.59939238904109615</v>
      </c>
      <c r="M56" s="13">
        <f t="shared" si="8"/>
        <v>16.644078794520549</v>
      </c>
      <c r="N56" s="13">
        <f t="shared" si="3"/>
        <v>1020.64</v>
      </c>
      <c r="O56" s="13">
        <f t="shared" si="9"/>
        <v>0.62999999999999901</v>
      </c>
      <c r="P56" s="13">
        <f t="shared" si="10"/>
        <v>11.27</v>
      </c>
      <c r="Q56" s="13">
        <f t="shared" si="11"/>
        <v>1966.74</v>
      </c>
      <c r="R56" s="19"/>
      <c r="S56" s="19"/>
      <c r="T56" s="17">
        <f t="shared" si="14"/>
        <v>1415.6990382093466</v>
      </c>
      <c r="U56" s="17">
        <f t="shared" si="4"/>
        <v>1.1632003878328305</v>
      </c>
      <c r="V56" s="18">
        <f t="shared" si="12"/>
        <v>20.402238597179092</v>
      </c>
      <c r="W56" s="16">
        <f t="shared" si="13"/>
        <v>1396.46</v>
      </c>
    </row>
    <row r="57" spans="2:23" x14ac:dyDescent="0.35">
      <c r="B57" s="47">
        <f t="shared" ref="B57:B59" si="15">C57-1</f>
        <v>45319</v>
      </c>
      <c r="C57" s="48">
        <f t="shared" si="1"/>
        <v>45320</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973.38</v>
      </c>
      <c r="L57" s="13">
        <f t="shared" ref="L57:L59" si="19">M57-M56</f>
        <v>0.59976208767123396</v>
      </c>
      <c r="M57" s="13">
        <f t="shared" ref="M57:M59" si="20">IF(K57=0,0,M56+K57*$F$22)</f>
        <v>17.243840882191783</v>
      </c>
      <c r="N57" s="13">
        <f t="shared" ref="N57:N59" si="21">ROUND(N56+I57+J57+O56-G57,2)</f>
        <v>1021.27</v>
      </c>
      <c r="O57" s="13">
        <f t="shared" ref="O57:O58" si="22">P57-P56</f>
        <v>0.63000000000000078</v>
      </c>
      <c r="P57" s="13">
        <f t="shared" ref="P57:P58" si="23">ROUND(P56+N57*$F$22,2)</f>
        <v>11.9</v>
      </c>
      <c r="Q57" s="13">
        <f t="shared" ref="Q57:Q59" si="24">ROUND(N57+K57-M56-P56,2)</f>
        <v>1966.74</v>
      </c>
      <c r="R57" s="19"/>
      <c r="S57" s="19"/>
      <c r="T57" s="17">
        <f t="shared" ref="T57:T59" si="25">T56+U56+R57+S57-H57</f>
        <v>1416.8622385971794</v>
      </c>
      <c r="U57" s="17">
        <f t="shared" ref="U57:U59" si="26">V57-V56</f>
        <v>1.1641561242610798</v>
      </c>
      <c r="V57" s="18">
        <f t="shared" ref="V57:V59" si="27">V56+T57*$F$23</f>
        <v>21.566394721440172</v>
      </c>
      <c r="W57" s="16">
        <f t="shared" ref="W57:W59" si="28">IF(T57=0,0,W56+R57+S57-H57)</f>
        <v>1396.46</v>
      </c>
    </row>
    <row r="58" spans="2:23" x14ac:dyDescent="0.35">
      <c r="B58" s="47">
        <f t="shared" si="15"/>
        <v>45320</v>
      </c>
      <c r="C58" s="48">
        <f t="shared" si="1"/>
        <v>45321</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973.98</v>
      </c>
      <c r="L58" s="13">
        <f t="shared" si="19"/>
        <v>0.60013178630136821</v>
      </c>
      <c r="M58" s="13">
        <f t="shared" si="20"/>
        <v>17.843972668493151</v>
      </c>
      <c r="N58" s="13">
        <f t="shared" si="21"/>
        <v>1021.9</v>
      </c>
      <c r="O58" s="13">
        <f t="shared" si="22"/>
        <v>0.62999999999999901</v>
      </c>
      <c r="P58" s="13">
        <f t="shared" si="23"/>
        <v>12.53</v>
      </c>
      <c r="Q58" s="13">
        <f t="shared" si="24"/>
        <v>1966.74</v>
      </c>
      <c r="R58" s="19"/>
      <c r="S58" s="19"/>
      <c r="T58" s="17">
        <f t="shared" si="25"/>
        <v>1418.0263947214405</v>
      </c>
      <c r="U58" s="17">
        <f t="shared" si="26"/>
        <v>1.1651126459642747</v>
      </c>
      <c r="V58" s="18">
        <f t="shared" si="27"/>
        <v>22.731507367404447</v>
      </c>
      <c r="W58" s="16">
        <f t="shared" si="28"/>
        <v>1396.46</v>
      </c>
    </row>
    <row r="59" spans="2:23" x14ac:dyDescent="0.35">
      <c r="B59" s="47">
        <f t="shared" si="15"/>
        <v>45321</v>
      </c>
      <c r="C59" s="48">
        <f t="shared" si="1"/>
        <v>45322</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974.58</v>
      </c>
      <c r="L59" s="13">
        <f t="shared" si="19"/>
        <v>0.60050148493150601</v>
      </c>
      <c r="M59" s="13">
        <f t="shared" si="20"/>
        <v>18.444474153424657</v>
      </c>
      <c r="N59" s="13">
        <f t="shared" si="21"/>
        <v>1022.53</v>
      </c>
      <c r="O59" s="13">
        <f>P59-P58</f>
        <v>0.63000000000000078</v>
      </c>
      <c r="P59" s="13">
        <f>ROUND(P58+N59*$F$22,2)</f>
        <v>13.16</v>
      </c>
      <c r="Q59" s="13">
        <f t="shared" si="24"/>
        <v>1966.74</v>
      </c>
      <c r="R59" s="19"/>
      <c r="S59" s="19"/>
      <c r="T59" s="17">
        <f t="shared" si="25"/>
        <v>1419.1915073674047</v>
      </c>
      <c r="U59" s="17">
        <f t="shared" si="26"/>
        <v>1.1660699535876304</v>
      </c>
      <c r="V59" s="18">
        <f t="shared" si="27"/>
        <v>23.897577320992077</v>
      </c>
      <c r="W59" s="16">
        <f t="shared" si="28"/>
        <v>1396.46</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1000</v>
      </c>
      <c r="J60" s="77">
        <f t="shared" si="29"/>
        <v>10</v>
      </c>
      <c r="K60" s="77">
        <f t="shared" si="29"/>
        <v>29934.340000000004</v>
      </c>
      <c r="L60" s="77">
        <f t="shared" si="29"/>
        <v>18.444474153424657</v>
      </c>
      <c r="M60" s="79"/>
      <c r="N60" s="77">
        <f>SUM(N29:N59)</f>
        <v>21331.420000000002</v>
      </c>
      <c r="O60" s="77">
        <f>SUM(O29:O59)</f>
        <v>13.16</v>
      </c>
      <c r="P60" s="79"/>
      <c r="Q60" s="79"/>
      <c r="R60" s="78">
        <f>SUM(R29:R59)</f>
        <v>800</v>
      </c>
      <c r="S60" s="78">
        <f>SUM(S29:S59)</f>
        <v>40</v>
      </c>
      <c r="T60" s="78">
        <f>SUM(T29:T59)</f>
        <v>29085.080767462841</v>
      </c>
      <c r="U60" s="78">
        <f>SUM(U29:U59)</f>
        <v>23.897577320992077</v>
      </c>
      <c r="V60" s="78"/>
      <c r="W60" s="80"/>
    </row>
    <row r="61" spans="2:23" ht="15" thickBot="1" x14ac:dyDescent="0.4">
      <c r="H61"/>
      <c r="J61" s="82" t="s">
        <v>71</v>
      </c>
      <c r="K61" s="82">
        <f>K60/$C$18</f>
        <v>965.62387096774205</v>
      </c>
      <c r="M61" s="82" t="s">
        <v>69</v>
      </c>
      <c r="N61" s="82">
        <f>N60/$C$18</f>
        <v>688.11032258064517</v>
      </c>
      <c r="S61" s="83" t="s">
        <v>65</v>
      </c>
      <c r="T61" s="83">
        <f>T60/C18</f>
        <v>938.22841185364007</v>
      </c>
    </row>
    <row r="62" spans="2:23" ht="15" thickBot="1" x14ac:dyDescent="0.4">
      <c r="H62"/>
      <c r="J62" s="82" t="s">
        <v>72</v>
      </c>
      <c r="K62" s="82">
        <f>M59</f>
        <v>18.444474153424657</v>
      </c>
      <c r="M62" s="82" t="s">
        <v>70</v>
      </c>
      <c r="N62" s="82">
        <f>IF(ROUND(N59,2)=0,0,N61*$F$22*$C$18)</f>
        <v>13.143661254794521</v>
      </c>
      <c r="S62" s="82" t="s">
        <v>64</v>
      </c>
      <c r="T62" s="82">
        <f>T61*F23*C18</f>
        <v>23.897577320992074</v>
      </c>
    </row>
    <row r="63" spans="2:23" x14ac:dyDescent="0.35">
      <c r="U63" s="61"/>
    </row>
    <row r="69" spans="11:11" x14ac:dyDescent="0.35">
      <c r="K69" s="61">
        <f>K62+N62</f>
        <v>31.588135408219181</v>
      </c>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Feb Statement</vt:lpstr>
      <vt:lpstr>March Statement</vt:lpstr>
      <vt:lpstr>October Statement</vt:lpstr>
      <vt:lpstr>November Statement</vt:lpstr>
      <vt:lpstr>Dec Statement</vt:lpstr>
      <vt:lpstr>Jan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2025-01-10T05:36:58Z</dcterms:modified>
</cp:coreProperties>
</file>