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30F9100D-725D-435F-AD51-17A8F6C89411}" xr6:coauthVersionLast="47" xr6:coauthVersionMax="47" xr10:uidLastSave="{00000000-0000-0000-0000-000000000000}"/>
  <bookViews>
    <workbookView xWindow="28635" yWindow="-165" windowWidth="29130" windowHeight="1581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0" i="13" l="1"/>
  <c r="X69" i="13"/>
  <c r="W69" i="13"/>
  <c r="W67" i="13"/>
  <c r="T67" i="15"/>
  <c r="AB61" i="15"/>
  <c r="S59" i="15"/>
  <c r="I8" i="15" s="1"/>
  <c r="V30" i="16"/>
  <c r="M29" i="13"/>
  <c r="L29" i="13" s="1"/>
  <c r="AA55" i="13"/>
  <c r="AA54" i="13"/>
  <c r="AA53" i="13"/>
  <c r="C10" i="13"/>
  <c r="S60" i="16"/>
  <c r="I8" i="16" s="1"/>
  <c r="R60" i="16"/>
  <c r="F7" i="16" s="1"/>
  <c r="J60" i="16"/>
  <c r="I7" i="16" s="1"/>
  <c r="I60" i="16"/>
  <c r="F6" i="16" s="1"/>
  <c r="D60" i="16"/>
  <c r="E29" i="16"/>
  <c r="F23" i="16"/>
  <c r="F22" i="16"/>
  <c r="F18" i="16"/>
  <c r="C16" i="16"/>
  <c r="C11" i="16"/>
  <c r="C10" i="16"/>
  <c r="C8" i="16"/>
  <c r="R59" i="15"/>
  <c r="F7" i="15" s="1"/>
  <c r="J59" i="15"/>
  <c r="I7" i="15" s="1"/>
  <c r="I59" i="15"/>
  <c r="F6" i="15" s="1"/>
  <c r="D59" i="15"/>
  <c r="E29" i="15"/>
  <c r="C29" i="15"/>
  <c r="B29" i="15" s="1"/>
  <c r="F23" i="15"/>
  <c r="F22" i="15"/>
  <c r="F18" i="15"/>
  <c r="C16" i="15"/>
  <c r="C17" i="15" s="1"/>
  <c r="F17" i="15" s="1"/>
  <c r="C11" i="15"/>
  <c r="C8" i="15"/>
  <c r="E48" i="1"/>
  <c r="S59" i="14"/>
  <c r="R59" i="14"/>
  <c r="F7" i="14" s="1"/>
  <c r="J59" i="14"/>
  <c r="I59" i="14"/>
  <c r="F6" i="14" s="1"/>
  <c r="D59" i="14"/>
  <c r="S60" i="13"/>
  <c r="J60" i="13"/>
  <c r="I60" i="13"/>
  <c r="D60" i="13"/>
  <c r="I8" i="14"/>
  <c r="I7" i="14"/>
  <c r="E29" i="14"/>
  <c r="E30" i="14" s="1"/>
  <c r="F23" i="14"/>
  <c r="F22" i="14"/>
  <c r="F18" i="14"/>
  <c r="C16" i="14"/>
  <c r="C11" i="14"/>
  <c r="C8" i="14"/>
  <c r="S60" i="1"/>
  <c r="R60" i="1"/>
  <c r="J60" i="1"/>
  <c r="D57" i="12"/>
  <c r="I65" i="12"/>
  <c r="F8" i="15" l="1"/>
  <c r="F8" i="16"/>
  <c r="E30" i="16"/>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6" i="15" l="1"/>
  <c r="E37" i="15" s="1"/>
  <c r="E38" i="15" s="1"/>
  <c r="E35" i="16"/>
  <c r="B33" i="16"/>
  <c r="C34" i="16"/>
  <c r="C35" i="15"/>
  <c r="B34"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N65" i="1" s="1"/>
  <c r="N66" i="1" s="1"/>
  <c r="N6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s="1"/>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F9" i="12" l="1"/>
  <c r="F11" i="12" s="1"/>
  <c r="F4" i="15" s="1"/>
  <c r="F14" i="12" l="1"/>
  <c r="F4" i="16"/>
  <c r="I21" i="16"/>
  <c r="F29" i="16"/>
  <c r="F4" i="13"/>
  <c r="H29" i="16" l="1"/>
  <c r="G29" i="16" s="1"/>
  <c r="H29" i="13"/>
  <c r="N29" i="16" l="1"/>
  <c r="T29" i="16"/>
  <c r="F30" i="16"/>
  <c r="V29" i="16" l="1"/>
  <c r="W29" i="16"/>
  <c r="P29" i="16"/>
  <c r="W29" i="13"/>
  <c r="V29" i="13"/>
  <c r="U29" i="13" l="1"/>
  <c r="O29" i="16"/>
  <c r="U29" i="16"/>
  <c r="H30" i="16" l="1"/>
  <c r="T30" i="16" s="1"/>
  <c r="W30" i="16" l="1"/>
  <c r="G30" i="16"/>
  <c r="F31" i="16"/>
  <c r="U30" i="16" l="1"/>
  <c r="N30" i="16"/>
  <c r="P30" i="16" l="1"/>
  <c r="H31" i="16"/>
  <c r="G31" i="16" l="1"/>
  <c r="F32" i="16"/>
  <c r="T31" i="16"/>
  <c r="V31" i="16" s="1"/>
  <c r="O30" i="16"/>
  <c r="W31" i="16" l="1"/>
  <c r="N31" i="16"/>
  <c r="P31" i="16" l="1"/>
  <c r="U31" i="16"/>
  <c r="H32" i="16" l="1"/>
  <c r="T32" i="16" s="1"/>
  <c r="V32" i="16" s="1"/>
  <c r="O31" i="16"/>
  <c r="W32" i="16" l="1"/>
  <c r="F33" i="16"/>
  <c r="G32" i="16"/>
  <c r="N32" i="16" l="1"/>
  <c r="U32" i="16"/>
  <c r="H33" i="16" l="1"/>
  <c r="T33" i="16" s="1"/>
  <c r="V33" i="16" s="1"/>
  <c r="P32" i="16"/>
  <c r="O32" i="16" l="1"/>
  <c r="W33" i="16"/>
  <c r="G33" i="16"/>
  <c r="F34" i="16"/>
  <c r="N33" i="16" l="1"/>
  <c r="U33" i="16"/>
  <c r="H34" i="16" s="1"/>
  <c r="T34" i="16" s="1"/>
  <c r="V34" i="16" s="1"/>
  <c r="F35" i="16" l="1"/>
  <c r="G34" i="16"/>
  <c r="U34" i="16"/>
  <c r="W34" i="16"/>
  <c r="P33" i="16"/>
  <c r="H35" i="16" l="1"/>
  <c r="G35" i="16" s="1"/>
  <c r="O33" i="16"/>
  <c r="N34" i="16" s="1"/>
  <c r="P34" i="16" s="1"/>
  <c r="T35" i="16" l="1"/>
  <c r="F36" i="16"/>
  <c r="O34" i="16"/>
  <c r="N35" i="16" s="1"/>
  <c r="W35" i="16" l="1"/>
  <c r="V35" i="16"/>
  <c r="U35" i="16"/>
  <c r="P35" i="16"/>
  <c r="H36" i="16" l="1"/>
  <c r="T36" i="16" s="1"/>
  <c r="V36" i="16" s="1"/>
  <c r="O35" i="16"/>
  <c r="W36" i="16" l="1"/>
  <c r="F37" i="16"/>
  <c r="G36" i="16"/>
  <c r="N36" i="16" s="1"/>
  <c r="P36" i="16" l="1"/>
  <c r="U36" i="16"/>
  <c r="H37" i="16" l="1"/>
  <c r="O36" i="16"/>
  <c r="G37" i="16" l="1"/>
  <c r="N37" i="16" s="1"/>
  <c r="F38" i="16"/>
  <c r="T37" i="16"/>
  <c r="V37" i="16" s="1"/>
  <c r="W37" i="16" l="1"/>
  <c r="P37" i="16"/>
  <c r="O37" i="16" l="1"/>
  <c r="U37" i="16"/>
  <c r="H38" i="16" s="1"/>
  <c r="T38" i="16" l="1"/>
  <c r="V38" i="16" s="1"/>
  <c r="G38" i="16"/>
  <c r="N38" i="16" s="1"/>
  <c r="F39" i="16"/>
  <c r="P38" i="16" l="1"/>
  <c r="W38" i="16"/>
  <c r="U38" i="16" l="1"/>
  <c r="O38" i="16"/>
  <c r="H39" i="16" l="1"/>
  <c r="T39" i="16" s="1"/>
  <c r="V39" i="16" s="1"/>
  <c r="W39" i="16" l="1"/>
  <c r="G39" i="16"/>
  <c r="N39" i="16" s="1"/>
  <c r="F40" i="16"/>
  <c r="P39" i="16" l="1"/>
  <c r="U39" i="16"/>
  <c r="H40" i="16" s="1"/>
  <c r="T40" i="16" s="1"/>
  <c r="V40" i="16" s="1"/>
  <c r="W40" i="16" l="1"/>
  <c r="F41" i="16"/>
  <c r="O39" i="16"/>
  <c r="G40" i="16"/>
  <c r="N40" i="16" l="1"/>
  <c r="P40" i="16" s="1"/>
  <c r="U40" i="16"/>
  <c r="H41" i="16" l="1"/>
  <c r="T41" i="16" s="1"/>
  <c r="V41" i="16" s="1"/>
  <c r="O40" i="16"/>
  <c r="W41" i="16" l="1"/>
  <c r="F42" i="16"/>
  <c r="G41" i="16"/>
  <c r="N41" i="16" s="1"/>
  <c r="P41" i="16" l="1"/>
  <c r="U41" i="16"/>
  <c r="H42" i="16" l="1"/>
  <c r="T42" i="16" s="1"/>
  <c r="V42" i="16" s="1"/>
  <c r="O41" i="16"/>
  <c r="W42" i="16" l="1"/>
  <c r="G42" i="16"/>
  <c r="N42" i="16" s="1"/>
  <c r="F43" i="16"/>
  <c r="P42" i="16" l="1"/>
  <c r="U42" i="16"/>
  <c r="H43" i="16" l="1"/>
  <c r="T43" i="16" s="1"/>
  <c r="O42" i="16"/>
  <c r="V43" i="16" l="1"/>
  <c r="W43" i="16"/>
  <c r="G43" i="16"/>
  <c r="N43" i="16" s="1"/>
  <c r="F44" i="16"/>
  <c r="P43" i="16" l="1"/>
  <c r="U43" i="16"/>
  <c r="H44" i="16" l="1"/>
  <c r="T44" i="16" s="1"/>
  <c r="O43" i="16"/>
  <c r="V44" i="16" l="1"/>
  <c r="W44" i="16"/>
  <c r="G44" i="16"/>
  <c r="N44" i="16" s="1"/>
  <c r="F45" i="16"/>
  <c r="P44" i="16" l="1"/>
  <c r="U44" i="16"/>
  <c r="H45" i="16" l="1"/>
  <c r="O44" i="16"/>
  <c r="G45" i="16" l="1"/>
  <c r="N45" i="16" s="1"/>
  <c r="F46" i="16"/>
  <c r="T45" i="16"/>
  <c r="V45" i="16" l="1"/>
  <c r="W45" i="16"/>
  <c r="P45" i="16"/>
  <c r="U45" i="16" l="1"/>
  <c r="O45" i="16"/>
  <c r="H46" i="16" l="1"/>
  <c r="T46" i="16" s="1"/>
  <c r="V46" i="16" l="1"/>
  <c r="W46" i="16"/>
  <c r="G46" i="16"/>
  <c r="N46" i="16" s="1"/>
  <c r="F47" i="16"/>
  <c r="P46" i="16" l="1"/>
  <c r="U46" i="16"/>
  <c r="H47" i="16" l="1"/>
  <c r="T47" i="16" s="1"/>
  <c r="O46" i="16"/>
  <c r="V47" i="16" l="1"/>
  <c r="W47" i="16"/>
  <c r="G47" i="16"/>
  <c r="N47" i="16" s="1"/>
  <c r="F48" i="16"/>
  <c r="P47" i="16" l="1"/>
  <c r="U47" i="16"/>
  <c r="H48" i="16" l="1"/>
  <c r="T48" i="16" s="1"/>
  <c r="O47" i="16"/>
  <c r="V48" i="16" l="1"/>
  <c r="W48" i="16"/>
  <c r="G48" i="16"/>
  <c r="N48" i="16" s="1"/>
  <c r="F49" i="16"/>
  <c r="P48" i="16" l="1"/>
  <c r="U48" i="16"/>
  <c r="H49" i="16" s="1"/>
  <c r="T49" i="16" s="1"/>
  <c r="V49" i="16" l="1"/>
  <c r="U49" i="16" s="1"/>
  <c r="O48" i="16"/>
  <c r="F50" i="16"/>
  <c r="W49" i="16"/>
  <c r="G49" i="16"/>
  <c r="H50" i="16" l="1"/>
  <c r="T50" i="16" s="1"/>
  <c r="N49" i="16"/>
  <c r="W50" i="16" l="1"/>
  <c r="V50" i="16"/>
  <c r="U50" i="16" s="1"/>
  <c r="G50" i="16"/>
  <c r="F51" i="16"/>
  <c r="P49" i="16"/>
  <c r="H51" i="16" l="1"/>
  <c r="T51" i="16" s="1"/>
  <c r="V51" i="16" s="1"/>
  <c r="O49" i="16"/>
  <c r="N50" i="16" s="1"/>
  <c r="P50" i="16" s="1"/>
  <c r="O50" i="16" l="1"/>
  <c r="W51" i="16"/>
  <c r="G51" i="16"/>
  <c r="F52" i="16"/>
  <c r="N51" i="16" l="1"/>
  <c r="P51" i="16" s="1"/>
  <c r="U51" i="16"/>
  <c r="H52" i="16" l="1"/>
  <c r="T52" i="16" s="1"/>
  <c r="V52" i="16" s="1"/>
  <c r="O51" i="16"/>
  <c r="W52" i="16" l="1"/>
  <c r="F53" i="16"/>
  <c r="G52" i="16"/>
  <c r="N52" i="16" s="1"/>
  <c r="P52" i="16" l="1"/>
  <c r="U52" i="16"/>
  <c r="Q29" i="16" l="1"/>
  <c r="M29" i="16"/>
  <c r="L29" i="16" s="1"/>
  <c r="K30" i="16" s="1"/>
  <c r="M30" i="16" s="1"/>
  <c r="L30" i="16" s="1"/>
  <c r="O52" i="16"/>
  <c r="H53" i="16"/>
  <c r="T53" i="16" s="1"/>
  <c r="V53" i="16" l="1"/>
  <c r="Q30" i="16"/>
  <c r="K31" i="16"/>
  <c r="Q31" i="16" s="1"/>
  <c r="F54" i="16"/>
  <c r="G53" i="16"/>
  <c r="N53" i="16" s="1"/>
  <c r="W53" i="16"/>
  <c r="M31" i="16" l="1"/>
  <c r="L31" i="16" s="1"/>
  <c r="K32" i="16" s="1"/>
  <c r="U53" i="16"/>
  <c r="P53" i="16"/>
  <c r="M32" i="16" l="1"/>
  <c r="Q32" i="16"/>
  <c r="O53" i="16"/>
  <c r="H54" i="16"/>
  <c r="T54" i="16" s="1"/>
  <c r="V54" i="16" s="1"/>
  <c r="L32" i="16" l="1"/>
  <c r="K33" i="16" s="1"/>
  <c r="W54" i="16"/>
  <c r="G54" i="16"/>
  <c r="N54" i="16" s="1"/>
  <c r="F55" i="16"/>
  <c r="M33" i="16" l="1"/>
  <c r="L33" i="16" s="1"/>
  <c r="K34" i="16" s="1"/>
  <c r="Q33" i="16"/>
  <c r="P54" i="16"/>
  <c r="U54" i="16"/>
  <c r="H55" i="16" s="1"/>
  <c r="T55" i="16" s="1"/>
  <c r="V55" i="16" l="1"/>
  <c r="U55" i="16" s="1"/>
  <c r="M34" i="16"/>
  <c r="L34" i="16" s="1"/>
  <c r="K35" i="16" s="1"/>
  <c r="Q34" i="16"/>
  <c r="O54" i="16"/>
  <c r="W55" i="16"/>
  <c r="F56" i="16"/>
  <c r="G55" i="16"/>
  <c r="H56" i="16" l="1"/>
  <c r="T56" i="16" s="1"/>
  <c r="M35" i="16"/>
  <c r="L35" i="16" s="1"/>
  <c r="K36" i="16" s="1"/>
  <c r="Q35" i="16"/>
  <c r="N55" i="16"/>
  <c r="W56" i="16" l="1"/>
  <c r="V56" i="16"/>
  <c r="U56" i="16" s="1"/>
  <c r="F57" i="16"/>
  <c r="G56" i="16"/>
  <c r="M36" i="16"/>
  <c r="L36" i="16" s="1"/>
  <c r="K37" i="16" s="1"/>
  <c r="Q36" i="16"/>
  <c r="P55" i="16"/>
  <c r="M37" i="16" l="1"/>
  <c r="Q37" i="16"/>
  <c r="H57" i="16"/>
  <c r="T57" i="16" s="1"/>
  <c r="O55" i="16"/>
  <c r="N56" i="16" s="1"/>
  <c r="P56" i="16" s="1"/>
  <c r="V57" i="16" l="1"/>
  <c r="L37" i="16"/>
  <c r="K38" i="16" s="1"/>
  <c r="M38" i="16" s="1"/>
  <c r="L38" i="16" s="1"/>
  <c r="K39" i="16" s="1"/>
  <c r="O56" i="16"/>
  <c r="W57" i="16"/>
  <c r="G57" i="16"/>
  <c r="F58" i="16"/>
  <c r="N57" i="16" l="1"/>
  <c r="P57" i="16" s="1"/>
  <c r="Q39" i="16"/>
  <c r="M39" i="16"/>
  <c r="Q38" i="16"/>
  <c r="U57" i="16"/>
  <c r="L39" i="16" l="1"/>
  <c r="H58" i="16"/>
  <c r="T58" i="16" s="1"/>
  <c r="O57" i="16"/>
  <c r="V58" i="16" l="1"/>
  <c r="K40" i="16"/>
  <c r="W58" i="16"/>
  <c r="G58" i="16"/>
  <c r="N58" i="16" s="1"/>
  <c r="F59" i="16"/>
  <c r="M40" i="16" l="1"/>
  <c r="L40" i="16" s="1"/>
  <c r="Q40" i="16"/>
  <c r="F60" i="16"/>
  <c r="U58" i="16"/>
  <c r="P58" i="16"/>
  <c r="K41" i="16" l="1"/>
  <c r="O58" i="16"/>
  <c r="H59" i="16"/>
  <c r="T59" i="16" s="1"/>
  <c r="T60" i="16" s="1"/>
  <c r="V59" i="16" l="1"/>
  <c r="T61" i="16"/>
  <c r="T62" i="16" s="1"/>
  <c r="M41" i="16"/>
  <c r="Q41" i="16"/>
  <c r="W59" i="16"/>
  <c r="U59" i="16"/>
  <c r="U60" i="16" s="1"/>
  <c r="H60" i="16"/>
  <c r="I12" i="16" s="1"/>
  <c r="G59" i="16"/>
  <c r="G60" i="16" s="1"/>
  <c r="I11" i="16" s="1"/>
  <c r="I16" i="16" l="1"/>
  <c r="W66" i="16"/>
  <c r="L41" i="16"/>
  <c r="F5" i="16"/>
  <c r="N59" i="16"/>
  <c r="F16" i="16"/>
  <c r="K42" i="16" l="1"/>
  <c r="N60" i="16"/>
  <c r="P59" i="16"/>
  <c r="O59" i="16" s="1"/>
  <c r="O60" i="16" s="1"/>
  <c r="N61" i="16" l="1"/>
  <c r="N62" i="16" s="1"/>
  <c r="M42" i="16"/>
  <c r="L42" i="16" s="1"/>
  <c r="Q42" i="16"/>
  <c r="K43" i="16" l="1"/>
  <c r="M43" i="16" l="1"/>
  <c r="Q43" i="16"/>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F9" i="16" s="1"/>
  <c r="F11" i="16" s="1"/>
  <c r="F14" i="16" s="1"/>
  <c r="L59" i="16"/>
  <c r="L60" i="16" s="1"/>
  <c r="F29" i="15" l="1"/>
  <c r="H29" i="15" s="1"/>
  <c r="I21" i="15"/>
  <c r="F30" i="15" l="1"/>
  <c r="G29" i="15"/>
  <c r="W29" i="15" l="1"/>
  <c r="V29" i="15"/>
  <c r="F31" i="15"/>
  <c r="N29" i="15"/>
  <c r="U29" i="15" l="1"/>
  <c r="H30" i="15" s="1"/>
  <c r="G30" i="15" s="1"/>
  <c r="P29" i="15"/>
  <c r="T30" i="15" l="1"/>
  <c r="O29" i="15"/>
  <c r="W30" i="15" l="1"/>
  <c r="V30" i="15"/>
  <c r="U30" i="15" s="1"/>
  <c r="H31" i="15" s="1"/>
  <c r="G31" i="15" s="1"/>
  <c r="F32" i="15"/>
  <c r="N30" i="15"/>
  <c r="T31" i="15" l="1"/>
  <c r="P30" i="15"/>
  <c r="W31" i="15" l="1"/>
  <c r="V31" i="15"/>
  <c r="U31" i="15" s="1"/>
  <c r="H32" i="15" s="1"/>
  <c r="O30" i="15"/>
  <c r="T32" i="15" l="1"/>
  <c r="G32" i="15"/>
  <c r="F33" i="15"/>
  <c r="N31" i="15"/>
  <c r="V32" i="15" l="1"/>
  <c r="U32" i="15" s="1"/>
  <c r="H33" i="15" s="1"/>
  <c r="W32" i="15"/>
  <c r="P31" i="15"/>
  <c r="T33" i="15" l="1"/>
  <c r="F34" i="15"/>
  <c r="G33" i="15"/>
  <c r="O31" i="15"/>
  <c r="V33" i="15" l="1"/>
  <c r="U33" i="15" s="1"/>
  <c r="W33" i="15"/>
  <c r="N32" i="15"/>
  <c r="H34" i="15" l="1"/>
  <c r="T34" i="15" s="1"/>
  <c r="P32" i="15"/>
  <c r="V34" i="15" l="1"/>
  <c r="W34" i="15"/>
  <c r="G34" i="15"/>
  <c r="F35" i="15"/>
  <c r="O32" i="15"/>
  <c r="U34" i="15" l="1"/>
  <c r="N33" i="15"/>
  <c r="H35" i="15" l="1"/>
  <c r="T35" i="15"/>
  <c r="W35" i="15" s="1"/>
  <c r="F36" i="15"/>
  <c r="G35" i="15"/>
  <c r="P33" i="15"/>
  <c r="V35" i="15" l="1"/>
  <c r="U35" i="15" s="1"/>
  <c r="H36" i="15" s="1"/>
  <c r="G36" i="15" s="1"/>
  <c r="F37" i="15"/>
  <c r="O33" i="15"/>
  <c r="N34" i="15" l="1"/>
  <c r="F38" i="15" l="1"/>
  <c r="P34" i="15"/>
  <c r="O34" i="15" l="1"/>
  <c r="N35" i="15" s="1"/>
  <c r="P35" i="15" s="1"/>
  <c r="O35" i="15" l="1"/>
  <c r="N36" i="15" s="1"/>
  <c r="F39" i="15" l="1"/>
  <c r="P36" i="15"/>
  <c r="O36" i="15" l="1"/>
  <c r="F40" i="15" l="1"/>
  <c r="F41" i="15" l="1"/>
  <c r="F42" i="15" l="1"/>
  <c r="F43" i="15" l="1"/>
  <c r="F44" i="15" l="1"/>
  <c r="F45" i="15" l="1"/>
  <c r="F46" i="15" l="1"/>
  <c r="F47" i="15" l="1"/>
  <c r="F48" i="15" l="1"/>
  <c r="F49" i="15" l="1"/>
  <c r="F50" i="15" l="1"/>
  <c r="F51" i="15" l="1"/>
  <c r="F52" i="15" l="1"/>
  <c r="F53" i="15" l="1"/>
  <c r="M29" i="15" l="1"/>
  <c r="L29" i="15" s="1"/>
  <c r="K30" i="15" s="1"/>
  <c r="Q29" i="15"/>
  <c r="M30" i="15" l="1"/>
  <c r="L30" i="15" s="1"/>
  <c r="K31" i="15" s="1"/>
  <c r="Q30" i="15"/>
  <c r="F54" i="15"/>
  <c r="Q31" i="15" l="1"/>
  <c r="M31" i="15"/>
  <c r="L31" i="15" s="1"/>
  <c r="K32" i="15" s="1"/>
  <c r="Q32" i="15" l="1"/>
  <c r="M32" i="15"/>
  <c r="L32" i="15" s="1"/>
  <c r="K33" i="15" s="1"/>
  <c r="M33" i="15" l="1"/>
  <c r="L33" i="15" s="1"/>
  <c r="K34" i="15" s="1"/>
  <c r="Q33" i="15"/>
  <c r="F55" i="15"/>
  <c r="M34" i="15" l="1"/>
  <c r="L34" i="15" s="1"/>
  <c r="K35" i="15" s="1"/>
  <c r="Q34" i="15"/>
  <c r="Q35" i="15" l="1"/>
  <c r="M35" i="15"/>
  <c r="L35" i="15" s="1"/>
  <c r="K36" i="15" s="1"/>
  <c r="F56" i="15" l="1"/>
  <c r="Q36" i="15"/>
  <c r="M36" i="15"/>
  <c r="L36" i="15" s="1"/>
  <c r="K37" i="15" s="1"/>
  <c r="M37" i="15" l="1"/>
  <c r="L37" i="15" s="1"/>
  <c r="K38" i="15" s="1"/>
  <c r="M38" i="15" l="1"/>
  <c r="L38" i="15" s="1"/>
  <c r="K39" i="15" s="1"/>
  <c r="F57" i="15" l="1"/>
  <c r="M39" i="15"/>
  <c r="L39" i="15" s="1"/>
  <c r="K40" i="15" s="1"/>
  <c r="M40" i="15" l="1"/>
  <c r="L40" i="15" s="1"/>
  <c r="K41" i="15" s="1"/>
  <c r="M41" i="15" l="1"/>
  <c r="L41" i="15" s="1"/>
  <c r="K42" i="15" s="1"/>
  <c r="F58" i="15" l="1"/>
  <c r="M42" i="15"/>
  <c r="L42" i="15" s="1"/>
  <c r="K43" i="15" s="1"/>
  <c r="M43" i="15" l="1"/>
  <c r="L43" i="15" s="1"/>
  <c r="K44" i="15" s="1"/>
  <c r="M74" i="15"/>
  <c r="M75" i="15" s="1"/>
  <c r="F59" i="15"/>
  <c r="M44" i="15" l="1"/>
  <c r="L44" i="15" s="1"/>
  <c r="K45" i="15" s="1"/>
  <c r="M45" i="15" l="1"/>
  <c r="L45" i="15" s="1"/>
  <c r="K46" i="15" s="1"/>
  <c r="M46" i="15" l="1"/>
  <c r="L46" i="15" s="1"/>
  <c r="K47" i="15" s="1"/>
  <c r="M47" i="15" l="1"/>
  <c r="L47" i="15" s="1"/>
  <c r="K48" i="15" s="1"/>
  <c r="M48" i="15" l="1"/>
  <c r="L48" i="15" s="1"/>
  <c r="K49" i="15" s="1"/>
  <c r="M49" i="15" l="1"/>
  <c r="L49" i="15" s="1"/>
  <c r="K50" i="15" s="1"/>
  <c r="M50" i="15" l="1"/>
  <c r="L50" i="15" s="1"/>
  <c r="K51" i="15" s="1"/>
  <c r="M51" i="15" l="1"/>
  <c r="L51" i="15" s="1"/>
  <c r="K52" i="15" s="1"/>
  <c r="M52" i="15" l="1"/>
  <c r="L52" i="15" s="1"/>
  <c r="K53" i="15" s="1"/>
  <c r="K59" i="15" s="1"/>
  <c r="M53" i="15" l="1"/>
  <c r="L53" i="15" s="1"/>
  <c r="K54" i="15" s="1"/>
  <c r="M54" i="15" l="1"/>
  <c r="L54" i="15" s="1"/>
  <c r="K55" i="15" s="1"/>
  <c r="M55" i="15" l="1"/>
  <c r="L55" i="15" s="1"/>
  <c r="K56" i="15" s="1"/>
  <c r="M56" i="15" l="1"/>
  <c r="L56" i="15" s="1"/>
  <c r="K57" i="15" s="1"/>
  <c r="M57" i="15" l="1"/>
  <c r="J74" i="15"/>
  <c r="J75" i="15" s="1"/>
  <c r="J76" i="15" s="1"/>
  <c r="L74" i="15" s="1"/>
  <c r="L57" i="15" l="1"/>
  <c r="K58" i="15" s="1"/>
  <c r="T36" i="15"/>
  <c r="M58" i="15"/>
  <c r="K60" i="15"/>
  <c r="K61" i="15" s="1"/>
  <c r="W36" i="15" l="1"/>
  <c r="V36" i="15"/>
  <c r="U36" i="15" s="1"/>
  <c r="H37" i="15" s="1"/>
  <c r="T37" i="15" s="1"/>
  <c r="I15" i="15"/>
  <c r="L58" i="15"/>
  <c r="L59" i="15" s="1"/>
  <c r="V37" i="15" l="1"/>
  <c r="U37" i="15" s="1"/>
  <c r="H38" i="15" s="1"/>
  <c r="G38" i="15" s="1"/>
  <c r="W37" i="15"/>
  <c r="G37" i="15"/>
  <c r="T38" i="15" l="1"/>
  <c r="N37" i="15"/>
  <c r="V38" i="15"/>
  <c r="U38" i="15" s="1"/>
  <c r="H39" i="15" s="1"/>
  <c r="T39" i="15" s="1"/>
  <c r="W38" i="15"/>
  <c r="V39" i="15" l="1"/>
  <c r="U39" i="15" s="1"/>
  <c r="H40" i="15" s="1"/>
  <c r="G40" i="15" s="1"/>
  <c r="W39" i="15"/>
  <c r="T40" i="15"/>
  <c r="G39" i="15"/>
  <c r="P37" i="15"/>
  <c r="Q37" i="15"/>
  <c r="O37" i="15" l="1"/>
  <c r="N38" i="15" s="1"/>
  <c r="P38" i="15"/>
  <c r="V40" i="15"/>
  <c r="U40" i="15" s="1"/>
  <c r="H41" i="15" s="1"/>
  <c r="W40" i="15"/>
  <c r="T41" i="15" l="1"/>
  <c r="G41" i="15"/>
  <c r="O38" i="15"/>
  <c r="N39" i="15" s="1"/>
  <c r="Q38" i="15"/>
  <c r="Q39" i="15" l="1"/>
  <c r="P39" i="15"/>
  <c r="O39" i="15" s="1"/>
  <c r="N40" i="15" s="1"/>
  <c r="V41" i="15"/>
  <c r="U41" i="15" s="1"/>
  <c r="H42" i="15" s="1"/>
  <c r="W41" i="15"/>
  <c r="T42" i="15" l="1"/>
  <c r="G42" i="15"/>
  <c r="P40" i="15"/>
  <c r="O40" i="15" s="1"/>
  <c r="N41" i="15" s="1"/>
  <c r="Q40" i="15"/>
  <c r="P41" i="15" l="1"/>
  <c r="O41" i="15" s="1"/>
  <c r="Q41" i="15"/>
  <c r="N42" i="15"/>
  <c r="V42" i="15"/>
  <c r="W42" i="15"/>
  <c r="U42" i="15" l="1"/>
  <c r="H43" i="15" s="1"/>
  <c r="P42" i="15"/>
  <c r="Q42" i="15"/>
  <c r="O42" i="15" l="1"/>
  <c r="T43" i="15"/>
  <c r="G43" i="15"/>
  <c r="N43" i="15" s="1"/>
  <c r="Q43" i="15" s="1"/>
  <c r="W43" i="15" l="1"/>
  <c r="V43" i="15"/>
  <c r="P43" i="15"/>
  <c r="U43" i="15" l="1"/>
  <c r="O43" i="15"/>
  <c r="H44" i="15" l="1"/>
  <c r="G44" i="15" s="1"/>
  <c r="N44" i="15" s="1"/>
  <c r="T44" i="15"/>
  <c r="Q44" i="15" l="1"/>
  <c r="P44" i="15"/>
  <c r="W44" i="15"/>
  <c r="V44" i="15"/>
  <c r="U44" i="15" l="1"/>
  <c r="O44" i="15"/>
  <c r="H45" i="15" l="1"/>
  <c r="G45" i="15" s="1"/>
  <c r="N45" i="15" s="1"/>
  <c r="T45" i="15" l="1"/>
  <c r="Q45" i="15"/>
  <c r="P45" i="15"/>
  <c r="O45" i="15" s="1"/>
  <c r="W45" i="15"/>
  <c r="V45" i="15"/>
  <c r="U45" i="15" l="1"/>
  <c r="H46" i="15" l="1"/>
  <c r="G46" i="15" s="1"/>
  <c r="N46" i="15" s="1"/>
  <c r="T46" i="15" l="1"/>
  <c r="W46" i="15"/>
  <c r="V46" i="15"/>
  <c r="P46" i="15"/>
  <c r="Q46" i="15"/>
  <c r="O46" i="15" l="1"/>
  <c r="U46" i="15"/>
  <c r="H47" i="15" l="1"/>
  <c r="G47" i="15" s="1"/>
  <c r="N47" i="15" s="1"/>
  <c r="T47" i="15" l="1"/>
  <c r="W47" i="15"/>
  <c r="V47" i="15"/>
  <c r="U47" i="15" s="1"/>
  <c r="H48" i="15" s="1"/>
  <c r="G48" i="15" s="1"/>
  <c r="Q47" i="15"/>
  <c r="P47" i="15"/>
  <c r="O47" i="15" l="1"/>
  <c r="N48" i="15"/>
  <c r="Q48" i="15" s="1"/>
  <c r="T48" i="15"/>
  <c r="P48" i="15" l="1"/>
  <c r="O48" i="15"/>
  <c r="V48" i="15"/>
  <c r="U48" i="15" s="1"/>
  <c r="H49" i="15" s="1"/>
  <c r="G49" i="15" s="1"/>
  <c r="N49" i="15" s="1"/>
  <c r="Q49" i="15" s="1"/>
  <c r="W48" i="15"/>
  <c r="T49" i="15" l="1"/>
  <c r="V49" i="15"/>
  <c r="U49" i="15" s="1"/>
  <c r="H50" i="15" s="1"/>
  <c r="G50" i="15" s="1"/>
  <c r="W49" i="15"/>
  <c r="P49" i="15"/>
  <c r="O49" i="15" s="1"/>
  <c r="T50" i="15" l="1"/>
  <c r="V50" i="15" s="1"/>
  <c r="U50" i="15" s="1"/>
  <c r="H51" i="15" s="1"/>
  <c r="G51" i="15" s="1"/>
  <c r="N50" i="15"/>
  <c r="W50" i="15" l="1"/>
  <c r="T51" i="15"/>
  <c r="P50" i="15"/>
  <c r="Q50" i="15"/>
  <c r="V51" i="15"/>
  <c r="W51" i="15"/>
  <c r="U51" i="15" l="1"/>
  <c r="O50" i="15"/>
  <c r="N51" i="15" s="1"/>
  <c r="Q51" i="15" s="1"/>
  <c r="P51" i="15" l="1"/>
  <c r="O51" i="15" s="1"/>
  <c r="H52" i="15"/>
  <c r="G52" i="15" s="1"/>
  <c r="N52" i="15" l="1"/>
  <c r="Q52" i="15" s="1"/>
  <c r="T52" i="15"/>
  <c r="W52" i="15" s="1"/>
  <c r="V52" i="15"/>
  <c r="P52" i="15"/>
  <c r="O52" i="15" l="1"/>
  <c r="U52" i="15"/>
  <c r="H53" i="15" l="1"/>
  <c r="G53" i="15" s="1"/>
  <c r="N53" i="15" s="1"/>
  <c r="T53" i="15"/>
  <c r="W53" i="15" l="1"/>
  <c r="V53" i="15"/>
  <c r="Q53" i="15"/>
  <c r="P53" i="15"/>
  <c r="O53" i="15" l="1"/>
  <c r="U53" i="15"/>
  <c r="H54" i="15" l="1"/>
  <c r="G54" i="15" s="1"/>
  <c r="N54" i="15" s="1"/>
  <c r="T54" i="15"/>
  <c r="W54" i="15" l="1"/>
  <c r="V54" i="15"/>
  <c r="Q54" i="15"/>
  <c r="P54" i="15"/>
  <c r="O54" i="15" l="1"/>
  <c r="U54" i="15"/>
  <c r="H55" i="15" l="1"/>
  <c r="G55" i="15" s="1"/>
  <c r="N55" i="15" s="1"/>
  <c r="T55" i="15" l="1"/>
  <c r="W55" i="15"/>
  <c r="V55" i="15"/>
  <c r="Q55" i="15"/>
  <c r="P55" i="15"/>
  <c r="O55" i="15" l="1"/>
  <c r="U55" i="15"/>
  <c r="H56" i="15" l="1"/>
  <c r="G56" i="15" s="1"/>
  <c r="N56" i="15" s="1"/>
  <c r="T56" i="15" l="1"/>
  <c r="W56" i="15" s="1"/>
  <c r="V56" i="15"/>
  <c r="Q56" i="15"/>
  <c r="P56" i="15"/>
  <c r="O56" i="15" l="1"/>
  <c r="U56" i="15"/>
  <c r="H57" i="15" l="1"/>
  <c r="G57" i="15" s="1"/>
  <c r="N57" i="15" s="1"/>
  <c r="T57" i="15"/>
  <c r="W57" i="15" l="1"/>
  <c r="V57" i="15"/>
  <c r="Q57" i="15"/>
  <c r="P57" i="15"/>
  <c r="O57" i="15" l="1"/>
  <c r="U57" i="15"/>
  <c r="H58" i="15" l="1"/>
  <c r="G58" i="15" l="1"/>
  <c r="H59" i="15"/>
  <c r="I12" i="15" s="1"/>
  <c r="T58" i="15"/>
  <c r="T59" i="15" l="1"/>
  <c r="T60" i="15" s="1"/>
  <c r="T61" i="15" s="1"/>
  <c r="W58" i="15"/>
  <c r="V58" i="15"/>
  <c r="U58" i="15" s="1"/>
  <c r="U59" i="15" s="1"/>
  <c r="G59" i="15"/>
  <c r="I11" i="15" s="1"/>
  <c r="N58" i="15"/>
  <c r="Q58" i="15" l="1"/>
  <c r="N59" i="15"/>
  <c r="N60" i="15" s="1"/>
  <c r="N61" i="15" s="1"/>
  <c r="P58" i="15"/>
  <c r="O58" i="15" s="1"/>
  <c r="O59" i="15" s="1"/>
  <c r="F5" i="15"/>
  <c r="I19" i="13"/>
  <c r="T66" i="15"/>
  <c r="F16" i="15" l="1"/>
  <c r="F9" i="15"/>
  <c r="F11" i="15" s="1"/>
  <c r="F14" i="15" s="1"/>
  <c r="I21" i="13"/>
  <c r="F29" i="13"/>
  <c r="F31" i="13"/>
  <c r="F32" i="13"/>
  <c r="F33" i="13"/>
  <c r="F34" i="13"/>
  <c r="F35" i="13"/>
  <c r="F36" i="13"/>
  <c r="F37" i="13"/>
  <c r="F38" i="13"/>
  <c r="F39" i="13"/>
  <c r="F40" i="13"/>
  <c r="F41" i="13"/>
  <c r="F42" i="13"/>
  <c r="F44" i="13"/>
  <c r="F45" i="13"/>
  <c r="F46" i="13"/>
  <c r="F47" i="13"/>
  <c r="F48" i="13"/>
  <c r="F49" i="13"/>
  <c r="F50" i="13"/>
  <c r="F51" i="13" s="1"/>
  <c r="F52" i="13"/>
  <c r="F53" i="13"/>
  <c r="F54" i="13"/>
  <c r="F55" i="13"/>
  <c r="F56" i="13"/>
  <c r="F57" i="13"/>
  <c r="F58" i="13"/>
  <c r="F59" i="13"/>
  <c r="F30" i="13" l="1"/>
  <c r="G29" i="13"/>
  <c r="N29" i="13" s="1"/>
  <c r="F43" i="13"/>
  <c r="K44" i="13" s="1"/>
  <c r="K48" i="13" l="1"/>
  <c r="K47" i="13"/>
  <c r="K34" i="13"/>
  <c r="M34" i="13" s="1"/>
  <c r="K56" i="13"/>
  <c r="K37" i="13"/>
  <c r="K50" i="13"/>
  <c r="K45" i="13"/>
  <c r="K35" i="13"/>
  <c r="M35" i="13" s="1"/>
  <c r="K40" i="13"/>
  <c r="K53" i="13"/>
  <c r="K43" i="13"/>
  <c r="K51" i="13"/>
  <c r="K46" i="13"/>
  <c r="K49" i="13"/>
  <c r="K59" i="13"/>
  <c r="K41" i="13"/>
  <c r="K55" i="13"/>
  <c r="K57" i="13"/>
  <c r="K36" i="13"/>
  <c r="K32" i="13"/>
  <c r="M32" i="13" s="1"/>
  <c r="K39" i="13"/>
  <c r="K52" i="13"/>
  <c r="K38" i="13"/>
  <c r="K31" i="13"/>
  <c r="M31" i="13" s="1"/>
  <c r="K42" i="13"/>
  <c r="K54" i="13"/>
  <c r="K33" i="13"/>
  <c r="M33" i="13" s="1"/>
  <c r="K58" i="13"/>
  <c r="K30" i="13"/>
  <c r="M30" i="13" s="1"/>
  <c r="L30" i="13" s="1"/>
  <c r="P29" i="13"/>
  <c r="Q29" i="13"/>
  <c r="H30" i="13"/>
  <c r="T30" i="13" s="1"/>
  <c r="F60" i="13"/>
  <c r="V30" i="13" l="1"/>
  <c r="L33" i="13"/>
  <c r="L34" i="13"/>
  <c r="L35" i="13"/>
  <c r="M36" i="13" s="1"/>
  <c r="L36" i="13" s="1"/>
  <c r="M37" i="13" s="1"/>
  <c r="L37" i="13" s="1"/>
  <c r="M38" i="13" s="1"/>
  <c r="L38" i="13" s="1"/>
  <c r="M39" i="13" s="1"/>
  <c r="L39" i="13" s="1"/>
  <c r="M40" i="13" s="1"/>
  <c r="L40" i="13" s="1"/>
  <c r="M41" i="13" s="1"/>
  <c r="L41" i="13" s="1"/>
  <c r="M42" i="13" s="1"/>
  <c r="L42" i="13" s="1"/>
  <c r="M43" i="13" s="1"/>
  <c r="L43" i="13" s="1"/>
  <c r="M44" i="13" s="1"/>
  <c r="L44" i="13" s="1"/>
  <c r="M45" i="13" s="1"/>
  <c r="L45" i="13" s="1"/>
  <c r="M46" i="13" s="1"/>
  <c r="L46" i="13" s="1"/>
  <c r="M47" i="13" s="1"/>
  <c r="L47" i="13" s="1"/>
  <c r="M48" i="13" s="1"/>
  <c r="L48" i="13" s="1"/>
  <c r="M49" i="13" s="1"/>
  <c r="L49" i="13" s="1"/>
  <c r="M50" i="13" s="1"/>
  <c r="L50" i="13" s="1"/>
  <c r="M51" i="13" s="1"/>
  <c r="L51" i="13" s="1"/>
  <c r="M52" i="13" s="1"/>
  <c r="L52" i="13" s="1"/>
  <c r="M53" i="13" s="1"/>
  <c r="L53" i="13" s="1"/>
  <c r="M54" i="13" s="1"/>
  <c r="L54" i="13" s="1"/>
  <c r="M55" i="13" s="1"/>
  <c r="L55" i="13" s="1"/>
  <c r="M56" i="13" s="1"/>
  <c r="L56" i="13" s="1"/>
  <c r="M57" i="13" s="1"/>
  <c r="G30" i="13"/>
  <c r="L31" i="13"/>
  <c r="O29" i="13"/>
  <c r="W30" i="13"/>
  <c r="L32" i="13"/>
  <c r="N30" i="13" l="1"/>
  <c r="U30" i="13"/>
  <c r="L57" i="13"/>
  <c r="M58" i="13" s="1"/>
  <c r="Q30" i="13" l="1"/>
  <c r="P30" i="13"/>
  <c r="O30" i="13" s="1"/>
  <c r="H31" i="13"/>
  <c r="G31" i="13" s="1"/>
  <c r="L58" i="13"/>
  <c r="N31" i="13" l="1"/>
  <c r="T31" i="13"/>
  <c r="P31" i="13"/>
  <c r="O31" i="13" s="1"/>
  <c r="Q31" i="13"/>
  <c r="K60" i="13"/>
  <c r="V31" i="13" l="1"/>
  <c r="W31" i="13"/>
  <c r="M59" i="13"/>
  <c r="L59" i="13" s="1"/>
  <c r="K61" i="13"/>
  <c r="K62" i="13" s="1"/>
  <c r="U31" i="13" l="1"/>
  <c r="H32" i="13" s="1"/>
  <c r="L60" i="13"/>
  <c r="T32" i="13" l="1"/>
  <c r="G32" i="13"/>
  <c r="N32" i="13" s="1"/>
  <c r="V32" i="13" l="1"/>
  <c r="P32" i="13"/>
  <c r="O32" i="13" s="1"/>
  <c r="Q32" i="13"/>
  <c r="W32" i="13"/>
  <c r="U32" i="13" l="1"/>
  <c r="H33" i="13" l="1"/>
  <c r="G33" i="13" s="1"/>
  <c r="N33" i="13" s="1"/>
  <c r="T33" i="13" l="1"/>
  <c r="P33" i="13"/>
  <c r="O33" i="13" s="1"/>
  <c r="Q33" i="13"/>
  <c r="V33" i="13" l="1"/>
  <c r="W33" i="13"/>
  <c r="U33" i="13" l="1"/>
  <c r="H34" i="13" l="1"/>
  <c r="G34" i="13" s="1"/>
  <c r="N34" i="13" s="1"/>
  <c r="T34" i="13" l="1"/>
  <c r="W34" i="13"/>
  <c r="P34" i="13"/>
  <c r="O34" i="13" s="1"/>
  <c r="Q34" i="13"/>
  <c r="V34" i="13" l="1"/>
  <c r="U34" i="13"/>
  <c r="H35" i="13" l="1"/>
  <c r="G35" i="13" s="1"/>
  <c r="N35" i="13" s="1"/>
  <c r="T35" i="13" l="1"/>
  <c r="V35" i="13" s="1"/>
  <c r="P35" i="13"/>
  <c r="O35" i="13" s="1"/>
  <c r="Q35" i="13"/>
  <c r="W35" i="13" l="1"/>
  <c r="U35" i="13"/>
  <c r="H36" i="13" l="1"/>
  <c r="G36" i="13" s="1"/>
  <c r="N36" i="13" s="1"/>
  <c r="T36" i="13" l="1"/>
  <c r="V36" i="13" s="1"/>
  <c r="W36" i="13"/>
  <c r="P36" i="13"/>
  <c r="O36" i="13" s="1"/>
  <c r="Q36" i="13"/>
  <c r="U36" i="13" l="1"/>
  <c r="H37" i="13" l="1"/>
  <c r="G37" i="13" s="1"/>
  <c r="N37" i="13" s="1"/>
  <c r="T37" i="13" l="1"/>
  <c r="V37" i="13" s="1"/>
  <c r="W37" i="13"/>
  <c r="P37" i="13"/>
  <c r="O37" i="13" s="1"/>
  <c r="Q37" i="13"/>
  <c r="U37" i="13" l="1"/>
  <c r="H38" i="13" l="1"/>
  <c r="G38" i="13" s="1"/>
  <c r="N38" i="13" s="1"/>
  <c r="T38" i="13" l="1"/>
  <c r="V38" i="13" s="1"/>
  <c r="P38" i="13"/>
  <c r="O38" i="13" s="1"/>
  <c r="Q38" i="13"/>
  <c r="W38" i="13" l="1"/>
  <c r="U38" i="13"/>
  <c r="H39" i="13" l="1"/>
  <c r="G39" i="13" s="1"/>
  <c r="N39" i="13" s="1"/>
  <c r="T39" i="13" l="1"/>
  <c r="V39" i="13" s="1"/>
  <c r="W39" i="13"/>
  <c r="P39" i="13"/>
  <c r="O39" i="13" s="1"/>
  <c r="Q39" i="13"/>
  <c r="U39" i="13" l="1"/>
  <c r="H40" i="13" l="1"/>
  <c r="G40" i="13" s="1"/>
  <c r="N40" i="13" s="1"/>
  <c r="T40" i="13" l="1"/>
  <c r="V40" i="13" s="1"/>
  <c r="P40" i="13"/>
  <c r="O40" i="13" s="1"/>
  <c r="Q40" i="13"/>
  <c r="W40" i="13" l="1"/>
  <c r="U40" i="13"/>
  <c r="H41" i="13" l="1"/>
  <c r="G41" i="13" s="1"/>
  <c r="N41" i="13" s="1"/>
  <c r="T41" i="13" l="1"/>
  <c r="V41" i="13" s="1"/>
  <c r="W41" i="13"/>
  <c r="P41" i="13"/>
  <c r="O41" i="13" s="1"/>
  <c r="Q41" i="13"/>
  <c r="U41" i="13" l="1"/>
  <c r="H42" i="13" l="1"/>
  <c r="T42" i="13" s="1"/>
  <c r="V42" i="13" s="1"/>
  <c r="W42" i="13" l="1"/>
  <c r="G42" i="13"/>
  <c r="N42" i="13" l="1"/>
  <c r="U42" i="13"/>
  <c r="H43" i="13" l="1"/>
  <c r="T43" i="13" s="1"/>
  <c r="V43" i="13" s="1"/>
  <c r="P42" i="13"/>
  <c r="O42" i="13" s="1"/>
  <c r="Q42" i="13"/>
  <c r="W43" i="13" l="1"/>
  <c r="G43" i="13"/>
  <c r="N43" i="13" l="1"/>
  <c r="U43" i="13"/>
  <c r="H44" i="13" l="1"/>
  <c r="T44" i="13" s="1"/>
  <c r="V44" i="13" s="1"/>
  <c r="P43" i="13"/>
  <c r="Q43" i="13"/>
  <c r="W44" i="13" l="1"/>
  <c r="O43" i="13"/>
  <c r="G44" i="13"/>
  <c r="N44" i="13" l="1"/>
  <c r="U44" i="13"/>
  <c r="H45" i="13" l="1"/>
  <c r="T45" i="13" s="1"/>
  <c r="V45" i="13" s="1"/>
  <c r="Q44" i="13"/>
  <c r="P44" i="13"/>
  <c r="O44" i="13" l="1"/>
  <c r="W45" i="13"/>
  <c r="G45" i="13"/>
  <c r="U45" i="13" l="1"/>
  <c r="N45" i="13"/>
  <c r="Q45" i="13" l="1"/>
  <c r="P45" i="13"/>
  <c r="H46" i="13"/>
  <c r="T46" i="13" s="1"/>
  <c r="V46" i="13" s="1"/>
  <c r="W46" i="13" l="1"/>
  <c r="O45" i="13"/>
  <c r="G46" i="13"/>
  <c r="N46" i="13" l="1"/>
  <c r="U46" i="13"/>
  <c r="H47" i="13" l="1"/>
  <c r="G47" i="13" s="1"/>
  <c r="Q46" i="13"/>
  <c r="P46" i="13"/>
  <c r="T47" i="13" l="1"/>
  <c r="V47" i="13" s="1"/>
  <c r="O46" i="13"/>
  <c r="W47" i="13"/>
  <c r="N47" i="13"/>
  <c r="Q47" i="13" s="1"/>
  <c r="U47" i="13" l="1"/>
  <c r="P47" i="13"/>
  <c r="O47" i="13" l="1"/>
  <c r="H48" i="13"/>
  <c r="G48" i="13" s="1"/>
  <c r="N48" i="13" s="1"/>
  <c r="Q48" i="13" s="1"/>
  <c r="T48" i="13" l="1"/>
  <c r="V48" i="13" s="1"/>
  <c r="W48" i="13"/>
  <c r="P48" i="13"/>
  <c r="O48" i="13" l="1"/>
  <c r="U48" i="13"/>
  <c r="H49" i="13" l="1"/>
  <c r="G49" i="13" s="1"/>
  <c r="N49" i="13" s="1"/>
  <c r="T49" i="13" l="1"/>
  <c r="V49" i="13" s="1"/>
  <c r="Q49" i="13"/>
  <c r="P49" i="13"/>
  <c r="W49" i="13" l="1"/>
  <c r="U49" i="13"/>
  <c r="O49" i="13"/>
  <c r="H50" i="13" l="1"/>
  <c r="G50" i="13" s="1"/>
  <c r="N50" i="13" s="1"/>
  <c r="T50" i="13" l="1"/>
  <c r="V50" i="13" s="1"/>
  <c r="Q50" i="13"/>
  <c r="P50" i="13"/>
  <c r="O50" i="13" l="1"/>
  <c r="W50" i="13"/>
  <c r="U50" i="13" l="1"/>
  <c r="H51" i="13" l="1"/>
  <c r="G51" i="13" s="1"/>
  <c r="N51" i="13" s="1"/>
  <c r="T51" i="13" l="1"/>
  <c r="V51" i="13" s="1"/>
  <c r="Q51" i="13"/>
  <c r="P51" i="13"/>
  <c r="O51" i="13" l="1"/>
  <c r="W51" i="13"/>
  <c r="U51" i="13" l="1"/>
  <c r="H52" i="13" l="1"/>
  <c r="G52" i="13" s="1"/>
  <c r="N52" i="13" s="1"/>
  <c r="T52" i="13" l="1"/>
  <c r="Q52" i="13"/>
  <c r="P52" i="13"/>
  <c r="V52" i="13" l="1"/>
  <c r="O52" i="13"/>
  <c r="W52" i="13"/>
  <c r="U52" i="13" l="1"/>
  <c r="H53" i="13" l="1"/>
  <c r="G53" i="13" s="1"/>
  <c r="N53" i="13" s="1"/>
  <c r="T53" i="13" l="1"/>
  <c r="Q53" i="13"/>
  <c r="P53" i="13"/>
  <c r="V53" i="13" l="1"/>
  <c r="W53" i="13"/>
  <c r="O53" i="13"/>
  <c r="U53" i="13"/>
  <c r="H54" i="13" l="1"/>
  <c r="G54" i="13" s="1"/>
  <c r="N54" i="13" s="1"/>
  <c r="T54" i="13" l="1"/>
  <c r="Q54" i="13"/>
  <c r="P54" i="13"/>
  <c r="W54" i="13" l="1"/>
  <c r="V54" i="13"/>
  <c r="U54" i="13" s="1"/>
  <c r="O54" i="13"/>
  <c r="H55" i="13" l="1"/>
  <c r="G55" i="13" s="1"/>
  <c r="N55" i="13" s="1"/>
  <c r="T55" i="13" l="1"/>
  <c r="W55" i="13"/>
  <c r="Q55" i="13"/>
  <c r="P55" i="13"/>
  <c r="V55" i="13" l="1"/>
  <c r="O55" i="13"/>
  <c r="U55" i="13"/>
  <c r="H56" i="13" l="1"/>
  <c r="G56" i="13" s="1"/>
  <c r="N56" i="13" s="1"/>
  <c r="T56" i="13" l="1"/>
  <c r="Q56" i="13"/>
  <c r="P56" i="13"/>
  <c r="W56" i="13" l="1"/>
  <c r="V56" i="13"/>
  <c r="O56" i="13"/>
  <c r="U56" i="13"/>
  <c r="H57" i="13" l="1"/>
  <c r="G57" i="13" s="1"/>
  <c r="N57" i="13" s="1"/>
  <c r="T57" i="13" l="1"/>
  <c r="V57" i="13" s="1"/>
  <c r="W57" i="13"/>
  <c r="Q57" i="13"/>
  <c r="P57" i="13"/>
  <c r="O57" i="13" l="1"/>
  <c r="U57" i="13"/>
  <c r="H58" i="13" l="1"/>
  <c r="G58" i="13" s="1"/>
  <c r="N58" i="13" s="1"/>
  <c r="Q58" i="13" l="1"/>
  <c r="P58" i="13"/>
  <c r="T58" i="13"/>
  <c r="V58" i="13" s="1"/>
  <c r="O58" i="13" l="1"/>
  <c r="W58" i="13"/>
  <c r="U58" i="13" l="1"/>
  <c r="H59" i="13" s="1"/>
  <c r="T59" i="13" l="1"/>
  <c r="T60" i="13" s="1"/>
  <c r="G59" i="13"/>
  <c r="H60" i="13"/>
  <c r="I12" i="13" s="1"/>
  <c r="V59" i="13" l="1"/>
  <c r="G60" i="13"/>
  <c r="I11" i="13" s="1"/>
  <c r="N59" i="13"/>
  <c r="W59" i="13"/>
  <c r="T61" i="13"/>
  <c r="U59" i="13"/>
  <c r="U60" i="13" s="1"/>
  <c r="T62" i="13" l="1"/>
  <c r="I16" i="13" s="1"/>
  <c r="Q59" i="13"/>
  <c r="N60" i="13"/>
  <c r="N61" i="13" s="1"/>
  <c r="N62" i="13" s="1"/>
  <c r="L67" i="13" s="1"/>
  <c r="L69" i="13" s="1"/>
  <c r="P59" i="13"/>
  <c r="O59" i="13" s="1"/>
  <c r="O60" i="13" s="1"/>
  <c r="I19" i="14"/>
  <c r="F5" i="13"/>
  <c r="I20" i="14" l="1"/>
  <c r="I21" i="14" s="1"/>
  <c r="F16" i="13"/>
  <c r="F9" i="13"/>
  <c r="F11" i="13" s="1"/>
  <c r="F29" i="14" l="1"/>
  <c r="F14" i="13"/>
  <c r="F4" i="14"/>
  <c r="H29" i="14"/>
  <c r="T29" i="14" s="1"/>
  <c r="F30" i="14" l="1"/>
  <c r="V29" i="14"/>
  <c r="W29" i="14"/>
  <c r="G29" i="14"/>
  <c r="N29" i="14" s="1"/>
  <c r="P29" i="14" s="1"/>
  <c r="O29" i="14" l="1"/>
  <c r="U29" i="14"/>
  <c r="H30" i="14" l="1"/>
  <c r="T30" i="14" s="1"/>
  <c r="G30" i="14" l="1"/>
  <c r="N30" i="14" s="1"/>
  <c r="P30" i="14" s="1"/>
  <c r="F31" i="14"/>
  <c r="W30" i="14"/>
  <c r="V30" i="14"/>
  <c r="O30" i="14" l="1"/>
  <c r="U30" i="14"/>
  <c r="H31" i="14" l="1"/>
  <c r="T31" i="14"/>
  <c r="G31" i="14" l="1"/>
  <c r="N31" i="14" s="1"/>
  <c r="F32" i="14"/>
  <c r="W31" i="14"/>
  <c r="V31" i="14"/>
  <c r="P31" i="14"/>
  <c r="O31" i="14" l="1"/>
  <c r="U31" i="14"/>
  <c r="H32" i="14" l="1"/>
  <c r="T32" i="14" s="1"/>
  <c r="G32" i="14" l="1"/>
  <c r="N32" i="14" s="1"/>
  <c r="P32" i="14" s="1"/>
  <c r="F33" i="14"/>
  <c r="W32" i="14"/>
  <c r="V32" i="14"/>
  <c r="O32" i="14" l="1"/>
  <c r="U32" i="14"/>
  <c r="H33" i="14" l="1"/>
  <c r="T33" i="14" s="1"/>
  <c r="G33" i="14" l="1"/>
  <c r="N33" i="14" s="1"/>
  <c r="F34" i="14"/>
  <c r="W33" i="14"/>
  <c r="V33" i="14"/>
  <c r="P33" i="14"/>
  <c r="O33" i="14" l="1"/>
  <c r="U33" i="14"/>
  <c r="H34" i="14" l="1"/>
  <c r="T34" i="14" s="1"/>
  <c r="G34" i="14" l="1"/>
  <c r="N34" i="14" s="1"/>
  <c r="F35" i="14"/>
  <c r="W34" i="14"/>
  <c r="V34" i="14"/>
  <c r="P34" i="14"/>
  <c r="O34" i="14" l="1"/>
  <c r="U34" i="14"/>
  <c r="H35" i="14" l="1"/>
  <c r="T35" i="14" s="1"/>
  <c r="G35" i="14" l="1"/>
  <c r="N35" i="14" s="1"/>
  <c r="F36" i="14"/>
  <c r="W35" i="14"/>
  <c r="V35" i="14"/>
  <c r="P35" i="14"/>
  <c r="O35" i="14" l="1"/>
  <c r="U35" i="14"/>
  <c r="H36" i="14" l="1"/>
  <c r="G36" i="14" l="1"/>
  <c r="N36" i="14" s="1"/>
  <c r="F37" i="14"/>
  <c r="T36" i="14"/>
  <c r="W36" i="14" s="1"/>
  <c r="P36" i="14"/>
  <c r="V36" i="14" l="1"/>
  <c r="O36" i="14"/>
  <c r="U36" i="14"/>
  <c r="H37" i="14" l="1"/>
  <c r="G37" i="14" l="1"/>
  <c r="N37" i="14" s="1"/>
  <c r="P37" i="14" s="1"/>
  <c r="F38" i="14"/>
  <c r="T37" i="14"/>
  <c r="W37" i="14" s="1"/>
  <c r="V37" i="14" l="1"/>
  <c r="O37" i="14"/>
  <c r="U37" i="14"/>
  <c r="H38" i="14" l="1"/>
  <c r="G38" i="14" l="1"/>
  <c r="N38" i="14" s="1"/>
  <c r="P38" i="14" s="1"/>
  <c r="F39" i="14"/>
  <c r="T38" i="14"/>
  <c r="W38" i="14" s="1"/>
  <c r="V38" i="14" l="1"/>
  <c r="O38" i="14"/>
  <c r="U38" i="14"/>
  <c r="H39" i="14" l="1"/>
  <c r="G39" i="14" l="1"/>
  <c r="N39" i="14" s="1"/>
  <c r="P39" i="14" s="1"/>
  <c r="F40" i="14"/>
  <c r="T39" i="14"/>
  <c r="W39" i="14" s="1"/>
  <c r="V39" i="14" l="1"/>
  <c r="U39" i="14" s="1"/>
  <c r="O39" i="14"/>
  <c r="H40" i="14" l="1"/>
  <c r="T40" i="14" s="1"/>
  <c r="G40" i="14" l="1"/>
  <c r="N40" i="14" s="1"/>
  <c r="F41" i="14"/>
  <c r="W40" i="14"/>
  <c r="V40" i="14"/>
  <c r="P40" i="14" l="1"/>
  <c r="O40" i="14" s="1"/>
  <c r="U40" i="14"/>
  <c r="H41" i="14" l="1"/>
  <c r="T41" i="14" s="1"/>
  <c r="G41" i="14" l="1"/>
  <c r="N41" i="14" s="1"/>
  <c r="F42" i="14"/>
  <c r="W41" i="14"/>
  <c r="V41" i="14"/>
  <c r="P41" i="14"/>
  <c r="O41" i="14" l="1"/>
  <c r="U41" i="14"/>
  <c r="H42" i="14" l="1"/>
  <c r="G42" i="14" l="1"/>
  <c r="N42" i="14" s="1"/>
  <c r="F43" i="14"/>
  <c r="T42" i="14"/>
  <c r="W42" i="14" s="1"/>
  <c r="P42" i="14"/>
  <c r="V42" i="14" l="1"/>
  <c r="U42" i="14" s="1"/>
  <c r="O42" i="14"/>
  <c r="H43" i="14" l="1"/>
  <c r="G43" i="14" l="1"/>
  <c r="N43" i="14" s="1"/>
  <c r="P43" i="14" s="1"/>
  <c r="F44" i="14"/>
  <c r="T43" i="14"/>
  <c r="W43" i="14" s="1"/>
  <c r="V43" i="14" l="1"/>
  <c r="U43" i="14" s="1"/>
  <c r="O43" i="14"/>
  <c r="H44" i="14" l="1"/>
  <c r="T44" i="14" l="1"/>
  <c r="F45" i="14"/>
  <c r="W44" i="14"/>
  <c r="V44" i="14"/>
  <c r="G44" i="14"/>
  <c r="N44" i="14" l="1"/>
  <c r="U44" i="14"/>
  <c r="H45" i="14" l="1"/>
  <c r="F46" i="14" s="1"/>
  <c r="P44" i="14"/>
  <c r="T45" i="14" l="1"/>
  <c r="O44" i="14"/>
  <c r="W45" i="14"/>
  <c r="V45" i="14"/>
  <c r="G45" i="14"/>
  <c r="N45" i="14" l="1"/>
  <c r="U45" i="14"/>
  <c r="H46" i="14" l="1"/>
  <c r="F47" i="14" s="1"/>
  <c r="P45" i="14"/>
  <c r="O45" i="14" l="1"/>
  <c r="G46" i="14"/>
  <c r="T46" i="14"/>
  <c r="W46" i="14" l="1"/>
  <c r="V46" i="14"/>
  <c r="N46" i="14"/>
  <c r="P46" i="14" l="1"/>
  <c r="U46" i="14"/>
  <c r="H47" i="14" l="1"/>
  <c r="F48" i="14" s="1"/>
  <c r="O46" i="14"/>
  <c r="T47" i="14" l="1"/>
  <c r="W47" i="14" s="1"/>
  <c r="G47" i="14"/>
  <c r="V47" i="14" l="1"/>
  <c r="N47" i="14"/>
  <c r="U47" i="14"/>
  <c r="H48" i="14" l="1"/>
  <c r="F49" i="14" s="1"/>
  <c r="P47" i="14"/>
  <c r="O47" i="14" l="1"/>
  <c r="G48" i="14"/>
  <c r="T48" i="14"/>
  <c r="W48" i="14" l="1"/>
  <c r="V48" i="14"/>
  <c r="N48" i="14"/>
  <c r="P48" i="14" l="1"/>
  <c r="U48" i="14"/>
  <c r="H49" i="14" l="1"/>
  <c r="T49" i="14"/>
  <c r="O48" i="14"/>
  <c r="G49" i="14" l="1"/>
  <c r="F50" i="14"/>
  <c r="W49" i="14"/>
  <c r="V49" i="14"/>
  <c r="N49" i="14"/>
  <c r="U49" i="14" l="1"/>
  <c r="P49" i="14"/>
  <c r="O49" i="14" l="1"/>
  <c r="H50" i="14"/>
  <c r="G50" i="14" l="1"/>
  <c r="N50" i="14" s="1"/>
  <c r="F51" i="14"/>
  <c r="T50" i="14"/>
  <c r="W50" i="14" s="1"/>
  <c r="P50" i="14"/>
  <c r="V50" i="14" l="1"/>
  <c r="O50" i="14"/>
  <c r="U50" i="14"/>
  <c r="H51" i="14" l="1"/>
  <c r="T51" i="14" s="1"/>
  <c r="G51" i="14" l="1"/>
  <c r="N51" i="14" s="1"/>
  <c r="F52" i="14"/>
  <c r="W51" i="14"/>
  <c r="V51" i="14"/>
  <c r="P51" i="14"/>
  <c r="O51" i="14" l="1"/>
  <c r="U51" i="14"/>
  <c r="H52" i="14" l="1"/>
  <c r="T52" i="14" s="1"/>
  <c r="G52" i="14" l="1"/>
  <c r="N52" i="14" s="1"/>
  <c r="P52" i="14" s="1"/>
  <c r="F53" i="14"/>
  <c r="W52" i="14"/>
  <c r="V52" i="14"/>
  <c r="K29" i="14" l="1"/>
  <c r="O52" i="14"/>
  <c r="U52" i="14"/>
  <c r="M29" i="14" l="1"/>
  <c r="L29" i="14" s="1"/>
  <c r="K30" i="14" s="1"/>
  <c r="Q29" i="14"/>
  <c r="H53" i="14"/>
  <c r="T53" i="14" s="1"/>
  <c r="G53" i="14" l="1"/>
  <c r="N53" i="14" s="1"/>
  <c r="F54" i="14"/>
  <c r="M30" i="14"/>
  <c r="L30" i="14" s="1"/>
  <c r="K31" i="14" s="1"/>
  <c r="Q30" i="14"/>
  <c r="W53" i="14"/>
  <c r="V53" i="14"/>
  <c r="P53" i="14"/>
  <c r="M31" i="14" l="1"/>
  <c r="L31" i="14" s="1"/>
  <c r="K32" i="14" s="1"/>
  <c r="Q31" i="14"/>
  <c r="O53" i="14"/>
  <c r="U53" i="14"/>
  <c r="M32" i="14" l="1"/>
  <c r="L32" i="14" s="1"/>
  <c r="K33" i="14" s="1"/>
  <c r="Q32" i="14"/>
  <c r="H54" i="14"/>
  <c r="G54" i="14" l="1"/>
  <c r="N54" i="14" s="1"/>
  <c r="P54" i="14" s="1"/>
  <c r="F55" i="14"/>
  <c r="M33" i="14"/>
  <c r="L33" i="14" s="1"/>
  <c r="K34" i="14" s="1"/>
  <c r="Q33" i="14"/>
  <c r="T54" i="14"/>
  <c r="W54" i="14" s="1"/>
  <c r="V54" i="14" l="1"/>
  <c r="M34" i="14"/>
  <c r="L34" i="14" s="1"/>
  <c r="K35" i="14" s="1"/>
  <c r="Q34" i="14"/>
  <c r="O54" i="14"/>
  <c r="U54" i="14"/>
  <c r="M35" i="14" l="1"/>
  <c r="L35" i="14" s="1"/>
  <c r="K36" i="14" s="1"/>
  <c r="Q35" i="14"/>
  <c r="H55" i="14"/>
  <c r="G55" i="14" l="1"/>
  <c r="N55" i="14" s="1"/>
  <c r="F56" i="14"/>
  <c r="M36" i="14"/>
  <c r="L36" i="14" s="1"/>
  <c r="K37" i="14" s="1"/>
  <c r="Q36" i="14"/>
  <c r="T55" i="14"/>
  <c r="W55" i="14" s="1"/>
  <c r="P55" i="14"/>
  <c r="V55" i="14" l="1"/>
  <c r="M37" i="14"/>
  <c r="L37" i="14" s="1"/>
  <c r="K38" i="14" s="1"/>
  <c r="Q37" i="14"/>
  <c r="O55" i="14"/>
  <c r="U55" i="14"/>
  <c r="M38" i="14" l="1"/>
  <c r="L38" i="14" s="1"/>
  <c r="K39" i="14" s="1"/>
  <c r="Q38" i="14"/>
  <c r="H56" i="14"/>
  <c r="T56" i="14" s="1"/>
  <c r="G56" i="14" l="1"/>
  <c r="N56" i="14" s="1"/>
  <c r="F57" i="14"/>
  <c r="M39" i="14"/>
  <c r="L39" i="14" s="1"/>
  <c r="K40" i="14" s="1"/>
  <c r="Q39" i="14"/>
  <c r="W56" i="14"/>
  <c r="V56" i="14"/>
  <c r="P56" i="14"/>
  <c r="M40" i="14" l="1"/>
  <c r="L40" i="14" s="1"/>
  <c r="K41" i="14" s="1"/>
  <c r="Q40" i="14"/>
  <c r="O56" i="14"/>
  <c r="U56" i="14"/>
  <c r="M41" i="14" l="1"/>
  <c r="L41" i="14" s="1"/>
  <c r="K42" i="14" s="1"/>
  <c r="Q41" i="14"/>
  <c r="H57" i="14"/>
  <c r="G57" i="14" l="1"/>
  <c r="N57" i="14" s="1"/>
  <c r="F58" i="14"/>
  <c r="F59" i="14" s="1"/>
  <c r="T57" i="14"/>
  <c r="M42" i="14"/>
  <c r="L42" i="14" s="1"/>
  <c r="K43" i="14" s="1"/>
  <c r="Q42" i="14"/>
  <c r="W57" i="14"/>
  <c r="V57" i="14"/>
  <c r="P57" i="14"/>
  <c r="M43" i="14" l="1"/>
  <c r="L43" i="14" s="1"/>
  <c r="K44" i="14" s="1"/>
  <c r="Q43" i="14"/>
  <c r="O57" i="14"/>
  <c r="U57" i="14"/>
  <c r="M44" i="14" l="1"/>
  <c r="L44" i="14" s="1"/>
  <c r="K45" i="14" s="1"/>
  <c r="Q44" i="14"/>
  <c r="H58" i="14"/>
  <c r="T58" i="14" s="1"/>
  <c r="M45" i="14" l="1"/>
  <c r="L45" i="14" s="1"/>
  <c r="K46" i="14" s="1"/>
  <c r="Q45" i="14"/>
  <c r="W58" i="14"/>
  <c r="T59" i="14"/>
  <c r="T60" i="14" s="1"/>
  <c r="T61" i="14" s="1"/>
  <c r="I16" i="14" s="1"/>
  <c r="V58" i="14"/>
  <c r="U58" i="14" s="1"/>
  <c r="U59" i="14" s="1"/>
  <c r="G58" i="14"/>
  <c r="H59" i="14"/>
  <c r="I12" i="14" s="1"/>
  <c r="M46" i="14" l="1"/>
  <c r="L46" i="14" s="1"/>
  <c r="K47" i="14" s="1"/>
  <c r="Q46" i="14"/>
  <c r="G59" i="14"/>
  <c r="I11" i="14" s="1"/>
  <c r="F5" i="14" s="1"/>
  <c r="N58" i="14"/>
  <c r="F16" i="14"/>
  <c r="M47" i="14" l="1"/>
  <c r="L47" i="14" s="1"/>
  <c r="K48" i="14" s="1"/>
  <c r="Q47" i="14"/>
  <c r="N61" i="14"/>
  <c r="N59" i="14"/>
  <c r="N60" i="14" s="1"/>
  <c r="P58" i="14"/>
  <c r="O58" i="14" s="1"/>
  <c r="O59" i="14" s="1"/>
  <c r="M48" i="14" l="1"/>
  <c r="L48" i="14" s="1"/>
  <c r="K49" i="14" s="1"/>
  <c r="Q48" i="14"/>
  <c r="M49" i="14" l="1"/>
  <c r="L49" i="14" s="1"/>
  <c r="K50" i="14" s="1"/>
  <c r="Q49" i="14"/>
  <c r="M50" i="14" l="1"/>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<sst xmlns="http://schemas.openxmlformats.org/spreadsheetml/2006/main" count="489" uniqueCount="77">
  <si>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</si>
  <si>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</si>
  <si>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</si>
  <si>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</si>
  <si>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</si>
  <si>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</si>
  <si>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</si>
  <si>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</si>
  <si>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</si>
  <si>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</si>
  <si>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</si>
  <si>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</si>
  <si>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</si>
  <si>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</si>
  <si>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</si>
  <si>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</si>
  <si>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</si>
  <si>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</si>
  <si>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</si>
  <si>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</si>
  <si>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</si>
  <si>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</si>
  <si>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</si>
  <si>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</si>
  <si>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</si>
  <si>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</si>
  <si>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</si>
  <si>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</si>
  <si>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</si>
  <si>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</si>
  <si>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</si>
  <si>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</si>
  <si>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</si>
  <si>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</si>
  <si>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</si>
  <si>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</si>
  <si>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</si>
  <si>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</si>
  <si>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</si>
  <si>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</si>
  <si>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</si>
  <si>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</si>
  <si>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</si>
  <si>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</si>
  <si>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</si>
  <si>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</si>
  <si>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</si>
  <si>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</si>
  <si>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</si>
  <si>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</si>
  <si>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</si>
  <si>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</si>
  <si>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</si>
  <si>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</si>
  <si>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</si>
  <si>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</si>
  <si>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</si>
  <si>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</si>
  <si>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</si>
  <si>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</si>
  <si>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</si>
  <si>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</si>
  <si>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</si>
  <si>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</si>
  <si>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</si>
  <si>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</si>
  <si>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</si>
  <si>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</si>
  <si>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</si>
  <si>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</si>
  <si>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</si>
  <si>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</si>
  <si>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</si>
  <si>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</si>
  <si>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Sum of the interest amount for may cycle</t>
  </si>
  <si>
    <t>Carry forword interest amount from April cycle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</si>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</sst>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7"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s>
  <fills count="1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32">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0" xfId="0" applyNumberFormat="1" applyFill="1"/>
    <xf numFmtId="164" fontId="0" fillId="9" borderId="18" xfId="0" applyNumberFormat="1" applyFill="1" applyBorder="1"/>
    <xf numFmtId="164" fontId="0" fillId="15" borderId="1" xfId="0" applyNumberFormat="1" applyFill="1" applyBorder="1"/>
    <xf numFmtId="164" fontId="1" fillId="15" borderId="21" xfId="0" applyNumberFormat="1" applyFont="1" applyFill="1" applyBorder="1"/>
    <xf numFmtId="0" fontId="0" fillId="0" borderId="1" xfId="0" applyBorder="1"/>
    <xf numFmtId="164" fontId="1" fillId="16" borderId="1" xfId="0" applyNumberFormat="1" applyFont="1" applyFill="1" applyBorder="1"/>
    <xf numFmtId="0" fontId="1" fillId="0" borderId="1" xfId="0" applyFont="1" applyBorder="1"/>
    <xf numFmtId="164" fontId="0" fillId="0" borderId="1" xfId="0" applyNumberFormat="1" applyBorder="1"/>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0" fontId="0" fillId="16" borderId="0" xfId="0" applyFont="1" applyFill="1"/>
    <xf numFmtId="164" fontId="0" fillId="16" borderId="0" xfId="0" applyNumberFormat="1" applyFont="1" applyFill="1"/>
    <xf numFmtId="164" fontId="0" fillId="16" borderId="0" xfId="0" applyNumberFormat="1" applyFont="1" applyFill="1" applyBorder="1"/>
    <xf numFmtId="0" fontId="0" fillId="0" borderId="0" xfId="0" applyBorder="1"/>
    <xf numFmtId="164" fontId="0" fillId="15" borderId="8" xfId="0" applyNumberFormat="1" applyFill="1" applyBorder="1"/>
    <xf numFmtId="164" fontId="0" fillId="17" borderId="1" xfId="0" applyNumberFormat="1" applyFont="1" applyFill="1" applyBorder="1"/>
    <xf numFmtId="164" fontId="1" fillId="17" borderId="21" xfId="0" applyNumberFormat="1" applyFont="1" applyFill="1" applyBorder="1"/>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7"/>
  <sheetViews>
    <sheetView topLeftCell="C33" zoomScale="74" zoomScaleNormal="53" workbookViewId="0">
      <selection activeCell="O70" sqref="O70"/>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02" t="s">
        <v>50</v>
      </c>
      <c r="F2" s="103"/>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500</v>
      </c>
      <c r="H6" s="104" t="s">
        <v>40</v>
      </c>
      <c r="I6" s="105"/>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104" t="s">
        <v>41</v>
      </c>
      <c r="I10" s="105"/>
    </row>
    <row r="11" spans="2:12" x14ac:dyDescent="0.35">
      <c r="B11" s="30" t="s">
        <v>13</v>
      </c>
      <c r="C11" s="39">
        <v>44926</v>
      </c>
      <c r="E11" s="55" t="s">
        <v>30</v>
      </c>
      <c r="F11" s="56">
        <f>F4+F6+F7+F8+F9-F5</f>
        <v>500</v>
      </c>
      <c r="G11" s="61"/>
      <c r="H11" s="7" t="s">
        <v>42</v>
      </c>
      <c r="I11" s="8">
        <f>SUM(F60:G60)</f>
        <v>0</v>
      </c>
      <c r="J11" s="100" t="s">
        <v>73</v>
      </c>
    </row>
    <row r="12" spans="2:12" ht="15" thickBot="1" x14ac:dyDescent="0.4">
      <c r="B12" s="30" t="s">
        <v>14</v>
      </c>
      <c r="C12" s="40">
        <v>31</v>
      </c>
      <c r="E12" s="4"/>
      <c r="F12" s="6"/>
      <c r="H12" s="49" t="s">
        <v>43</v>
      </c>
      <c r="I12" s="50">
        <f>H60</f>
        <v>0</v>
      </c>
      <c r="J12" s="101"/>
    </row>
    <row r="13" spans="2:12" ht="15" thickBot="1" x14ac:dyDescent="0.4">
      <c r="B13" s="31" t="s">
        <v>15</v>
      </c>
      <c r="C13" s="41">
        <v>44951</v>
      </c>
      <c r="E13" s="53" t="s">
        <v>31</v>
      </c>
      <c r="F13" s="54">
        <v>5000</v>
      </c>
    </row>
    <row r="14" spans="2:12" x14ac:dyDescent="0.35">
      <c r="E14" s="51" t="s">
        <v>32</v>
      </c>
      <c r="F14" s="52">
        <f>F13-F11</f>
        <v>4500</v>
      </c>
      <c r="H14" s="104" t="s">
        <v>44</v>
      </c>
      <c r="I14" s="105"/>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104" t="s">
        <v>51</v>
      </c>
      <c r="I18" s="105"/>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104" t="s">
        <v>17</v>
      </c>
      <c r="C21" s="105"/>
      <c r="E21" s="104" t="s">
        <v>22</v>
      </c>
      <c r="F21" s="105"/>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6" t="s">
        <v>10</v>
      </c>
      <c r="E27" s="107"/>
      <c r="F27" s="107"/>
      <c r="G27" s="107"/>
      <c r="H27" s="108"/>
      <c r="I27" s="112" t="s">
        <v>47</v>
      </c>
      <c r="J27" s="113"/>
      <c r="K27" s="113"/>
      <c r="L27" s="113"/>
      <c r="M27" s="113"/>
      <c r="N27" s="113"/>
      <c r="O27" s="113"/>
      <c r="P27" s="113"/>
      <c r="Q27" s="114"/>
      <c r="R27" s="109" t="s">
        <v>48</v>
      </c>
      <c r="S27" s="110"/>
      <c r="T27" s="110"/>
      <c r="U27" s="110"/>
      <c r="V27" s="110"/>
      <c r="W27" s="111"/>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44940</v>
      </c>
      <c r="C43" s="85">
        <f t="shared" si="1"/>
        <v>44941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0</v>
      </c>
      <c r="L43" s="87">
        <f t="shared" si="7"/>
        <v>0</v>
      </c>
      <c r="M43" s="87">
        <f t="shared" si="8"/>
        <v>0</v>
      </c>
      <c r="N43" s="87">
        <f t="shared" si="3"/>
        <v>0</v>
      </c>
      <c r="O43" s="87">
        <f t="shared" si="9"/>
        <v>0</v>
      </c>
      <c r="P43" s="87">
        <f t="shared" si="10"/>
        <v>0</v>
      </c>
      <c r="Q43" s="87">
        <f t="shared" si="11"/>
        <v>0</v>
      </c>
      <c r="R43" s="87"/>
      <c r="S43" s="87"/>
      <c r="T43" s="87">
        <f>T42+U42+R43+S43-H43</f>
        <v>0</v>
      </c>
      <c r="U43" s="87">
        <f t="shared" si="4"/>
        <v>0</v>
      </c>
      <c r="V43" s="88">
        <f t="shared" si="12"/>
        <v>0</v>
      </c>
      <c r="W43" s="89">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94">
        <f t="shared" si="10"/>
        <v>0</v>
      </c>
      <c r="Q47" s="13">
        <f t="shared" si="11"/>
        <v>0</v>
      </c>
      <c r="R47" s="17"/>
      <c r="S47" s="17"/>
      <c r="T47" s="17">
        <f t="shared" si="14"/>
        <v>0</v>
      </c>
      <c r="U47" s="17">
        <f t="shared" si="4"/>
        <v>0</v>
      </c>
      <c r="V47" s="18">
        <f t="shared" si="12"/>
        <v>0</v>
      </c>
      <c r="W47" s="16">
        <f t="shared" si="13"/>
        <v>0</v>
      </c>
    </row>
    <row r="48" spans="2:23" s="90" customFormat="1" x14ac:dyDescent="0.35">
      <c r="B48" s="84">
        <f t="shared" si="0"/>
        <v>44945</v>
      </c>
      <c r="C48" s="85">
        <f t="shared" si="1"/>
        <v>44946</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0</v>
      </c>
      <c r="L48" s="87">
        <f t="shared" si="7"/>
        <v>0</v>
      </c>
      <c r="M48" s="87">
        <f t="shared" si="8"/>
        <v>0</v>
      </c>
      <c r="N48" s="87">
        <f t="shared" si="3"/>
        <v>0</v>
      </c>
      <c r="O48" s="87">
        <f t="shared" si="9"/>
        <v>0</v>
      </c>
      <c r="P48" s="87">
        <f t="shared" si="10"/>
        <v>0</v>
      </c>
      <c r="Q48" s="87">
        <f t="shared" si="11"/>
        <v>0</v>
      </c>
      <c r="R48" s="87"/>
      <c r="S48" s="87"/>
      <c r="T48" s="87">
        <f t="shared" si="14"/>
        <v>0</v>
      </c>
      <c r="U48" s="87">
        <f t="shared" si="4"/>
        <v>0</v>
      </c>
      <c r="V48" s="88">
        <f t="shared" si="12"/>
        <v>0</v>
      </c>
      <c r="W48" s="89">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s="90" customFormat="1" x14ac:dyDescent="0.35">
      <c r="B53" s="84">
        <f t="shared" si="0"/>
        <v>44950</v>
      </c>
      <c r="C53" s="85">
        <f t="shared" si="1"/>
        <v>44951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v>500</v>
      </c>
      <c r="J53" s="87">
        <v>25</v>
      </c>
      <c r="K53" s="87">
        <f t="shared" si="6"/>
        <v>0</v>
      </c>
      <c r="L53" s="87">
        <f t="shared" si="7"/>
        <v>0</v>
      </c>
      <c r="M53" s="87">
        <f t="shared" si="8"/>
        <v>0</v>
      </c>
      <c r="N53" s="87">
        <f t="shared" si="3"/>
        <v>525</v>
      </c>
      <c r="O53" s="87">
        <f t="shared" si="9"/>
        <v>0.32</v>
      </c>
      <c r="P53" s="87">
        <f t="shared" si="10"/>
        <v>0.32</v>
      </c>
      <c r="Q53" s="87">
        <f t="shared" si="11"/>
        <v>525</v>
      </c>
      <c r="R53" s="87"/>
      <c r="S53" s="87"/>
      <c r="T53" s="87">
        <f t="shared" si="14"/>
        <v>0</v>
      </c>
      <c r="U53" s="87">
        <f t="shared" si="4"/>
        <v>0</v>
      </c>
      <c r="V53" s="88">
        <f t="shared" si="12"/>
        <v>0</v>
      </c>
      <c r="W53" s="89">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525.32000000000005</v>
      </c>
      <c r="O54" s="13">
        <f t="shared" si="9"/>
        <v>0.32</v>
      </c>
      <c r="P54" s="13">
        <f t="shared" si="10"/>
        <v>0.64</v>
      </c>
      <c r="Q54" s="13">
        <f t="shared" si="11"/>
        <v>525</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525.64</v>
      </c>
      <c r="O55" s="13">
        <f t="shared" si="9"/>
        <v>0.31999999999999995</v>
      </c>
      <c r="P55" s="13">
        <f t="shared" si="10"/>
        <v>0.96</v>
      </c>
      <c r="Q55" s="13">
        <f t="shared" si="11"/>
        <v>525</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525.96</v>
      </c>
      <c r="O56" s="13">
        <f t="shared" si="9"/>
        <v>0.32000000000000006</v>
      </c>
      <c r="P56" s="13">
        <f t="shared" si="10"/>
        <v>1.28</v>
      </c>
      <c r="Q56" s="13">
        <f t="shared" si="11"/>
        <v>525</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526.28</v>
      </c>
      <c r="O57" s="13">
        <f t="shared" ref="O57:O58" si="22">P57-P56</f>
        <v>0.32000000000000006</v>
      </c>
      <c r="P57" s="13">
        <f t="shared" ref="P57:P58" si="23">ROUND(P56+N57*$F$22,2)</f>
        <v>1.6</v>
      </c>
      <c r="Q57" s="13">
        <f t="shared" ref="Q57:Q59" si="24">ROUND(N57+K57-M56-P56,2)</f>
        <v>525</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526.6</v>
      </c>
      <c r="O58" s="13">
        <f t="shared" si="22"/>
        <v>0.31999999999999984</v>
      </c>
      <c r="P58" s="13">
        <f t="shared" si="23"/>
        <v>1.92</v>
      </c>
      <c r="Q58" s="13">
        <f t="shared" si="24"/>
        <v>525</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526.91999999999996</v>
      </c>
      <c r="O59" s="13">
        <f>P59-P58</f>
        <v>0.32000000000000028</v>
      </c>
      <c r="P59" s="13">
        <f>ROUND(P58+N59*$F$22,2)</f>
        <v>2.2400000000000002</v>
      </c>
      <c r="Q59" s="13">
        <f t="shared" si="24"/>
        <v>525</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500</v>
      </c>
      <c r="J60" s="77">
        <f t="shared" si="29"/>
        <v>25</v>
      </c>
      <c r="K60" s="77">
        <f t="shared" si="29"/>
        <v>0</v>
      </c>
      <c r="L60" s="77">
        <f t="shared" si="29"/>
        <v>0</v>
      </c>
      <c r="M60" s="79"/>
      <c r="N60" s="77">
        <f>SUM(N29:N59)</f>
        <v>3681.72</v>
      </c>
      <c r="O60" s="77">
        <f>SUM(O29:O59)</f>
        <v>2.2400000000000002</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118.76516129032258</v>
      </c>
      <c r="S61" s="83" t="s">
        <v>65</v>
      </c>
      <c r="T61" s="83">
        <f>T60/C18</f>
        <v>0</v>
      </c>
    </row>
    <row r="62" spans="2:23" ht="15" thickBot="1" x14ac:dyDescent="0.4">
      <c r="H62"/>
      <c r="J62" s="82" t="s">
        <v>72</v>
      </c>
      <c r="K62" s="82">
        <f>M59</f>
        <v>0</v>
      </c>
      <c r="M62" s="82" t="s">
        <v>70</v>
      </c>
      <c r="N62" s="95">
        <f>IF(ROUND(N59,2)=0,0,N61*$F$22*$C$18)</f>
        <v>2.268544734246575</v>
      </c>
      <c r="S62" s="82" t="s">
        <v>64</v>
      </c>
      <c r="T62" s="82">
        <f>T61*F23*C18</f>
        <v>0</v>
      </c>
    </row>
    <row r="63" spans="2:23" x14ac:dyDescent="0.35">
      <c r="U63" s="61"/>
    </row>
    <row r="65" spans="14:14" ht="15" thickBot="1" x14ac:dyDescent="0.4">
      <c r="N65" s="61">
        <f>SUM(N28:N47)</f>
        <v>0</v>
      </c>
    </row>
    <row r="66" spans="14:14" ht="15" thickBot="1" x14ac:dyDescent="0.4">
      <c r="N66" s="82">
        <f>N65/$C$18</f>
        <v>0</v>
      </c>
    </row>
    <row r="67" spans="14:14" ht="15" thickBot="1" x14ac:dyDescent="0.4">
      <c r="N67" s="82">
        <f>ROUND(N66*$F$22*$C$18,2)</f>
        <v>0</v>
      </c>
    </row>
  </sheetData>
  <mergeCells count="11">
    <mergeCell ref="H18:I18"/>
    <mergeCell ref="D27:H27"/>
    <mergeCell ref="R27:W27"/>
    <mergeCell ref="B21:C21"/>
    <mergeCell ref="E21:F21"/>
    <mergeCell ref="I27:Q27"/>
    <mergeCell ref="J11:J12"/>
    <mergeCell ref="E2:F2"/>
    <mergeCell ref="H6:I6"/>
    <mergeCell ref="H10:I10"/>
    <mergeCell ref="H14:I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C31" zoomScale="53" zoomScaleNormal="63" workbookViewId="0">
      <selection activeCell="C53" sqref="C53"/>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02" t="s">
        <v>50</v>
      </c>
      <c r="F2" s="103"/>
    </row>
    <row r="3" spans="2:13" ht="15" thickBot="1" x14ac:dyDescent="0.4">
      <c r="B3" s="28" t="s">
        <v>1</v>
      </c>
      <c r="C3" s="37">
        <v>25</v>
      </c>
      <c r="E3" s="45" t="s">
        <v>24</v>
      </c>
      <c r="F3" s="46">
        <f>C17</f>
        <v>44985</v>
      </c>
    </row>
    <row r="4" spans="2:13" ht="15" thickBot="1" x14ac:dyDescent="0.4">
      <c r="B4"/>
      <c r="C4"/>
      <c r="E4" s="62" t="s">
        <v>25</v>
      </c>
      <c r="F4" s="62">
        <f>'Jan Statement'!F11</f>
        <v>500</v>
      </c>
    </row>
    <row r="5" spans="2:13" ht="15" thickBot="1" x14ac:dyDescent="0.4">
      <c r="B5" s="29" t="s">
        <v>5</v>
      </c>
      <c r="C5" s="38">
        <v>45261</v>
      </c>
      <c r="E5" s="32" t="s">
        <v>10</v>
      </c>
      <c r="F5" s="33">
        <f>SUM(I11:I12)</f>
        <v>0</v>
      </c>
    </row>
    <row r="6" spans="2:13" x14ac:dyDescent="0.35">
      <c r="B6" s="30" t="s">
        <v>8</v>
      </c>
      <c r="C6" s="39">
        <v>44926</v>
      </c>
      <c r="E6" s="34" t="s">
        <v>26</v>
      </c>
      <c r="F6" s="35">
        <f>I57</f>
        <v>500</v>
      </c>
      <c r="H6" s="104" t="s">
        <v>40</v>
      </c>
      <c r="I6" s="105"/>
    </row>
    <row r="7" spans="2:13" ht="29" x14ac:dyDescent="0.35">
      <c r="B7" s="30" t="s">
        <v>6</v>
      </c>
      <c r="C7" s="40">
        <v>31</v>
      </c>
      <c r="E7" s="34" t="s">
        <v>27</v>
      </c>
      <c r="F7" s="35">
        <f>R57</f>
        <v>0</v>
      </c>
      <c r="H7" s="7" t="s">
        <v>37</v>
      </c>
      <c r="I7" s="8">
        <f>J57</f>
        <v>25</v>
      </c>
      <c r="L7" s="61"/>
    </row>
    <row r="8" spans="2:13" ht="29.5" thickBot="1" x14ac:dyDescent="0.4">
      <c r="B8" s="31" t="s">
        <v>7</v>
      </c>
      <c r="C8" s="41">
        <v>44951</v>
      </c>
      <c r="E8" s="34" t="s">
        <v>28</v>
      </c>
      <c r="F8" s="35">
        <f>SUM(I7:I8)</f>
        <v>25</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2" t="s">
        <v>41</v>
      </c>
      <c r="I10" s="123"/>
      <c r="J10" s="124"/>
    </row>
    <row r="11" spans="2:13" ht="14.5" customHeight="1" x14ac:dyDescent="0.35">
      <c r="B11" s="30" t="s">
        <v>13</v>
      </c>
      <c r="C11" s="39">
        <f>C10+C12-1</f>
        <v>44957</v>
      </c>
      <c r="E11" s="55" t="s">
        <v>30</v>
      </c>
      <c r="F11" s="56">
        <f>F4+F6+F7+F8+F9-F5</f>
        <v>1025</v>
      </c>
      <c r="H11" s="72" t="s">
        <v>42</v>
      </c>
      <c r="I11" s="73">
        <f>SUM(F57:G57)</f>
        <v>0</v>
      </c>
      <c r="J11" s="100" t="s">
        <v>73</v>
      </c>
      <c r="K11" s="121"/>
    </row>
    <row r="12" spans="2:13" ht="15" thickBot="1" x14ac:dyDescent="0.4">
      <c r="B12" s="30" t="s">
        <v>14</v>
      </c>
      <c r="C12" s="40">
        <v>31</v>
      </c>
      <c r="E12" s="4"/>
      <c r="F12" s="6"/>
      <c r="H12" s="49" t="s">
        <v>43</v>
      </c>
      <c r="I12" s="50">
        <f>H57</f>
        <v>0</v>
      </c>
      <c r="J12" s="101"/>
      <c r="K12" s="121"/>
    </row>
    <row r="13" spans="2:13" ht="15" thickBot="1" x14ac:dyDescent="0.4">
      <c r="B13" s="31" t="s">
        <v>15</v>
      </c>
      <c r="C13" s="41">
        <f>C11+C3</f>
        <v>44982</v>
      </c>
      <c r="E13" s="53" t="s">
        <v>31</v>
      </c>
      <c r="F13" s="91">
        <v>2895.94</v>
      </c>
    </row>
    <row r="14" spans="2:13" x14ac:dyDescent="0.35">
      <c r="E14" s="51" t="s">
        <v>32</v>
      </c>
      <c r="F14" s="52">
        <f>F13-F11</f>
        <v>1870.94</v>
      </c>
      <c r="H14" s="104" t="s">
        <v>44</v>
      </c>
      <c r="I14" s="105"/>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104" t="s">
        <v>51</v>
      </c>
      <c r="I18" s="105"/>
    </row>
    <row r="19" spans="2:23" ht="15" thickBot="1" x14ac:dyDescent="0.4">
      <c r="B19" s="31" t="s">
        <v>16</v>
      </c>
      <c r="C19" s="38">
        <v>45010</v>
      </c>
      <c r="H19" s="7" t="s">
        <v>42</v>
      </c>
      <c r="I19" s="8">
        <f>'Jan Statement'!I19+'Jan Statement'!F6+'Jan Statement'!I7+'Jan Statement'!I15-'Jan Statement'!I11</f>
        <v>500</v>
      </c>
    </row>
    <row r="20" spans="2:23" ht="15" thickBot="1" x14ac:dyDescent="0.4">
      <c r="H20" s="49" t="s">
        <v>43</v>
      </c>
      <c r="I20" s="50">
        <f>'Jan Statement'!I20+'Jan Statement'!F7+'Jan Statement'!I8+'Jan Statement'!I16-'Jan Statement'!I12</f>
        <v>0</v>
      </c>
      <c r="J20" s="5"/>
    </row>
    <row r="21" spans="2:23" x14ac:dyDescent="0.35">
      <c r="B21" s="104" t="s">
        <v>17</v>
      </c>
      <c r="C21" s="105"/>
      <c r="E21" s="104" t="s">
        <v>22</v>
      </c>
      <c r="F21" s="105"/>
      <c r="I21" s="62">
        <f>SUM(I19:I20)</f>
        <v>500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18" t="s">
        <v>10</v>
      </c>
      <c r="E27" s="118"/>
      <c r="F27" s="118"/>
      <c r="G27" s="118"/>
      <c r="H27" s="118"/>
      <c r="I27" s="117" t="s">
        <v>47</v>
      </c>
      <c r="J27" s="117"/>
      <c r="K27" s="117"/>
      <c r="L27" s="117"/>
      <c r="M27" s="117"/>
      <c r="N27" s="117"/>
      <c r="O27" s="117"/>
      <c r="P27" s="117"/>
      <c r="Q27" s="117"/>
      <c r="R27" s="115" t="s">
        <v>48</v>
      </c>
      <c r="S27" s="115"/>
      <c r="T27" s="115"/>
      <c r="U27" s="115"/>
      <c r="V27" s="115"/>
      <c r="W27" s="116"/>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ROUND(N29+I30+J30+O29-G30,2)</f>
        <v>0</v>
      </c>
      <c r="O30" s="13">
        <f>P30-P29</f>
        <v>0</v>
      </c>
      <c r="P30" s="13">
        <f>ROUND(P29+N30*$F$22,2)</f>
        <v>0</v>
      </c>
      <c r="Q30" s="13">
        <f>ROUND(N30+K30-M29-P29,2)</f>
        <v>0</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s="90" customFormat="1" x14ac:dyDescent="0.35">
      <c r="B53" s="84">
        <f t="shared" si="0"/>
        <v>44981</v>
      </c>
      <c r="C53" s="85">
        <f t="shared" si="1"/>
        <v>44982</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4"/>
        <v>0</v>
      </c>
      <c r="I53" s="87">
        <v>500</v>
      </c>
      <c r="J53" s="87">
        <v>25</v>
      </c>
      <c r="K53" s="87">
        <f t="shared" si="5"/>
        <v>0</v>
      </c>
      <c r="L53" s="87">
        <f t="shared" si="6"/>
        <v>0</v>
      </c>
      <c r="M53" s="87">
        <f t="shared" si="7"/>
        <v>0</v>
      </c>
      <c r="N53" s="87">
        <f t="shared" si="8"/>
        <v>525</v>
      </c>
      <c r="O53" s="87">
        <f t="shared" si="9"/>
        <v>0.32</v>
      </c>
      <c r="P53" s="87">
        <f t="shared" si="10"/>
        <v>0.32</v>
      </c>
      <c r="Q53" s="87">
        <f t="shared" si="11"/>
        <v>525</v>
      </c>
      <c r="R53" s="87"/>
      <c r="S53" s="87"/>
      <c r="T53" s="87">
        <f t="shared" si="14"/>
        <v>0</v>
      </c>
      <c r="U53" s="87">
        <f t="shared" si="3"/>
        <v>0</v>
      </c>
      <c r="V53" s="88">
        <f t="shared" si="12"/>
        <v>0</v>
      </c>
      <c r="W53" s="89">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525.32000000000005</v>
      </c>
      <c r="O54" s="13">
        <f t="shared" si="9"/>
        <v>0.32</v>
      </c>
      <c r="P54" s="13">
        <f t="shared" si="10"/>
        <v>0.64</v>
      </c>
      <c r="Q54" s="13">
        <f t="shared" si="11"/>
        <v>525</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525.64</v>
      </c>
      <c r="O55" s="13">
        <f t="shared" si="9"/>
        <v>0.31999999999999995</v>
      </c>
      <c r="P55" s="13">
        <f t="shared" si="10"/>
        <v>0.96</v>
      </c>
      <c r="Q55" s="13">
        <f t="shared" si="11"/>
        <v>525</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525.96</v>
      </c>
      <c r="O56" s="13">
        <f t="shared" si="9"/>
        <v>0.32000000000000006</v>
      </c>
      <c r="P56" s="13">
        <f t="shared" si="10"/>
        <v>1.28</v>
      </c>
      <c r="Q56" s="13">
        <f t="shared" si="11"/>
        <v>525</v>
      </c>
      <c r="R56" s="17"/>
      <c r="S56" s="17"/>
      <c r="T56" s="17">
        <f t="shared" si="14"/>
        <v>0</v>
      </c>
      <c r="U56" s="17">
        <f t="shared" si="3"/>
        <v>0</v>
      </c>
      <c r="V56" s="18">
        <f t="shared" si="12"/>
        <v>0</v>
      </c>
      <c r="W56" s="16">
        <f t="shared" si="13"/>
        <v>0</v>
      </c>
    </row>
    <row r="57" spans="2:23" ht="15" thickBot="1" x14ac:dyDescent="0.4">
      <c r="B57" s="119" t="s">
        <v>49</v>
      </c>
      <c r="C57" s="120"/>
      <c r="D57" s="67">
        <f t="shared" ref="D57:L57" si="15">SUM(D29:D56)</f>
        <v>0</v>
      </c>
      <c r="E57" s="21">
        <f t="shared" si="15"/>
        <v>0</v>
      </c>
      <c r="F57" s="21">
        <f t="shared" si="15"/>
        <v>0</v>
      </c>
      <c r="G57" s="21">
        <f t="shared" si="15"/>
        <v>0</v>
      </c>
      <c r="H57" s="22">
        <f t="shared" si="15"/>
        <v>0</v>
      </c>
      <c r="I57" s="20">
        <f t="shared" si="15"/>
        <v>500</v>
      </c>
      <c r="J57" s="21">
        <f t="shared" si="15"/>
        <v>25</v>
      </c>
      <c r="K57" s="21">
        <f t="shared" si="15"/>
        <v>0</v>
      </c>
      <c r="L57" s="74">
        <f t="shared" si="15"/>
        <v>0</v>
      </c>
      <c r="M57" s="20"/>
      <c r="N57" s="21">
        <f>SUM(N29:N56)</f>
        <v>2101.92</v>
      </c>
      <c r="O57" s="21">
        <f>SUM(O29:O56)</f>
        <v>1.28</v>
      </c>
      <c r="P57" s="20"/>
      <c r="Q57" s="20"/>
      <c r="R57" s="22">
        <f>SUM(R29:R56)</f>
        <v>0</v>
      </c>
      <c r="S57" s="22">
        <f>SUM(S29:S56)</f>
        <v>0</v>
      </c>
      <c r="T57" s="22">
        <f>SUM(T29:T56)</f>
        <v>0</v>
      </c>
      <c r="U57" s="22">
        <f>SUM(U29:U56)</f>
        <v>0</v>
      </c>
      <c r="V57" s="23"/>
      <c r="W57" s="23"/>
    </row>
    <row r="58" spans="2:23" ht="15" thickBot="1" x14ac:dyDescent="0.4">
      <c r="G58" s="61"/>
      <c r="J58" s="82" t="s">
        <v>71</v>
      </c>
      <c r="K58" s="82">
        <f>K57/$C$18</f>
        <v>0</v>
      </c>
      <c r="M58" s="82" t="s">
        <v>69</v>
      </c>
      <c r="N58" s="82">
        <f>N57/$C$18</f>
        <v>75.068571428571431</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500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6"/>
  <sheetViews>
    <sheetView topLeftCell="E28" zoomScale="76" zoomScaleNormal="115" workbookViewId="0">
      <selection activeCell="J48" sqref="J48"/>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13.81640625"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2" t="s">
        <v>50</v>
      </c>
      <c r="F2" s="103"/>
    </row>
    <row r="3" spans="2:12" ht="15" thickBot="1" x14ac:dyDescent="0.4">
      <c r="B3" s="28" t="s">
        <v>1</v>
      </c>
      <c r="C3" s="37">
        <v>25</v>
      </c>
      <c r="E3" s="45" t="s">
        <v>24</v>
      </c>
      <c r="F3" s="46">
        <f>C17</f>
        <v>45016</v>
      </c>
    </row>
    <row r="4" spans="2:12" ht="15" thickBot="1" x14ac:dyDescent="0.4">
      <c r="B4"/>
      <c r="C4"/>
      <c r="E4" s="62" t="s">
        <v>25</v>
      </c>
      <c r="F4" s="62">
        <f>'Feb Statement'!F11</f>
        <v>1025</v>
      </c>
    </row>
    <row r="5" spans="2:12" ht="15" thickBot="1" x14ac:dyDescent="0.4">
      <c r="B5" s="29" t="s">
        <v>5</v>
      </c>
      <c r="C5" s="38">
        <v>44927</v>
      </c>
      <c r="E5" s="32" t="s">
        <v>10</v>
      </c>
      <c r="F5" s="33">
        <f>SUM(I11:I12)</f>
        <v>0</v>
      </c>
    </row>
    <row r="6" spans="2:12" x14ac:dyDescent="0.35">
      <c r="B6" s="30" t="s">
        <v>8</v>
      </c>
      <c r="C6" s="39">
        <v>44957</v>
      </c>
      <c r="E6" s="34" t="s">
        <v>26</v>
      </c>
      <c r="F6" s="35">
        <f>I60</f>
        <v>0</v>
      </c>
      <c r="H6" s="104" t="s">
        <v>40</v>
      </c>
      <c r="I6" s="105"/>
    </row>
    <row r="7" spans="2:12" ht="29" x14ac:dyDescent="0.35">
      <c r="B7" s="30" t="s">
        <v>6</v>
      </c>
      <c r="C7" s="40">
        <v>31</v>
      </c>
      <c r="E7" s="34" t="s">
        <v>27</v>
      </c>
      <c r="F7" s="35">
        <f>R60</f>
        <v>0</v>
      </c>
      <c r="H7" s="7" t="s">
        <v>37</v>
      </c>
      <c r="I7" s="8">
        <f>J60</f>
        <v>0</v>
      </c>
      <c r="L7" s="61"/>
    </row>
    <row r="8" spans="2:12" ht="29.5" thickBot="1" x14ac:dyDescent="0.4">
      <c r="B8" s="31" t="s">
        <v>7</v>
      </c>
      <c r="C8" s="41">
        <f>C6+C3</f>
        <v>44982</v>
      </c>
      <c r="E8" s="34" t="s">
        <v>28</v>
      </c>
      <c r="F8" s="35">
        <f>SUM(I7:I8)</f>
        <v>50</v>
      </c>
      <c r="H8" s="49" t="s">
        <v>38</v>
      </c>
      <c r="I8" s="50">
        <f>S60</f>
        <v>50</v>
      </c>
      <c r="L8" s="61"/>
    </row>
    <row r="9" spans="2:12" ht="29.5" customHeight="1" thickBot="1" x14ac:dyDescent="0.4">
      <c r="B9"/>
      <c r="C9" s="3"/>
      <c r="E9" s="34" t="s">
        <v>29</v>
      </c>
      <c r="F9" s="35">
        <f>SUM(I15:I16)</f>
        <v>0.7</v>
      </c>
      <c r="L9" s="61"/>
    </row>
    <row r="10" spans="2:12" ht="15" thickBot="1" x14ac:dyDescent="0.4">
      <c r="B10" s="29" t="s">
        <v>12</v>
      </c>
      <c r="C10" s="38">
        <f>'Feb Statement'!C16</f>
        <v>44958</v>
      </c>
      <c r="E10" s="4"/>
      <c r="F10" s="6"/>
      <c r="H10" s="122" t="s">
        <v>41</v>
      </c>
      <c r="I10" s="123"/>
      <c r="J10" s="124"/>
    </row>
    <row r="11" spans="2:12" ht="14.5" customHeight="1" x14ac:dyDescent="0.35">
      <c r="B11" s="30" t="s">
        <v>13</v>
      </c>
      <c r="C11" s="39">
        <f>C10+C12-1</f>
        <v>44985</v>
      </c>
      <c r="E11" s="55" t="s">
        <v>30</v>
      </c>
      <c r="F11" s="56">
        <f>F4+F6+F7+F8+F9-F5</f>
        <v>1075.7</v>
      </c>
      <c r="H11" s="72" t="s">
        <v>42</v>
      </c>
      <c r="I11" s="73">
        <f>SUM(F60:G60)</f>
        <v>0</v>
      </c>
      <c r="J11" s="100" t="s">
        <v>73</v>
      </c>
      <c r="K11" s="121"/>
    </row>
    <row r="12" spans="2:12" ht="15" thickBot="1" x14ac:dyDescent="0.4">
      <c r="B12" s="30" t="s">
        <v>14</v>
      </c>
      <c r="C12" s="40">
        <v>28</v>
      </c>
      <c r="E12" s="4"/>
      <c r="F12" s="6"/>
      <c r="H12" s="49" t="s">
        <v>43</v>
      </c>
      <c r="I12" s="50">
        <f>H60</f>
        <v>0</v>
      </c>
      <c r="J12" s="101"/>
      <c r="K12" s="121"/>
    </row>
    <row r="13" spans="2:12" ht="15" thickBot="1" x14ac:dyDescent="0.4">
      <c r="B13" s="31" t="s">
        <v>15</v>
      </c>
      <c r="C13" s="41">
        <v>45010</v>
      </c>
      <c r="E13" s="53" t="s">
        <v>31</v>
      </c>
      <c r="F13" s="54">
        <v>0</v>
      </c>
    </row>
    <row r="14" spans="2:12" x14ac:dyDescent="0.35">
      <c r="E14" s="51" t="s">
        <v>32</v>
      </c>
      <c r="F14" s="52">
        <f>F13-F11</f>
        <v>-1075.7</v>
      </c>
      <c r="H14" s="104" t="s">
        <v>44</v>
      </c>
      <c r="I14" s="105"/>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-0.7</v>
      </c>
      <c r="H16" s="49" t="s">
        <v>43</v>
      </c>
      <c r="I16" s="50">
        <f>T62</f>
        <v>0.7</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104" t="s">
        <v>51</v>
      </c>
      <c r="I18" s="105"/>
    </row>
    <row r="19" spans="2:23" ht="15" thickBot="1" x14ac:dyDescent="0.4">
      <c r="B19" s="31" t="s">
        <v>16</v>
      </c>
      <c r="C19" s="41">
        <f>C17+C3</f>
        <v>45041</v>
      </c>
      <c r="H19" s="7" t="s">
        <v>42</v>
      </c>
      <c r="I19" s="8">
        <v>0</v>
      </c>
    </row>
    <row r="20" spans="2:23" ht="15" thickBot="1" x14ac:dyDescent="0.4">
      <c r="H20" s="49" t="s">
        <v>43</v>
      </c>
      <c r="I20" s="50">
        <f>'Feb Statement'!I20+'Feb Statement'!F7+'Feb Statement'!I8+'Feb Statement'!I16-'Feb Statement'!I12</f>
        <v>0</v>
      </c>
      <c r="J20" s="5"/>
    </row>
    <row r="21" spans="2:23" x14ac:dyDescent="0.35">
      <c r="B21" s="104" t="s">
        <v>17</v>
      </c>
      <c r="C21" s="105"/>
      <c r="E21" s="104" t="s">
        <v>22</v>
      </c>
      <c r="F21" s="105"/>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18" t="s">
        <v>10</v>
      </c>
      <c r="E27" s="118"/>
      <c r="F27" s="118"/>
      <c r="G27" s="118"/>
      <c r="H27" s="118"/>
      <c r="I27" s="117" t="s">
        <v>47</v>
      </c>
      <c r="J27" s="117"/>
      <c r="K27" s="117"/>
      <c r="L27" s="117"/>
      <c r="M27" s="117"/>
      <c r="N27" s="117"/>
      <c r="O27" s="117"/>
      <c r="P27" s="117"/>
      <c r="Q27" s="117"/>
      <c r="R27" s="115" t="s">
        <v>48</v>
      </c>
      <c r="S27" s="115"/>
      <c r="T27" s="115"/>
      <c r="U27" s="115"/>
      <c r="V27" s="115"/>
      <c r="W27" s="116"/>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0</v>
      </c>
      <c r="O30" s="13">
        <f>P30-P29</f>
        <v>0</v>
      </c>
      <c r="P30" s="13">
        <f>ROUND(P29+N30*$F$22,2)</f>
        <v>0</v>
      </c>
      <c r="Q30" s="13">
        <f>ROUND(N30+K30-M29-P29,2)</f>
        <v>0</v>
      </c>
      <c r="R30" s="17"/>
      <c r="S30" s="17"/>
      <c r="T30" s="17">
        <f>T29+U29+R30+S30-H30</f>
        <v>0</v>
      </c>
      <c r="U30" s="17">
        <f t="shared" ref="U30:U59" si="4">V30-V29</f>
        <v>0</v>
      </c>
      <c r="V30" s="18">
        <f>V29+ROUND(T30*$F$23,2)</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0</v>
      </c>
      <c r="O31" s="13">
        <f t="shared" ref="O31:O59" si="9">P31-P30</f>
        <v>0</v>
      </c>
      <c r="P31" s="13">
        <f t="shared" ref="P31:P58" si="10">ROUND(P30+N31*$F$22,2)</f>
        <v>0</v>
      </c>
      <c r="Q31" s="13">
        <f t="shared" ref="Q31:Q59" si="11">ROUND(N31+K31-M30-P30,2)</f>
        <v>0</v>
      </c>
      <c r="R31" s="17"/>
      <c r="S31" s="17"/>
      <c r="T31" s="17">
        <f>T30+U30+R31+S31-H31</f>
        <v>0</v>
      </c>
      <c r="U31" s="17">
        <f t="shared" si="4"/>
        <v>0</v>
      </c>
      <c r="V31" s="18">
        <f t="shared" ref="V31:V59" si="12">V30+ROUND(T31*$F$23,2)</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44999</v>
      </c>
      <c r="C43" s="85">
        <f t="shared" si="1"/>
        <v>45000</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0</v>
      </c>
      <c r="L43" s="87">
        <f t="shared" si="7"/>
        <v>0</v>
      </c>
      <c r="M43" s="87">
        <f t="shared" si="8"/>
        <v>0</v>
      </c>
      <c r="N43" s="87">
        <f t="shared" si="3"/>
        <v>0</v>
      </c>
      <c r="O43" s="87">
        <f t="shared" si="9"/>
        <v>0</v>
      </c>
      <c r="P43" s="87">
        <f t="shared" si="10"/>
        <v>0</v>
      </c>
      <c r="Q43" s="87">
        <f t="shared" si="11"/>
        <v>0</v>
      </c>
      <c r="R43" s="87"/>
      <c r="S43" s="87">
        <v>50</v>
      </c>
      <c r="T43" s="87">
        <f>T42+U42+R43+S43-H43</f>
        <v>50</v>
      </c>
      <c r="U43" s="87">
        <f t="shared" si="4"/>
        <v>0.04</v>
      </c>
      <c r="V43" s="18">
        <f t="shared" si="12"/>
        <v>0.04</v>
      </c>
      <c r="W43" s="89">
        <f t="shared" si="13"/>
        <v>50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50.04</v>
      </c>
      <c r="U44" s="17">
        <f t="shared" si="4"/>
        <v>0.04</v>
      </c>
      <c r="V44" s="18">
        <f t="shared" si="12"/>
        <v>0.08</v>
      </c>
      <c r="W44" s="16">
        <f t="shared" si="13"/>
        <v>50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50.08</v>
      </c>
      <c r="U45" s="17">
        <f t="shared" si="4"/>
        <v>3.9999999999999994E-2</v>
      </c>
      <c r="V45" s="18">
        <f t="shared" si="12"/>
        <v>0.12</v>
      </c>
      <c r="W45" s="16">
        <f>IF(T45=0,0,W44+R45+S45-H45)</f>
        <v>50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50.12</v>
      </c>
      <c r="U46" s="17">
        <f t="shared" si="4"/>
        <v>4.0000000000000008E-2</v>
      </c>
      <c r="V46" s="18">
        <f t="shared" si="12"/>
        <v>0.16</v>
      </c>
      <c r="W46" s="16">
        <f>IF(T46=0,0,W45+R46+S46-H46)</f>
        <v>50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50.16</v>
      </c>
      <c r="U47" s="17">
        <f t="shared" si="4"/>
        <v>4.0000000000000008E-2</v>
      </c>
      <c r="V47" s="18">
        <f t="shared" si="12"/>
        <v>0.2</v>
      </c>
      <c r="W47" s="16">
        <f t="shared" si="13"/>
        <v>50</v>
      </c>
    </row>
    <row r="48" spans="2:23" s="90" customFormat="1" x14ac:dyDescent="0.35">
      <c r="B48" s="84">
        <f t="shared" si="0"/>
        <v>45004</v>
      </c>
      <c r="C48" s="85">
        <f t="shared" si="1"/>
        <v>45005</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0</v>
      </c>
      <c r="L48" s="87">
        <f t="shared" si="7"/>
        <v>0</v>
      </c>
      <c r="M48" s="87">
        <f t="shared" si="8"/>
        <v>0</v>
      </c>
      <c r="N48" s="87">
        <f t="shared" si="3"/>
        <v>0</v>
      </c>
      <c r="O48" s="87">
        <f t="shared" si="9"/>
        <v>0</v>
      </c>
      <c r="P48" s="87">
        <f t="shared" si="10"/>
        <v>0</v>
      </c>
      <c r="Q48" s="87">
        <f t="shared" si="11"/>
        <v>0</v>
      </c>
      <c r="R48" s="87"/>
      <c r="S48" s="87"/>
      <c r="T48" s="87">
        <f>T47+U47+R48+S48-H48</f>
        <v>50.199999999999996</v>
      </c>
      <c r="U48" s="87">
        <f t="shared" si="4"/>
        <v>4.0000000000000008E-2</v>
      </c>
      <c r="V48" s="88">
        <f t="shared" si="12"/>
        <v>0.24000000000000002</v>
      </c>
      <c r="W48" s="89">
        <f t="shared" si="13"/>
        <v>50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50.239999999999995</v>
      </c>
      <c r="U49" s="17">
        <f t="shared" si="4"/>
        <v>4.0000000000000008E-2</v>
      </c>
      <c r="V49" s="18">
        <f t="shared" si="12"/>
        <v>0.28000000000000003</v>
      </c>
      <c r="W49" s="16">
        <f t="shared" si="13"/>
        <v>50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50.279999999999994</v>
      </c>
      <c r="U50" s="17">
        <f t="shared" si="4"/>
        <v>3.999999999999998E-2</v>
      </c>
      <c r="V50" s="18">
        <f t="shared" si="12"/>
        <v>0.32</v>
      </c>
      <c r="W50" s="16">
        <f t="shared" si="13"/>
        <v>50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50.319999999999993</v>
      </c>
      <c r="U51" s="17">
        <f t="shared" si="4"/>
        <v>3.999999999999998E-2</v>
      </c>
      <c r="V51" s="18">
        <f t="shared" si="12"/>
        <v>0.36</v>
      </c>
      <c r="W51" s="16">
        <f t="shared" si="13"/>
        <v>50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50.359999999999992</v>
      </c>
      <c r="U52" s="17">
        <f t="shared" si="4"/>
        <v>3.999999999999998E-2</v>
      </c>
      <c r="V52" s="18">
        <f t="shared" si="12"/>
        <v>0.39999999999999997</v>
      </c>
      <c r="W52" s="16">
        <f t="shared" si="13"/>
        <v>50</v>
      </c>
    </row>
    <row r="53" spans="2:23" s="90" customFormat="1" x14ac:dyDescent="0.35">
      <c r="B53" s="84">
        <f t="shared" si="0"/>
        <v>45009</v>
      </c>
      <c r="C53" s="85">
        <f t="shared" si="1"/>
        <v>45010</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0</v>
      </c>
      <c r="L53" s="87">
        <f t="shared" si="7"/>
        <v>0</v>
      </c>
      <c r="M53" s="87">
        <f t="shared" si="8"/>
        <v>0</v>
      </c>
      <c r="N53" s="87">
        <f t="shared" si="3"/>
        <v>0</v>
      </c>
      <c r="O53" s="87">
        <f t="shared" si="9"/>
        <v>0</v>
      </c>
      <c r="P53" s="87">
        <f t="shared" si="10"/>
        <v>0</v>
      </c>
      <c r="Q53" s="87">
        <f t="shared" si="11"/>
        <v>0</v>
      </c>
      <c r="R53" s="87"/>
      <c r="S53" s="87"/>
      <c r="T53" s="87">
        <f t="shared" si="14"/>
        <v>50.399999999999991</v>
      </c>
      <c r="U53" s="87">
        <f t="shared" si="4"/>
        <v>3.999999999999998E-2</v>
      </c>
      <c r="V53" s="18">
        <f t="shared" si="12"/>
        <v>0.43999999999999995</v>
      </c>
      <c r="W53" s="89">
        <f t="shared" si="13"/>
        <v>50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50.439999999999991</v>
      </c>
      <c r="U54" s="17">
        <f t="shared" si="4"/>
        <v>3.999999999999998E-2</v>
      </c>
      <c r="V54" s="18">
        <f t="shared" si="12"/>
        <v>0.47999999999999993</v>
      </c>
      <c r="W54" s="16">
        <f t="shared" si="13"/>
        <v>50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50.47999999999999</v>
      </c>
      <c r="U55" s="17">
        <f t="shared" si="4"/>
        <v>3.999999999999998E-2</v>
      </c>
      <c r="V55" s="18">
        <f t="shared" si="12"/>
        <v>0.51999999999999991</v>
      </c>
      <c r="W55" s="16">
        <f t="shared" si="13"/>
        <v>50</v>
      </c>
    </row>
    <row r="56" spans="2:23" s="90" customFormat="1" x14ac:dyDescent="0.35">
      <c r="B56" s="84">
        <f t="shared" si="0"/>
        <v>45012</v>
      </c>
      <c r="C56" s="85">
        <f t="shared" si="1"/>
        <v>45013</v>
      </c>
      <c r="D56" s="86"/>
      <c r="E56" s="93">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 t="shared" si="6"/>
        <v>0</v>
      </c>
      <c r="L56" s="87">
        <f t="shared" si="7"/>
        <v>0</v>
      </c>
      <c r="M56" s="87">
        <f t="shared" si="8"/>
        <v>0</v>
      </c>
      <c r="N56" s="87">
        <f t="shared" si="3"/>
        <v>0</v>
      </c>
      <c r="O56" s="87">
        <f t="shared" si="9"/>
        <v>0</v>
      </c>
      <c r="P56" s="87">
        <f t="shared" si="10"/>
        <v>0</v>
      </c>
      <c r="Q56" s="87">
        <f t="shared" si="11"/>
        <v>0</v>
      </c>
      <c r="R56" s="87"/>
      <c r="S56" s="87"/>
      <c r="T56" s="87">
        <f t="shared" si="14"/>
        <v>50.519999999999989</v>
      </c>
      <c r="U56" s="87">
        <f t="shared" si="4"/>
        <v>4.0000000000000036E-2</v>
      </c>
      <c r="V56" s="88">
        <f t="shared" si="12"/>
        <v>0.55999999999999994</v>
      </c>
      <c r="W56" s="89">
        <f t="shared" si="13"/>
        <v>50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 t="shared" si="10"/>
        <v>0</v>
      </c>
      <c r="Q57" s="13">
        <f t="shared" si="11"/>
        <v>0</v>
      </c>
      <c r="R57" s="17"/>
      <c r="S57" s="17"/>
      <c r="T57" s="17">
        <f t="shared" si="14"/>
        <v>50.559999999999988</v>
      </c>
      <c r="U57" s="17">
        <f t="shared" si="4"/>
        <v>4.0000000000000036E-2</v>
      </c>
      <c r="V57" s="18">
        <f t="shared" si="12"/>
        <v>0.6</v>
      </c>
      <c r="W57" s="16">
        <f t="shared" si="13"/>
        <v>50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0</v>
      </c>
      <c r="O58" s="13">
        <f t="shared" si="9"/>
        <v>0</v>
      </c>
      <c r="P58" s="13">
        <f t="shared" si="10"/>
        <v>0</v>
      </c>
      <c r="Q58" s="13">
        <f t="shared" si="11"/>
        <v>0</v>
      </c>
      <c r="R58" s="17"/>
      <c r="S58" s="17"/>
      <c r="T58" s="17">
        <f t="shared" si="14"/>
        <v>50.599999999999987</v>
      </c>
      <c r="U58" s="17">
        <f t="shared" si="4"/>
        <v>4.0000000000000036E-2</v>
      </c>
      <c r="V58" s="18">
        <f t="shared" si="12"/>
        <v>0.64</v>
      </c>
      <c r="W58" s="16">
        <f t="shared" si="13"/>
        <v>50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0</v>
      </c>
      <c r="O59" s="13">
        <f t="shared" si="9"/>
        <v>0</v>
      </c>
      <c r="P59" s="13">
        <f>ROUND(P58+N59*$F$22,2)</f>
        <v>0</v>
      </c>
      <c r="Q59" s="13">
        <f t="shared" si="11"/>
        <v>0</v>
      </c>
      <c r="R59" s="17"/>
      <c r="S59" s="17"/>
      <c r="T59" s="17">
        <f t="shared" si="14"/>
        <v>50.639999999999986</v>
      </c>
      <c r="U59" s="17">
        <f t="shared" si="4"/>
        <v>4.0000000000000036E-2</v>
      </c>
      <c r="V59" s="18">
        <f t="shared" si="12"/>
        <v>0.68</v>
      </c>
      <c r="W59" s="16">
        <f t="shared" si="13"/>
        <v>50</v>
      </c>
    </row>
    <row r="60" spans="2:23" ht="15" thickBot="1" x14ac:dyDescent="0.4">
      <c r="B60" s="119" t="s">
        <v>49</v>
      </c>
      <c r="C60" s="120"/>
      <c r="D60" s="67">
        <f t="shared" ref="D60:L60" si="15">SUM(D29:D59)</f>
        <v>0</v>
      </c>
      <c r="E60" s="21">
        <f t="shared" si="15"/>
        <v>0</v>
      </c>
      <c r="F60" s="21">
        <f t="shared" si="15"/>
        <v>0</v>
      </c>
      <c r="G60" s="21">
        <f t="shared" si="15"/>
        <v>0</v>
      </c>
      <c r="H60" s="22">
        <f t="shared" si="15"/>
        <v>0</v>
      </c>
      <c r="I60" s="20">
        <f t="shared" si="15"/>
        <v>0</v>
      </c>
      <c r="J60" s="21">
        <f t="shared" si="15"/>
        <v>0</v>
      </c>
      <c r="K60" s="21">
        <f t="shared" si="15"/>
        <v>0</v>
      </c>
      <c r="L60" s="74">
        <f t="shared" si="15"/>
        <v>0</v>
      </c>
      <c r="M60" s="20"/>
      <c r="N60" s="21">
        <f>SUM(N29:N59)</f>
        <v>0</v>
      </c>
      <c r="O60" s="21">
        <f>SUM(O29:O59)</f>
        <v>0</v>
      </c>
      <c r="P60" s="20"/>
      <c r="Q60" s="20"/>
      <c r="R60" s="22">
        <f>SUM(R29:R59)</f>
        <v>0</v>
      </c>
      <c r="S60" s="22">
        <f>SUM(S29:S59)</f>
        <v>50</v>
      </c>
      <c r="T60" s="22">
        <f>SUM(T43:T59)</f>
        <v>855.43999999999994</v>
      </c>
      <c r="U60" s="22">
        <f>SUM(U29:U59)</f>
        <v>0.68</v>
      </c>
      <c r="V60" s="23"/>
      <c r="W60" s="23"/>
    </row>
    <row r="61" spans="2:23" ht="15" thickBot="1" x14ac:dyDescent="0.4">
      <c r="G61" s="61"/>
      <c r="J61" s="82" t="s">
        <v>71</v>
      </c>
      <c r="K61" s="82">
        <f>K60/$C$18</f>
        <v>0</v>
      </c>
      <c r="M61" s="82" t="s">
        <v>69</v>
      </c>
      <c r="N61" s="82">
        <f>N60/$C$18</f>
        <v>0</v>
      </c>
      <c r="O61" s="61"/>
      <c r="S61" s="82" t="s">
        <v>65</v>
      </c>
      <c r="T61" s="82">
        <f>ROUND(T60/$C$18,2)</f>
        <v>27.59</v>
      </c>
    </row>
    <row r="62" spans="2:23" ht="15" thickBot="1" x14ac:dyDescent="0.4">
      <c r="H62" s="2"/>
      <c r="J62" s="82" t="s">
        <v>72</v>
      </c>
      <c r="K62" s="82">
        <f>M59</f>
        <v>0</v>
      </c>
      <c r="M62" s="82" t="s">
        <v>70</v>
      </c>
      <c r="N62" s="82">
        <f>IF(ROUND(N59,2)=0,0,N61*$F$22*$C$18)</f>
        <v>0</v>
      </c>
      <c r="S62" s="82" t="s">
        <v>64</v>
      </c>
      <c r="T62" s="82">
        <f>ROUND(T61*$F$23*$C$18,2)</f>
        <v>0.7</v>
      </c>
    </row>
    <row r="63" spans="2:23" x14ac:dyDescent="0.35">
      <c r="M63" s="61"/>
      <c r="N63" s="61"/>
    </row>
    <row r="66" spans="23:23" x14ac:dyDescent="0.35">
      <c r="W66" s="61">
        <f>T62+S43</f>
        <v>50.7</v>
      </c>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AB76"/>
  <sheetViews>
    <sheetView topLeftCell="E28" zoomScale="74" zoomScaleNormal="73" workbookViewId="0">
      <selection activeCell="T30" sqref="T3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16.81640625" customWidth="1"/>
    <col min="19" max="19" width="19.26953125" bestFit="1" customWidth="1"/>
    <col min="20" max="20" width="12.08984375"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2" t="s">
        <v>50</v>
      </c>
      <c r="F2" s="103"/>
    </row>
    <row r="3" spans="2:12" ht="15" thickBot="1" x14ac:dyDescent="0.4">
      <c r="B3" s="28" t="s">
        <v>1</v>
      </c>
      <c r="C3" s="37">
        <v>25</v>
      </c>
      <c r="E3" s="45" t="s">
        <v>24</v>
      </c>
      <c r="F3" s="46">
        <f>C17</f>
        <v>45046</v>
      </c>
    </row>
    <row r="4" spans="2:12" ht="15" thickBot="1" x14ac:dyDescent="0.4">
      <c r="B4"/>
      <c r="C4"/>
      <c r="E4" s="62" t="s">
        <v>25</v>
      </c>
      <c r="F4" s="62">
        <f>'Feb Statement'!F11</f>
        <v>1025</v>
      </c>
    </row>
    <row r="5" spans="2:12" ht="15" thickBot="1" x14ac:dyDescent="0.4">
      <c r="B5" s="29" t="s">
        <v>5</v>
      </c>
      <c r="C5" s="38">
        <v>44958</v>
      </c>
      <c r="E5" s="32" t="s">
        <v>10</v>
      </c>
      <c r="F5" s="33">
        <f>SUM(I11:I12)</f>
        <v>0</v>
      </c>
    </row>
    <row r="6" spans="2:12" x14ac:dyDescent="0.35">
      <c r="B6" s="30" t="s">
        <v>8</v>
      </c>
      <c r="C6" s="39">
        <v>44985</v>
      </c>
      <c r="E6" s="34" t="s">
        <v>26</v>
      </c>
      <c r="F6" s="35">
        <f>I59</f>
        <v>0</v>
      </c>
      <c r="H6" s="104" t="s">
        <v>40</v>
      </c>
      <c r="I6" s="105"/>
    </row>
    <row r="7" spans="2:12" ht="29" x14ac:dyDescent="0.35">
      <c r="B7" s="30" t="s">
        <v>6</v>
      </c>
      <c r="C7" s="40">
        <v>28</v>
      </c>
      <c r="E7" s="34" t="s">
        <v>27</v>
      </c>
      <c r="F7" s="35">
        <f>R59</f>
        <v>0</v>
      </c>
      <c r="H7" s="7" t="s">
        <v>37</v>
      </c>
      <c r="I7" s="8">
        <f>J59</f>
        <v>0</v>
      </c>
      <c r="L7" s="61"/>
    </row>
    <row r="8" spans="2:12" ht="29.5" thickBot="1" x14ac:dyDescent="0.4">
      <c r="B8" s="31" t="s">
        <v>7</v>
      </c>
      <c r="C8" s="41">
        <f>C6+C3</f>
        <v>45010</v>
      </c>
      <c r="E8" s="34" t="s">
        <v>28</v>
      </c>
      <c r="F8" s="35">
        <f>SUM(I7:I8)</f>
        <v>0</v>
      </c>
      <c r="H8" s="49" t="s">
        <v>38</v>
      </c>
      <c r="I8" s="50">
        <f>S59</f>
        <v>0</v>
      </c>
      <c r="L8" s="61"/>
    </row>
    <row r="9" spans="2:12" ht="29.5" customHeight="1" thickBot="1" x14ac:dyDescent="0.4">
      <c r="B9"/>
      <c r="C9" s="3"/>
      <c r="E9" s="34" t="s">
        <v>29</v>
      </c>
      <c r="F9" s="35">
        <f>SUM(I15:I16)</f>
        <v>0</v>
      </c>
      <c r="L9" s="61"/>
    </row>
    <row r="10" spans="2:12" ht="15" thickBot="1" x14ac:dyDescent="0.4">
      <c r="B10" s="29" t="s">
        <v>12</v>
      </c>
      <c r="C10" s="38">
        <v>44986</v>
      </c>
      <c r="E10" s="4"/>
      <c r="F10" s="6"/>
      <c r="H10" s="122" t="s">
        <v>41</v>
      </c>
      <c r="I10" s="123"/>
      <c r="J10" s="124"/>
    </row>
    <row r="11" spans="2:12" ht="14.5" customHeight="1" x14ac:dyDescent="0.35">
      <c r="B11" s="30" t="s">
        <v>13</v>
      </c>
      <c r="C11" s="39">
        <f>C10+C12-1</f>
        <v>45016</v>
      </c>
      <c r="E11" s="55" t="s">
        <v>30</v>
      </c>
      <c r="F11" s="56">
        <f>F4+F6+F7+F8+F9-F5</f>
        <v>1025</v>
      </c>
      <c r="H11" s="72" t="s">
        <v>42</v>
      </c>
      <c r="I11" s="73">
        <f>SUM(F59:G59)</f>
        <v>0</v>
      </c>
      <c r="J11" s="100" t="s">
        <v>73</v>
      </c>
      <c r="K11" s="121"/>
    </row>
    <row r="12" spans="2:12" ht="15" thickBot="1" x14ac:dyDescent="0.4">
      <c r="B12" s="30" t="s">
        <v>14</v>
      </c>
      <c r="C12" s="40">
        <v>31</v>
      </c>
      <c r="E12" s="4"/>
      <c r="F12" s="6"/>
      <c r="H12" s="49" t="s">
        <v>43</v>
      </c>
      <c r="I12" s="50">
        <f>H59</f>
        <v>0</v>
      </c>
      <c r="J12" s="101"/>
      <c r="K12" s="121"/>
    </row>
    <row r="13" spans="2:12" ht="15" thickBot="1" x14ac:dyDescent="0.4">
      <c r="B13" s="31" t="s">
        <v>15</v>
      </c>
      <c r="C13" s="41">
        <v>45041</v>
      </c>
      <c r="E13" s="53" t="s">
        <v>31</v>
      </c>
      <c r="F13" s="54">
        <v>50000</v>
      </c>
    </row>
    <row r="14" spans="2:12" x14ac:dyDescent="0.35">
      <c r="E14" s="51" t="s">
        <v>32</v>
      </c>
      <c r="F14" s="52">
        <f>F13-F11</f>
        <v>48975</v>
      </c>
      <c r="H14" s="104" t="s">
        <v>44</v>
      </c>
      <c r="I14" s="105"/>
    </row>
    <row r="15" spans="2:12" ht="29.5" thickBot="1" x14ac:dyDescent="0.4">
      <c r="B15"/>
      <c r="C15" s="3"/>
      <c r="E15" s="53" t="s">
        <v>33</v>
      </c>
      <c r="F15" s="54">
        <v>20000</v>
      </c>
      <c r="H15" s="7" t="s">
        <v>45</v>
      </c>
      <c r="I15" s="8">
        <f>K61</f>
        <v>0</v>
      </c>
    </row>
    <row r="16" spans="2:12" ht="29.5" thickBot="1" x14ac:dyDescent="0.4">
      <c r="B16" s="29" t="s">
        <v>3</v>
      </c>
      <c r="C16" s="38">
        <f>C10+C12</f>
        <v>45017</v>
      </c>
      <c r="E16" s="51" t="s">
        <v>34</v>
      </c>
      <c r="F16" s="52">
        <f>F15-F7-I16</f>
        <v>20000</v>
      </c>
      <c r="H16" s="49" t="s">
        <v>43</v>
      </c>
      <c r="I16" s="50">
        <v>0</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104" t="s">
        <v>51</v>
      </c>
      <c r="I18" s="105"/>
    </row>
    <row r="19" spans="2:23" ht="15" thickBot="1" x14ac:dyDescent="0.4">
      <c r="B19" s="31" t="s">
        <v>16</v>
      </c>
      <c r="C19" s="41">
        <f>C17+C3</f>
        <v>45071</v>
      </c>
      <c r="H19" s="7" t="s">
        <v>42</v>
      </c>
      <c r="I19" s="8">
        <v>0</v>
      </c>
    </row>
    <row r="20" spans="2:23" ht="15" thickBot="1" x14ac:dyDescent="0.4">
      <c r="H20" s="49" t="s">
        <v>43</v>
      </c>
      <c r="I20" s="50">
        <v>0</v>
      </c>
      <c r="J20" s="5"/>
    </row>
    <row r="21" spans="2:23" x14ac:dyDescent="0.35">
      <c r="B21" s="104" t="s">
        <v>17</v>
      </c>
      <c r="C21" s="105"/>
      <c r="E21" s="104" t="s">
        <v>22</v>
      </c>
      <c r="F21" s="105"/>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50</v>
      </c>
      <c r="M24" s="61"/>
    </row>
    <row r="25" spans="2:23" x14ac:dyDescent="0.35">
      <c r="C25" s="9"/>
      <c r="E25" s="1"/>
      <c r="F25" s="10"/>
    </row>
    <row r="26" spans="2:23" ht="15" thickBot="1" x14ac:dyDescent="0.4">
      <c r="C26" s="9"/>
      <c r="E26" s="1"/>
      <c r="F26" s="10"/>
    </row>
    <row r="27" spans="2:23" ht="15" customHeight="1" thickBot="1" x14ac:dyDescent="0.4">
      <c r="B27" s="70"/>
      <c r="C27" s="71"/>
      <c r="D27" s="118" t="s">
        <v>10</v>
      </c>
      <c r="E27" s="118"/>
      <c r="F27" s="118"/>
      <c r="G27" s="118"/>
      <c r="H27" s="118"/>
      <c r="I27" s="117" t="s">
        <v>47</v>
      </c>
      <c r="J27" s="117"/>
      <c r="K27" s="117"/>
      <c r="L27" s="117"/>
      <c r="M27" s="117"/>
      <c r="N27" s="117"/>
      <c r="O27" s="117"/>
      <c r="P27" s="117"/>
      <c r="Q27" s="117"/>
      <c r="R27" s="115" t="s">
        <v>48</v>
      </c>
      <c r="S27" s="115"/>
      <c r="T27" s="115"/>
      <c r="U27" s="115"/>
      <c r="V27" s="115"/>
      <c r="W27" s="116"/>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v>50.7</v>
      </c>
      <c r="U29" s="15">
        <f>V29</f>
        <v>4.1657342465753429E-2</v>
      </c>
      <c r="V29" s="16">
        <f>T29*$F$23</f>
        <v>4.1657342465753429E-2</v>
      </c>
      <c r="W29" s="16">
        <f>IF(T29=0,0,$I$20+R29+S29-H29)</f>
        <v>0</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8" si="3">ROUND(N29+I30+J30+O29-G30,2)</f>
        <v>0</v>
      </c>
      <c r="O30" s="13">
        <f>P30-P29</f>
        <v>0</v>
      </c>
      <c r="P30" s="13">
        <f>ROUND(P29+N30*$F$22,2)</f>
        <v>0</v>
      </c>
      <c r="Q30" s="13">
        <f>ROUND(N30+K30-M29-P29,2)</f>
        <v>0</v>
      </c>
      <c r="R30" s="17"/>
      <c r="S30" s="17"/>
      <c r="T30" s="17">
        <f>T29+U29+R30+S30-H30</f>
        <v>50.741657342465757</v>
      </c>
      <c r="U30" s="17">
        <f t="shared" ref="U30:U58" si="4">V30-V29</f>
        <v>0.04</v>
      </c>
      <c r="V30" s="18">
        <f>V29+ROUND(T30*$F$23,2)</f>
        <v>8.165734246575343E-2</v>
      </c>
      <c r="W30" s="16">
        <f>IF(T30=0,0,W29+R30+S30-H30)</f>
        <v>0</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0</v>
      </c>
      <c r="L31" s="13">
        <f t="shared" ref="L31:L58" si="7">M31-M30</f>
        <v>0</v>
      </c>
      <c r="M31" s="13">
        <f t="shared" ref="M31:M58" si="8">IF(K31=0,0,M30+K31*$F$22)</f>
        <v>0</v>
      </c>
      <c r="N31" s="13">
        <f t="shared" si="3"/>
        <v>0</v>
      </c>
      <c r="O31" s="13">
        <f t="shared" ref="O31:O58" si="9">P31-P30</f>
        <v>0</v>
      </c>
      <c r="P31" s="13">
        <f t="shared" ref="P31:P56" si="10">ROUND(P30+N31*$F$22,2)</f>
        <v>0</v>
      </c>
      <c r="Q31" s="13">
        <f t="shared" ref="Q31:Q58" si="11">ROUND(N31+K31-M30-P30,2)</f>
        <v>0</v>
      </c>
      <c r="R31" s="17"/>
      <c r="S31" s="17"/>
      <c r="T31" s="17">
        <f>T30+U30+R31+S31-H31</f>
        <v>50.781657342465756</v>
      </c>
      <c r="U31" s="17">
        <f t="shared" si="4"/>
        <v>4.0000000000000008E-2</v>
      </c>
      <c r="V31" s="18">
        <f>V30+ROUND(T31*$F$23,2)</f>
        <v>0.12165734246575344</v>
      </c>
      <c r="W31" s="16">
        <f t="shared" ref="W31:W58" si="12">IF(T31=0,0,W30+R31+S31-H31)</f>
        <v>0</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50.821657342465755</v>
      </c>
      <c r="U32" s="17">
        <f t="shared" si="4"/>
        <v>4.0000000000000008E-2</v>
      </c>
      <c r="V32" s="18">
        <f t="shared" ref="V32:V58" si="13">V31+ROUND(T32*$F$23,2)</f>
        <v>0.16165734246575345</v>
      </c>
      <c r="W32" s="16">
        <f t="shared" si="12"/>
        <v>0</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8" si="14">T32+U32+R33+S33-H33</f>
        <v>50.861657342465755</v>
      </c>
      <c r="U33" s="17">
        <f t="shared" si="4"/>
        <v>4.0000000000000008E-2</v>
      </c>
      <c r="V33" s="18">
        <f t="shared" si="13"/>
        <v>0.20165734246575345</v>
      </c>
      <c r="W33" s="16">
        <f t="shared" si="12"/>
        <v>0</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50.901657342465754</v>
      </c>
      <c r="U34" s="17">
        <f t="shared" si="4"/>
        <v>4.0000000000000008E-2</v>
      </c>
      <c r="V34" s="18">
        <f t="shared" si="13"/>
        <v>0.24165734246575346</v>
      </c>
      <c r="W34" s="16">
        <f t="shared" si="12"/>
        <v>0</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50.941657342465753</v>
      </c>
      <c r="U35" s="17">
        <f t="shared" si="4"/>
        <v>4.0000000000000008E-2</v>
      </c>
      <c r="V35" s="18">
        <f t="shared" si="13"/>
        <v>0.28165734246575347</v>
      </c>
      <c r="W35" s="16">
        <f t="shared" si="12"/>
        <v>0</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T35+M57+R36+S36-H36</f>
        <v>50.941657342465753</v>
      </c>
      <c r="U36" s="17">
        <f t="shared" si="4"/>
        <v>3.999999999999998E-2</v>
      </c>
      <c r="V36" s="18">
        <f t="shared" si="13"/>
        <v>0.32165734246575345</v>
      </c>
      <c r="W36" s="16">
        <f t="shared" si="12"/>
        <v>0</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50.981657342465752</v>
      </c>
      <c r="U37" s="17">
        <f t="shared" si="4"/>
        <v>3.999999999999998E-2</v>
      </c>
      <c r="V37" s="18">
        <f t="shared" si="13"/>
        <v>0.36165734246575343</v>
      </c>
      <c r="W37" s="16">
        <f t="shared" si="12"/>
        <v>0</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51.021657342465751</v>
      </c>
      <c r="U38" s="17">
        <f t="shared" si="4"/>
        <v>3.999999999999998E-2</v>
      </c>
      <c r="V38" s="18">
        <f t="shared" si="13"/>
        <v>0.40165734246575341</v>
      </c>
      <c r="W38" s="16">
        <f t="shared" si="12"/>
        <v>0</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51.06165734246575</v>
      </c>
      <c r="U39" s="17">
        <f t="shared" si="4"/>
        <v>3.999999999999998E-2</v>
      </c>
      <c r="V39" s="18">
        <f t="shared" si="13"/>
        <v>0.44165734246575339</v>
      </c>
      <c r="W39" s="16">
        <f t="shared" si="12"/>
        <v>0</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51.101657342465749</v>
      </c>
      <c r="U40" s="17">
        <f t="shared" si="4"/>
        <v>3.999999999999998E-2</v>
      </c>
      <c r="V40" s="18">
        <f t="shared" si="13"/>
        <v>0.48165734246575337</v>
      </c>
      <c r="W40" s="16">
        <f t="shared" si="12"/>
        <v>0</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51.141657342465749</v>
      </c>
      <c r="U41" s="17">
        <f t="shared" si="4"/>
        <v>3.999999999999998E-2</v>
      </c>
      <c r="V41" s="18">
        <f t="shared" si="13"/>
        <v>0.52165734246575335</v>
      </c>
      <c r="W41" s="16">
        <f t="shared" si="12"/>
        <v>0</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51.181657342465748</v>
      </c>
      <c r="U42" s="17">
        <f>V42-V41</f>
        <v>4.0000000000000036E-2</v>
      </c>
      <c r="V42" s="18">
        <f t="shared" si="13"/>
        <v>0.56165734246575338</v>
      </c>
      <c r="W42" s="16">
        <f t="shared" si="12"/>
        <v>0</v>
      </c>
    </row>
    <row r="43" spans="2:23" s="90" customFormat="1" x14ac:dyDescent="0.35">
      <c r="B43" s="84">
        <f t="shared" si="0"/>
        <v>45030</v>
      </c>
      <c r="C43" s="85">
        <f t="shared" si="1"/>
        <v>45031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0</v>
      </c>
      <c r="L43" s="87">
        <f t="shared" si="7"/>
        <v>0</v>
      </c>
      <c r="M43" s="87">
        <f t="shared" si="8"/>
        <v>0</v>
      </c>
      <c r="N43" s="87">
        <f t="shared" si="3"/>
        <v>0</v>
      </c>
      <c r="O43" s="87">
        <f t="shared" si="9"/>
        <v>0</v>
      </c>
      <c r="P43" s="87">
        <f t="shared" si="10"/>
        <v>0</v>
      </c>
      <c r="Q43" s="87">
        <f t="shared" si="11"/>
        <v>0</v>
      </c>
      <c r="R43" s="87"/>
      <c r="S43" s="87"/>
      <c r="T43" s="87">
        <f>T42+U42+R43+S43-H43</f>
        <v>51.221657342465747</v>
      </c>
      <c r="U43" s="87">
        <f t="shared" si="4"/>
        <v>4.0000000000000036E-2</v>
      </c>
      <c r="V43" s="18">
        <f t="shared" si="13"/>
        <v>0.60165734246575342</v>
      </c>
      <c r="W43" s="89">
        <f t="shared" si="12"/>
        <v>0</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51.261657342465746</v>
      </c>
      <c r="U44" s="17">
        <f t="shared" si="4"/>
        <v>4.0000000000000036E-2</v>
      </c>
      <c r="V44" s="18">
        <f t="shared" si="13"/>
        <v>0.64165734246575346</v>
      </c>
      <c r="W44" s="16">
        <f t="shared" si="12"/>
        <v>0</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51.301657342465745</v>
      </c>
      <c r="U45" s="17">
        <f t="shared" si="4"/>
        <v>4.0000000000000036E-2</v>
      </c>
      <c r="V45" s="18">
        <f t="shared" si="13"/>
        <v>0.68165734246575349</v>
      </c>
      <c r="W45" s="16">
        <f>IF(T45=0,0,W44+R45+S45-H45)</f>
        <v>0</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51.341657342465744</v>
      </c>
      <c r="U46" s="17">
        <f t="shared" si="4"/>
        <v>4.0000000000000036E-2</v>
      </c>
      <c r="V46" s="18">
        <f t="shared" si="13"/>
        <v>0.72165734246575353</v>
      </c>
      <c r="W46" s="16">
        <f>IF(T46=0,0,W45+R46+S46-H46)</f>
        <v>0</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51.381657342465743</v>
      </c>
      <c r="U47" s="17">
        <f t="shared" si="4"/>
        <v>4.0000000000000036E-2</v>
      </c>
      <c r="V47" s="18">
        <f t="shared" si="13"/>
        <v>0.76165734246575356</v>
      </c>
      <c r="W47" s="16">
        <f t="shared" si="12"/>
        <v>0</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51.421657342465743</v>
      </c>
      <c r="U48" s="17">
        <f t="shared" si="4"/>
        <v>4.0000000000000036E-2</v>
      </c>
      <c r="V48" s="18">
        <f t="shared" si="13"/>
        <v>0.8016573424657536</v>
      </c>
      <c r="W48" s="16">
        <f t="shared" si="12"/>
        <v>0</v>
      </c>
    </row>
    <row r="49" spans="2:28"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51.461657342465742</v>
      </c>
      <c r="U49" s="17">
        <f t="shared" si="4"/>
        <v>4.0000000000000036E-2</v>
      </c>
      <c r="V49" s="18">
        <f t="shared" si="13"/>
        <v>0.84165734246575363</v>
      </c>
      <c r="W49" s="16">
        <f t="shared" si="12"/>
        <v>0</v>
      </c>
    </row>
    <row r="50" spans="2:28" ht="13" customHeight="1"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51.501657342465741</v>
      </c>
      <c r="U50" s="17">
        <f t="shared" si="4"/>
        <v>4.0000000000000036E-2</v>
      </c>
      <c r="V50" s="18">
        <f t="shared" si="13"/>
        <v>0.88165734246575367</v>
      </c>
      <c r="W50" s="16">
        <f t="shared" si="12"/>
        <v>0</v>
      </c>
    </row>
    <row r="51" spans="2:28" s="90" customFormat="1" x14ac:dyDescent="0.35">
      <c r="B51" s="84">
        <f t="shared" si="0"/>
        <v>45038</v>
      </c>
      <c r="C51" s="85">
        <f t="shared" si="1"/>
        <v>45039</v>
      </c>
      <c r="D51" s="86"/>
      <c r="E51" s="87">
        <f>IF(SUM(E$29:E50)=$I$24,0,IF((D51&lt;=$I$24-SUM(E$29:E50)),D51,$I$24-SUM(E$29:E50)))</f>
        <v>0</v>
      </c>
      <c r="F51" s="87">
        <f>IF($I$19&gt;0,IF(SUM(F$29:F50)&lt;$I$19,IF((D51-E51)&gt;0,IF($I$20=0,IF($I$19-SUM(F$29:F50)&gt;D51,D51,$I$19-SUM(F$29:F50)),E51),D51),0)+IF($I$20&gt;0,IF(D51-$I$20-SUM($H$29:H50)-IF($I$19=0,0,E51)&gt;0,IF(D51-$I$20-SUM($H$29:H50)-IF($I$19=0,0,E51)&gt;$I$19,$I$19-SUM(F$29:F50)-E51,D51-$I$20-SUM($H$29:H50)-IF($I$19=0,0,E51)),0),0),0)</f>
        <v>0</v>
      </c>
      <c r="G51" s="87">
        <f t="shared" si="2"/>
        <v>0</v>
      </c>
      <c r="H51" s="87">
        <f t="shared" si="5"/>
        <v>0</v>
      </c>
      <c r="I51" s="87"/>
      <c r="J51" s="87"/>
      <c r="K51" s="87">
        <f>IF(SUM($F$29:$F$53)&gt;=$I$19,0,ROUND(K50+L50-F51,2))</f>
        <v>0</v>
      </c>
      <c r="L51" s="87">
        <f t="shared" si="7"/>
        <v>0</v>
      </c>
      <c r="M51" s="87">
        <f t="shared" si="8"/>
        <v>0</v>
      </c>
      <c r="N51" s="87">
        <f t="shared" si="3"/>
        <v>0</v>
      </c>
      <c r="O51" s="87">
        <f t="shared" si="9"/>
        <v>0</v>
      </c>
      <c r="P51" s="87">
        <f t="shared" si="10"/>
        <v>0</v>
      </c>
      <c r="Q51" s="87">
        <f t="shared" si="11"/>
        <v>0</v>
      </c>
      <c r="R51" s="87"/>
      <c r="S51" s="87"/>
      <c r="T51" s="87">
        <f t="shared" si="14"/>
        <v>51.54165734246574</v>
      </c>
      <c r="U51" s="87">
        <f t="shared" si="4"/>
        <v>4.0000000000000036E-2</v>
      </c>
      <c r="V51" s="18">
        <f t="shared" si="13"/>
        <v>0.9216573424657537</v>
      </c>
      <c r="W51" s="89">
        <f t="shared" si="12"/>
        <v>0</v>
      </c>
    </row>
    <row r="52" spans="2:28"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0</v>
      </c>
      <c r="O52" s="13">
        <f t="shared" si="9"/>
        <v>0</v>
      </c>
      <c r="P52" s="13">
        <f t="shared" si="10"/>
        <v>0</v>
      </c>
      <c r="Q52" s="13">
        <f t="shared" si="11"/>
        <v>0</v>
      </c>
      <c r="R52" s="17"/>
      <c r="S52" s="17"/>
      <c r="T52" s="17">
        <f t="shared" si="14"/>
        <v>51.581657342465739</v>
      </c>
      <c r="U52" s="17">
        <f t="shared" si="4"/>
        <v>4.0000000000000036E-2</v>
      </c>
      <c r="V52" s="18">
        <f t="shared" si="13"/>
        <v>0.96165734246575374</v>
      </c>
      <c r="W52" s="16">
        <f t="shared" si="12"/>
        <v>0</v>
      </c>
    </row>
    <row r="53" spans="2:28" s="90" customFormat="1" x14ac:dyDescent="0.35">
      <c r="B53" s="84">
        <f t="shared" si="0"/>
        <v>45040</v>
      </c>
      <c r="C53" s="85">
        <f t="shared" si="1"/>
        <v>45041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0</v>
      </c>
      <c r="L53" s="87">
        <f t="shared" si="7"/>
        <v>0</v>
      </c>
      <c r="M53" s="94">
        <f t="shared" si="8"/>
        <v>0</v>
      </c>
      <c r="N53" s="87">
        <f t="shared" si="3"/>
        <v>0</v>
      </c>
      <c r="O53" s="87">
        <f t="shared" si="9"/>
        <v>0</v>
      </c>
      <c r="P53" s="87">
        <f t="shared" si="10"/>
        <v>0</v>
      </c>
      <c r="Q53" s="87">
        <f t="shared" si="11"/>
        <v>0</v>
      </c>
      <c r="R53" s="87"/>
      <c r="S53" s="87"/>
      <c r="T53" s="87">
        <f t="shared" si="14"/>
        <v>51.621657342465738</v>
      </c>
      <c r="U53" s="87">
        <f t="shared" si="4"/>
        <v>4.0000000000000036E-2</v>
      </c>
      <c r="V53" s="129">
        <f t="shared" si="13"/>
        <v>1.0016573424657538</v>
      </c>
      <c r="W53" s="89">
        <f t="shared" si="12"/>
        <v>0</v>
      </c>
    </row>
    <row r="54" spans="2:28" s="90" customFormat="1" x14ac:dyDescent="0.35">
      <c r="B54" s="84">
        <f t="shared" si="0"/>
        <v>45041</v>
      </c>
      <c r="C54" s="85">
        <f t="shared" si="1"/>
        <v>45042</v>
      </c>
      <c r="D54" s="86"/>
      <c r="E54" s="87">
        <f>IF(SUM(E$29:E53)=$I$24,0,IF((D54&lt;=$I$24-SUM(E$29:E53)),D54,$I$24-SUM(E$29:E53)))</f>
        <v>0</v>
      </c>
      <c r="F54" s="87">
        <f>IF($I$19&gt;0,IF(SUM(F$29:F53)&lt;$I$19,IF((D54-E54)&gt;0,IF($I$20=0,IF($I$19-SUM(F$29:F53)&gt;D54,D54,$I$19-SUM(F$29:F53)),E54),D54),0)+IF($I$20&gt;0,IF(D54-$I$20-SUM($H$29:H53)-IF($I$19=0,0,E54)&gt;0,IF(D54-$I$20-SUM($H$29:H53)-IF($I$19=0,0,E54)&gt;$I$19,$I$19-SUM(F$29:F53)-E54,D54-$I$20-SUM($H$29:H53)-IF($I$19=0,0,E54)),0),0),0)</f>
        <v>0</v>
      </c>
      <c r="G54" s="87">
        <f t="shared" si="2"/>
        <v>0</v>
      </c>
      <c r="H54" s="87">
        <f t="shared" si="5"/>
        <v>0</v>
      </c>
      <c r="I54" s="87"/>
      <c r="J54" s="87"/>
      <c r="K54" s="87">
        <f t="shared" si="6"/>
        <v>0</v>
      </c>
      <c r="L54" s="87">
        <f t="shared" si="7"/>
        <v>0</v>
      </c>
      <c r="M54" s="87">
        <f t="shared" si="8"/>
        <v>0</v>
      </c>
      <c r="N54" s="87">
        <f t="shared" si="3"/>
        <v>0</v>
      </c>
      <c r="O54" s="87">
        <f t="shared" si="9"/>
        <v>0</v>
      </c>
      <c r="P54" s="87">
        <f>ROUND(P53+N54*$F$22,2)</f>
        <v>0</v>
      </c>
      <c r="Q54" s="87">
        <f t="shared" si="11"/>
        <v>0</v>
      </c>
      <c r="R54" s="87"/>
      <c r="S54" s="130"/>
      <c r="T54" s="87">
        <f t="shared" si="14"/>
        <v>51.661657342465737</v>
      </c>
      <c r="U54" s="87">
        <f t="shared" si="4"/>
        <v>4.0000000000000036E-2</v>
      </c>
      <c r="V54" s="18">
        <f t="shared" si="13"/>
        <v>1.0416573424657538</v>
      </c>
      <c r="W54" s="89">
        <f t="shared" si="12"/>
        <v>0</v>
      </c>
    </row>
    <row r="55" spans="2:28"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51.701657342465737</v>
      </c>
      <c r="U55" s="17">
        <f t="shared" si="4"/>
        <v>4.0000000000000036E-2</v>
      </c>
      <c r="V55" s="18">
        <f t="shared" si="13"/>
        <v>1.0816573424657538</v>
      </c>
      <c r="W55" s="16">
        <f t="shared" si="12"/>
        <v>0</v>
      </c>
    </row>
    <row r="56" spans="2:28" s="90" customFormat="1" x14ac:dyDescent="0.35">
      <c r="B56" s="84">
        <f t="shared" si="0"/>
        <v>45043</v>
      </c>
      <c r="C56" s="85">
        <f t="shared" si="1"/>
        <v>45044</v>
      </c>
      <c r="D56" s="86"/>
      <c r="E56" s="93">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 t="shared" si="6"/>
        <v>0</v>
      </c>
      <c r="L56" s="87">
        <f t="shared" si="7"/>
        <v>0</v>
      </c>
      <c r="M56" s="87">
        <f t="shared" si="8"/>
        <v>0</v>
      </c>
      <c r="N56" s="87">
        <f t="shared" si="3"/>
        <v>0</v>
      </c>
      <c r="O56" s="87">
        <f t="shared" si="9"/>
        <v>0</v>
      </c>
      <c r="P56" s="87">
        <f t="shared" si="10"/>
        <v>0</v>
      </c>
      <c r="Q56" s="87">
        <f t="shared" si="11"/>
        <v>0</v>
      </c>
      <c r="R56" s="87"/>
      <c r="S56" s="87"/>
      <c r="T56" s="87">
        <f t="shared" si="14"/>
        <v>51.741657342465736</v>
      </c>
      <c r="U56" s="87">
        <f t="shared" si="4"/>
        <v>4.0000000000000036E-2</v>
      </c>
      <c r="V56" s="18">
        <f t="shared" si="13"/>
        <v>1.1216573424657539</v>
      </c>
      <c r="W56" s="89">
        <f t="shared" si="12"/>
        <v>0</v>
      </c>
    </row>
    <row r="57" spans="2:28"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ROUND(P56+N57*$F$22,2)</f>
        <v>0</v>
      </c>
      <c r="Q57" s="13">
        <f t="shared" si="11"/>
        <v>0</v>
      </c>
      <c r="R57" s="17"/>
      <c r="S57" s="17"/>
      <c r="T57" s="17">
        <f t="shared" si="14"/>
        <v>51.781657342465735</v>
      </c>
      <c r="U57" s="17">
        <f t="shared" si="4"/>
        <v>4.0000000000000036E-2</v>
      </c>
      <c r="V57" s="18">
        <f t="shared" si="13"/>
        <v>1.1616573424657539</v>
      </c>
      <c r="W57" s="16">
        <f t="shared" si="12"/>
        <v>0</v>
      </c>
    </row>
    <row r="58" spans="2:28"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0</v>
      </c>
      <c r="O58" s="13">
        <f t="shared" si="9"/>
        <v>0</v>
      </c>
      <c r="P58" s="13">
        <f>ROUND(P57+N58*$F$22,2)</f>
        <v>0</v>
      </c>
      <c r="Q58" s="13">
        <f t="shared" si="11"/>
        <v>0</v>
      </c>
      <c r="R58" s="17"/>
      <c r="S58" s="17"/>
      <c r="T58" s="17">
        <f t="shared" si="14"/>
        <v>51.821657342465734</v>
      </c>
      <c r="U58" s="17">
        <f t="shared" si="4"/>
        <v>4.0000000000000036E-2</v>
      </c>
      <c r="V58" s="18">
        <f t="shared" si="13"/>
        <v>1.201657342465754</v>
      </c>
      <c r="W58" s="16">
        <f t="shared" si="12"/>
        <v>0</v>
      </c>
    </row>
    <row r="59" spans="2:28" ht="15" thickBot="1" x14ac:dyDescent="0.4">
      <c r="B59" s="119" t="s">
        <v>49</v>
      </c>
      <c r="C59" s="120"/>
      <c r="D59" s="67">
        <f t="shared" ref="D59:L59" si="15">SUM(D29:D58)</f>
        <v>0</v>
      </c>
      <c r="E59" s="21">
        <f t="shared" si="15"/>
        <v>0</v>
      </c>
      <c r="F59" s="21">
        <f t="shared" si="15"/>
        <v>0</v>
      </c>
      <c r="G59" s="21">
        <f t="shared" si="15"/>
        <v>0</v>
      </c>
      <c r="H59" s="22">
        <f t="shared" si="15"/>
        <v>0</v>
      </c>
      <c r="I59" s="20">
        <f t="shared" si="15"/>
        <v>0</v>
      </c>
      <c r="J59" s="21">
        <f t="shared" si="15"/>
        <v>0</v>
      </c>
      <c r="K59" s="21">
        <f>SUM(K29:K53)</f>
        <v>0</v>
      </c>
      <c r="L59" s="74">
        <f t="shared" si="15"/>
        <v>0</v>
      </c>
      <c r="M59" s="20"/>
      <c r="N59" s="21">
        <f>SUM(N29:N58)</f>
        <v>0</v>
      </c>
      <c r="O59" s="21">
        <f>SUM(O29:O58)</f>
        <v>0</v>
      </c>
      <c r="P59" s="20"/>
      <c r="Q59" s="20"/>
      <c r="R59" s="22">
        <f>SUM(R29:R58)</f>
        <v>0</v>
      </c>
      <c r="S59" s="22">
        <f>SUM(S29:S58)</f>
        <v>0</v>
      </c>
      <c r="T59" s="22">
        <f>SUM(T29:T58)</f>
        <v>1537.5280629315064</v>
      </c>
      <c r="U59" s="22">
        <f>SUM(U29:U58)</f>
        <v>1.201657342465754</v>
      </c>
      <c r="V59" s="23"/>
      <c r="W59" s="23"/>
      <c r="AB59">
        <v>10.518411888485552</v>
      </c>
    </row>
    <row r="60" spans="2:28" ht="15" thickBot="1" x14ac:dyDescent="0.4">
      <c r="G60" s="61"/>
      <c r="J60" s="82" t="s">
        <v>71</v>
      </c>
      <c r="K60" s="82">
        <f>K59/$C$18</f>
        <v>0</v>
      </c>
      <c r="M60" s="82" t="s">
        <v>69</v>
      </c>
      <c r="N60" s="82">
        <f>N59/$C$18</f>
        <v>0</v>
      </c>
      <c r="O60" s="61"/>
      <c r="S60" s="82" t="s">
        <v>65</v>
      </c>
      <c r="T60" s="82">
        <f>T59/$C$18</f>
        <v>51.250935431050216</v>
      </c>
      <c r="AB60">
        <v>7.03</v>
      </c>
    </row>
    <row r="61" spans="2:28" ht="15" thickBot="1" x14ac:dyDescent="0.4">
      <c r="H61" s="2"/>
      <c r="J61" s="82" t="s">
        <v>72</v>
      </c>
      <c r="K61" s="82">
        <f>ROUND(K60*$F$22*$C$18,2)</f>
        <v>0</v>
      </c>
      <c r="M61" s="82" t="s">
        <v>70</v>
      </c>
      <c r="N61" s="95">
        <f>IF(ROUND(N58,2)=0,0,N60*$F$22*$C$18)</f>
        <v>0</v>
      </c>
      <c r="S61" s="82" t="s">
        <v>64</v>
      </c>
      <c r="T61" s="82">
        <f>ROUND(T60*$F$23*$C$18,2)</f>
        <v>1.26</v>
      </c>
      <c r="AB61">
        <f>ROUND(AB59+AB60,2)</f>
        <v>17.55</v>
      </c>
    </row>
    <row r="62" spans="2:28" x14ac:dyDescent="0.35">
      <c r="M62" s="61"/>
      <c r="N62" s="61"/>
    </row>
    <row r="66" spans="10:20" x14ac:dyDescent="0.35">
      <c r="T66" s="61">
        <f>R43+T61+40</f>
        <v>41.26</v>
      </c>
    </row>
    <row r="67" spans="10:20" x14ac:dyDescent="0.35">
      <c r="J67" s="61"/>
      <c r="M67" s="61"/>
      <c r="T67">
        <f>ROUND(12.6400877071483,2)</f>
        <v>12.64</v>
      </c>
    </row>
    <row r="68" spans="10:20" x14ac:dyDescent="0.35">
      <c r="J68" s="61"/>
      <c r="M68" s="61"/>
    </row>
    <row r="69" spans="10:20" x14ac:dyDescent="0.35">
      <c r="J69" s="61"/>
      <c r="M69" s="61"/>
    </row>
    <row r="70" spans="10:20" x14ac:dyDescent="0.35">
      <c r="L70" s="61"/>
    </row>
    <row r="73" spans="10:20" x14ac:dyDescent="0.35">
      <c r="M73" s="61"/>
    </row>
    <row r="74" spans="10:20" x14ac:dyDescent="0.35">
      <c r="J74" s="61">
        <f>SUM(K29:K57)</f>
        <v>0</v>
      </c>
      <c r="L74" s="61">
        <f>J76+M75</f>
        <v>0</v>
      </c>
      <c r="M74" s="61">
        <f>M73/C18</f>
        <v>0</v>
      </c>
    </row>
    <row r="75" spans="10:20" x14ac:dyDescent="0.35">
      <c r="J75" s="61">
        <f>J74/C18</f>
        <v>0</v>
      </c>
      <c r="M75" s="61">
        <f>M74*$F$22*$C$18</f>
        <v>0</v>
      </c>
    </row>
    <row r="76" spans="10:20" x14ac:dyDescent="0.35">
      <c r="J76" s="61">
        <f>J75*$F$22*$C$18</f>
        <v>0</v>
      </c>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AA79"/>
  <sheetViews>
    <sheetView tabSelected="1" topLeftCell="C24" zoomScale="70" zoomScaleNormal="84" workbookViewId="0">
      <selection activeCell="R55" sqref="R55"/>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45.453125" customWidth="1"/>
    <col min="12" max="12" width="17.81640625"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 min="27" max="27" width="15.7265625" customWidth="1"/>
  </cols>
  <sheetData>
    <row r="1" spans="2:12" ht="15" thickBot="1" x14ac:dyDescent="0.4"/>
    <row r="2" spans="2:12" ht="15" thickBot="1" x14ac:dyDescent="0.4">
      <c r="B2" s="27" t="s">
        <v>23</v>
      </c>
      <c r="C2" s="36"/>
      <c r="E2" s="102" t="s">
        <v>50</v>
      </c>
      <c r="F2" s="103"/>
    </row>
    <row r="3" spans="2:12" ht="15" thickBot="1" x14ac:dyDescent="0.4">
      <c r="B3" s="28" t="s">
        <v>1</v>
      </c>
      <c r="C3" s="37">
        <v>25</v>
      </c>
      <c r="E3" s="45" t="s">
        <v>24</v>
      </c>
      <c r="F3" s="46">
        <f>C17</f>
        <v>45077</v>
      </c>
    </row>
    <row r="4" spans="2:12" ht="15" thickBot="1" x14ac:dyDescent="0.4">
      <c r="B4"/>
      <c r="C4"/>
      <c r="E4" s="62" t="s">
        <v>25</v>
      </c>
      <c r="F4" s="62">
        <f>'Feb Statement'!F11</f>
        <v>1025</v>
      </c>
    </row>
    <row r="5" spans="2:12" ht="15" thickBot="1" x14ac:dyDescent="0.4">
      <c r="B5" s="29" t="s">
        <v>5</v>
      </c>
      <c r="C5" s="38">
        <v>44986</v>
      </c>
      <c r="E5" s="32" t="s">
        <v>10</v>
      </c>
      <c r="F5" s="33">
        <f>SUM(I11:I12)</f>
        <v>0</v>
      </c>
    </row>
    <row r="6" spans="2:12" x14ac:dyDescent="0.35">
      <c r="B6" s="30" t="s">
        <v>8</v>
      </c>
      <c r="C6" s="39">
        <v>45016</v>
      </c>
      <c r="E6" s="34" t="s">
        <v>26</v>
      </c>
      <c r="F6" s="35">
        <f>I60</f>
        <v>0</v>
      </c>
      <c r="H6" s="104" t="s">
        <v>40</v>
      </c>
      <c r="I6" s="105"/>
    </row>
    <row r="7" spans="2:12" ht="29" x14ac:dyDescent="0.35">
      <c r="B7" s="30" t="s">
        <v>6</v>
      </c>
      <c r="C7" s="40">
        <v>31</v>
      </c>
      <c r="E7" s="34" t="s">
        <v>27</v>
      </c>
      <c r="F7" s="35">
        <f>R60</f>
        <v>0</v>
      </c>
      <c r="H7" s="7" t="s">
        <v>37</v>
      </c>
      <c r="I7" s="8">
        <f>J60</f>
        <v>40</v>
      </c>
      <c r="L7" s="61"/>
    </row>
    <row r="8" spans="2:12" ht="29.5" thickBot="1" x14ac:dyDescent="0.4">
      <c r="B8" s="31" t="s">
        <v>7</v>
      </c>
      <c r="C8" s="41">
        <f>C6+C3</f>
        <v>45041</v>
      </c>
      <c r="E8" s="34" t="s">
        <v>28</v>
      </c>
      <c r="F8" s="35">
        <f>SUM(I7:I8)</f>
        <v>40</v>
      </c>
      <c r="H8" s="49" t="s">
        <v>38</v>
      </c>
      <c r="I8" s="50">
        <f>S60</f>
        <v>0</v>
      </c>
      <c r="L8" s="61"/>
    </row>
    <row r="9" spans="2:12" ht="29.5" customHeight="1" thickBot="1" x14ac:dyDescent="0.4">
      <c r="B9"/>
      <c r="C9" s="3"/>
      <c r="E9" s="34" t="s">
        <v>29</v>
      </c>
      <c r="F9" s="35">
        <f>SUM(I15:I16)</f>
        <v>52.26</v>
      </c>
      <c r="L9" s="61"/>
    </row>
    <row r="10" spans="2:12" ht="15" thickBot="1" x14ac:dyDescent="0.4">
      <c r="B10" s="29" t="s">
        <v>12</v>
      </c>
      <c r="C10" s="38">
        <f>'April Statement'!C16</f>
        <v>45017</v>
      </c>
      <c r="E10" s="4"/>
      <c r="F10" s="6"/>
      <c r="H10" s="122" t="s">
        <v>41</v>
      </c>
      <c r="I10" s="123"/>
      <c r="J10" s="124"/>
    </row>
    <row r="11" spans="2:12" ht="14.5" customHeight="1" x14ac:dyDescent="0.35">
      <c r="B11" s="30" t="s">
        <v>13</v>
      </c>
      <c r="C11" s="39">
        <f>C10+C12-1</f>
        <v>45046</v>
      </c>
      <c r="E11" s="55" t="s">
        <v>30</v>
      </c>
      <c r="F11" s="56">
        <f>F4+F6+F7+F8+F9-F5</f>
        <v>1117.26</v>
      </c>
      <c r="H11" s="72" t="s">
        <v>42</v>
      </c>
      <c r="I11" s="73">
        <f>SUM(F60:G60)</f>
        <v>0</v>
      </c>
      <c r="J11" s="100" t="s">
        <v>73</v>
      </c>
      <c r="K11" s="121"/>
    </row>
    <row r="12" spans="2:12" ht="15" thickBot="1" x14ac:dyDescent="0.4">
      <c r="B12" s="30" t="s">
        <v>14</v>
      </c>
      <c r="C12" s="40">
        <v>30</v>
      </c>
      <c r="E12" s="4"/>
      <c r="F12" s="6"/>
      <c r="H12" s="49" t="s">
        <v>43</v>
      </c>
      <c r="I12" s="50">
        <f>H60</f>
        <v>0</v>
      </c>
      <c r="J12" s="101"/>
      <c r="K12" s="121"/>
    </row>
    <row r="13" spans="2:12" ht="15" thickBot="1" x14ac:dyDescent="0.4">
      <c r="B13" s="31" t="s">
        <v>15</v>
      </c>
      <c r="C13" s="41">
        <v>45071</v>
      </c>
      <c r="E13" s="53" t="s">
        <v>31</v>
      </c>
      <c r="F13" s="54">
        <v>48960</v>
      </c>
    </row>
    <row r="14" spans="2:12" x14ac:dyDescent="0.35">
      <c r="E14" s="51" t="s">
        <v>32</v>
      </c>
      <c r="F14" s="52">
        <f>F13-F11</f>
        <v>47842.74</v>
      </c>
      <c r="H14" s="104" t="s">
        <v>44</v>
      </c>
      <c r="I14" s="105"/>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19947.740000000002</v>
      </c>
      <c r="H16" s="49" t="s">
        <v>43</v>
      </c>
      <c r="I16" s="50">
        <f>T62</f>
        <v>52.26</v>
      </c>
    </row>
    <row r="17" spans="2:27" ht="15" thickBot="1" x14ac:dyDescent="0.4">
      <c r="B17" s="30" t="s">
        <v>9</v>
      </c>
      <c r="C17" s="39">
        <f>C16+C18-1</f>
        <v>45077</v>
      </c>
      <c r="E17" s="42" t="s">
        <v>0</v>
      </c>
      <c r="F17" s="39">
        <f>C17</f>
        <v>45077</v>
      </c>
    </row>
    <row r="18" spans="2:27" ht="15" thickBot="1" x14ac:dyDescent="0.4">
      <c r="B18" s="30" t="s">
        <v>4</v>
      </c>
      <c r="C18" s="40">
        <v>31</v>
      </c>
      <c r="E18" s="43" t="s">
        <v>2</v>
      </c>
      <c r="F18" s="44">
        <f>C18</f>
        <v>31</v>
      </c>
      <c r="H18" s="104" t="s">
        <v>51</v>
      </c>
      <c r="I18" s="105"/>
    </row>
    <row r="19" spans="2:27" ht="15" thickBot="1" x14ac:dyDescent="0.4">
      <c r="B19" s="31" t="s">
        <v>16</v>
      </c>
      <c r="C19" s="41">
        <f>C17+C3</f>
        <v>45102</v>
      </c>
      <c r="H19" s="7" t="s">
        <v>42</v>
      </c>
      <c r="I19" s="8">
        <f>'April Statement'!I19+'April Statement'!F6+'April Statement'!I7+'April Statement'!I15-'April Statement'!I11</f>
        <v>0</v>
      </c>
    </row>
    <row r="20" spans="2:27" ht="15" thickBot="1" x14ac:dyDescent="0.4">
      <c r="H20" s="49" t="s">
        <v>43</v>
      </c>
      <c r="I20" s="50">
        <f>'Feb Statement'!I20+'Feb Statement'!F7+'Feb Statement'!I8+'Feb Statement'!I16-'Feb Statement'!I12</f>
        <v>0</v>
      </c>
      <c r="J20" s="5"/>
    </row>
    <row r="21" spans="2:27" x14ac:dyDescent="0.35">
      <c r="B21" s="104" t="s">
        <v>17</v>
      </c>
      <c r="C21" s="105"/>
      <c r="E21" s="104" t="s">
        <v>22</v>
      </c>
      <c r="F21" s="105"/>
      <c r="I21" s="62">
        <f>SUM(I19:I20)</f>
        <v>0</v>
      </c>
      <c r="J21" s="5"/>
    </row>
    <row r="22" spans="2:27" x14ac:dyDescent="0.35">
      <c r="B22" s="7" t="s">
        <v>18</v>
      </c>
      <c r="C22" s="57">
        <v>0.22489999999999999</v>
      </c>
      <c r="E22" s="7" t="s">
        <v>18</v>
      </c>
      <c r="F22" s="59">
        <f>C22/365</f>
        <v>6.1616438356164381E-4</v>
      </c>
      <c r="M22" s="61"/>
    </row>
    <row r="23" spans="2:27" ht="15" thickBot="1" x14ac:dyDescent="0.4">
      <c r="B23" s="49" t="s">
        <v>19</v>
      </c>
      <c r="C23" s="58">
        <v>0.2999</v>
      </c>
      <c r="E23" s="49" t="s">
        <v>19</v>
      </c>
      <c r="F23" s="60">
        <f>C23/365</f>
        <v>8.216438356164384E-4</v>
      </c>
      <c r="J23" s="61"/>
    </row>
    <row r="24" spans="2:27" ht="15" thickBot="1" x14ac:dyDescent="0.4">
      <c r="C24" s="9"/>
      <c r="E24" s="1"/>
      <c r="F24" s="10"/>
      <c r="H24" s="63" t="s">
        <v>56</v>
      </c>
      <c r="I24" s="64">
        <v>0</v>
      </c>
      <c r="M24" s="61"/>
    </row>
    <row r="25" spans="2:27" x14ac:dyDescent="0.35">
      <c r="C25" s="9"/>
      <c r="E25" s="1"/>
      <c r="F25" s="10"/>
    </row>
    <row r="26" spans="2:27" ht="15" thickBot="1" x14ac:dyDescent="0.4">
      <c r="C26" s="9"/>
      <c r="E26" s="1"/>
      <c r="F26" s="10"/>
    </row>
    <row r="27" spans="2:27" ht="15" customHeight="1" thickBot="1" x14ac:dyDescent="0.4">
      <c r="B27" s="70"/>
      <c r="C27" s="71"/>
      <c r="D27" s="118" t="s">
        <v>10</v>
      </c>
      <c r="E27" s="118"/>
      <c r="F27" s="118"/>
      <c r="G27" s="118"/>
      <c r="H27" s="118"/>
      <c r="I27" s="117" t="s">
        <v>47</v>
      </c>
      <c r="J27" s="117"/>
      <c r="K27" s="117"/>
      <c r="L27" s="117"/>
      <c r="M27" s="117"/>
      <c r="N27" s="117"/>
      <c r="O27" s="117"/>
      <c r="P27" s="117"/>
      <c r="Q27" s="117"/>
      <c r="R27" s="115" t="s">
        <v>48</v>
      </c>
      <c r="S27" s="115"/>
      <c r="T27" s="115"/>
      <c r="U27" s="115"/>
      <c r="V27" s="115"/>
      <c r="W27" s="116"/>
    </row>
    <row r="28" spans="2:27"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7"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v>0</v>
      </c>
      <c r="L29" s="12">
        <f>M29</f>
        <v>0</v>
      </c>
      <c r="M29" s="12">
        <f>K29*$F$22</f>
        <v>0</v>
      </c>
      <c r="N29" s="12">
        <f>I29+J29-G29</f>
        <v>40</v>
      </c>
      <c r="O29" s="12">
        <f>P29</f>
        <v>2.4646575342465754E-2</v>
      </c>
      <c r="P29" s="12">
        <f>N29*$F$22</f>
        <v>2.4646575342465754E-2</v>
      </c>
      <c r="Q29" s="12">
        <f>K29+N29</f>
        <v>40</v>
      </c>
      <c r="R29" s="15"/>
      <c r="S29" s="15"/>
      <c r="T29" s="15">
        <v>2026.46</v>
      </c>
      <c r="U29" s="15">
        <f>V29</f>
        <v>1.6650283671232877</v>
      </c>
      <c r="V29" s="16">
        <f>T29*$F$23</f>
        <v>1.6650283671232877</v>
      </c>
      <c r="W29" s="16">
        <f>IF(T29=0,0,$I$20+R29+S29-H29)</f>
        <v>0</v>
      </c>
      <c r="AA29" s="13">
        <v>1044</v>
      </c>
    </row>
    <row r="30" spans="2:27"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8" si="3">ROUND(N29+I30+J30+O29-G30,2)</f>
        <v>40.020000000000003</v>
      </c>
      <c r="O30" s="13">
        <f>P30-P29</f>
        <v>2.5353424657534249E-2</v>
      </c>
      <c r="P30" s="13">
        <f>ROUND(P29+N30*$F$22,2)</f>
        <v>0.05</v>
      </c>
      <c r="Q30" s="13">
        <f>ROUND(N30+K30-M29-P29,2)</f>
        <v>40</v>
      </c>
      <c r="R30" s="17"/>
      <c r="S30" s="17"/>
      <c r="T30" s="17">
        <f>T29+U29+R30+S30-H30</f>
        <v>2028.1250283671234</v>
      </c>
      <c r="U30" s="17">
        <f t="shared" ref="U30:U58" si="4">V30-V29</f>
        <v>1.67</v>
      </c>
      <c r="V30" s="18">
        <f>V29+ROUND(T30*$F$23,2)</f>
        <v>3.3350283671232877</v>
      </c>
      <c r="W30" s="16">
        <f>IF(T30=0,0,W29+R30+S30-H30)</f>
        <v>0</v>
      </c>
      <c r="AA30" s="13">
        <v>1044</v>
      </c>
    </row>
    <row r="31" spans="2:27"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0</v>
      </c>
      <c r="L31" s="13">
        <f t="shared" ref="L31:L58" si="7">M31-M30</f>
        <v>0</v>
      </c>
      <c r="M31" s="13">
        <f t="shared" ref="M31:M59" si="8">IF(K31=0,0,M30+K31*$F$22)</f>
        <v>0</v>
      </c>
      <c r="N31" s="13">
        <f t="shared" si="3"/>
        <v>40.049999999999997</v>
      </c>
      <c r="O31" s="13">
        <f t="shared" ref="O31:O58" si="9">P31-P30</f>
        <v>2.0000000000000004E-2</v>
      </c>
      <c r="P31" s="13">
        <f t="shared" ref="P31:P58" si="10">ROUND(P30+N31*$F$22,2)</f>
        <v>7.0000000000000007E-2</v>
      </c>
      <c r="Q31" s="13">
        <f t="shared" ref="Q31:Q58" si="11">ROUND(N31+K31-M30-P30,2)</f>
        <v>40</v>
      </c>
      <c r="R31" s="17"/>
      <c r="S31" s="17"/>
      <c r="T31" s="17">
        <f>T30+U30+R31+S31-H31</f>
        <v>2029.7950283671235</v>
      </c>
      <c r="U31" s="17">
        <f t="shared" si="4"/>
        <v>1.67</v>
      </c>
      <c r="V31" s="18">
        <f t="shared" ref="V31:V59" si="12">V30+ROUND(T31*$F$23,2)</f>
        <v>5.0050283671232876</v>
      </c>
      <c r="W31" s="16">
        <f t="shared" ref="W31:W58" si="13">IF(T31=0,0,W30+R31+S31-H31)</f>
        <v>0</v>
      </c>
      <c r="AA31" s="13">
        <v>1044</v>
      </c>
    </row>
    <row r="32" spans="2:27"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2031.4650283671235</v>
      </c>
      <c r="U32" s="17">
        <f t="shared" si="4"/>
        <v>1.67</v>
      </c>
      <c r="V32" s="18">
        <f t="shared" si="12"/>
        <v>6.6750283671232875</v>
      </c>
      <c r="W32" s="16">
        <f t="shared" si="13"/>
        <v>0</v>
      </c>
      <c r="AA32" s="13">
        <v>1044</v>
      </c>
    </row>
    <row r="33" spans="2:27"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8" si="14">T32+U32+R33+S33-H33</f>
        <v>2033.1350283671236</v>
      </c>
      <c r="U33" s="17">
        <f t="shared" si="4"/>
        <v>1.67</v>
      </c>
      <c r="V33" s="18">
        <f t="shared" si="12"/>
        <v>8.3450283671232874</v>
      </c>
      <c r="W33" s="16">
        <f t="shared" si="13"/>
        <v>0</v>
      </c>
      <c r="AA33" s="13">
        <v>1044</v>
      </c>
    </row>
    <row r="34" spans="2:27"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2034.8050283671237</v>
      </c>
      <c r="U34" s="17">
        <f t="shared" si="4"/>
        <v>1.67</v>
      </c>
      <c r="V34" s="18">
        <f t="shared" si="12"/>
        <v>10.015028367123287</v>
      </c>
      <c r="W34" s="16">
        <f t="shared" si="13"/>
        <v>0</v>
      </c>
      <c r="AA34" s="13">
        <v>1044</v>
      </c>
    </row>
    <row r="35" spans="2:27"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2036.4750283671237</v>
      </c>
      <c r="U35" s="17">
        <f t="shared" si="4"/>
        <v>1.67</v>
      </c>
      <c r="V35" s="18">
        <f t="shared" si="12"/>
        <v>11.685028367123287</v>
      </c>
      <c r="W35" s="16">
        <f t="shared" si="13"/>
        <v>0</v>
      </c>
      <c r="AA35" s="13">
        <v>1044</v>
      </c>
    </row>
    <row r="36" spans="2:27"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2038.1450283671238</v>
      </c>
      <c r="U36" s="17">
        <f t="shared" si="4"/>
        <v>1.67</v>
      </c>
      <c r="V36" s="18">
        <f t="shared" si="12"/>
        <v>13.355028367123287</v>
      </c>
      <c r="W36" s="16">
        <f t="shared" si="13"/>
        <v>0</v>
      </c>
      <c r="AA36" s="13">
        <v>1044</v>
      </c>
    </row>
    <row r="37" spans="2:27"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2039.8150283671239</v>
      </c>
      <c r="U37" s="17">
        <f t="shared" si="4"/>
        <v>1.6799999999999997</v>
      </c>
      <c r="V37" s="18">
        <f t="shared" si="12"/>
        <v>15.035028367123287</v>
      </c>
      <c r="W37" s="16">
        <f t="shared" si="13"/>
        <v>0</v>
      </c>
      <c r="AA37" s="13">
        <v>1044</v>
      </c>
    </row>
    <row r="38" spans="2:27"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40.19</v>
      </c>
      <c r="O38" s="13">
        <f t="shared" si="9"/>
        <v>1.999999999999999E-2</v>
      </c>
      <c r="P38" s="13">
        <f t="shared" si="10"/>
        <v>0.21</v>
      </c>
      <c r="Q38" s="13">
        <f t="shared" si="11"/>
        <v>40</v>
      </c>
      <c r="R38" s="17"/>
      <c r="S38" s="17"/>
      <c r="T38" s="17">
        <f t="shared" si="14"/>
        <v>2041.495028367124</v>
      </c>
      <c r="U38" s="17">
        <f t="shared" si="4"/>
        <v>1.6800000000000015</v>
      </c>
      <c r="V38" s="18">
        <f t="shared" si="12"/>
        <v>16.715028367123288</v>
      </c>
      <c r="W38" s="16">
        <f t="shared" si="13"/>
        <v>0</v>
      </c>
      <c r="AA38" s="13">
        <v>1044</v>
      </c>
    </row>
    <row r="39" spans="2:27"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40.21</v>
      </c>
      <c r="O39" s="13">
        <f>P39-P38</f>
        <v>2.0000000000000018E-2</v>
      </c>
      <c r="P39" s="13">
        <f t="shared" si="10"/>
        <v>0.23</v>
      </c>
      <c r="Q39" s="13">
        <f t="shared" si="11"/>
        <v>40</v>
      </c>
      <c r="R39" s="17"/>
      <c r="S39" s="17"/>
      <c r="T39" s="17">
        <f t="shared" si="14"/>
        <v>2043.175028367124</v>
      </c>
      <c r="U39" s="17">
        <f t="shared" si="4"/>
        <v>1.6799999999999997</v>
      </c>
      <c r="V39" s="18">
        <f t="shared" si="12"/>
        <v>18.395028367123288</v>
      </c>
      <c r="W39" s="16">
        <f t="shared" si="13"/>
        <v>0</v>
      </c>
      <c r="AA39" s="13">
        <v>1044</v>
      </c>
    </row>
    <row r="40" spans="2:27"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40.229999999999997</v>
      </c>
      <c r="O40" s="13">
        <f t="shared" si="9"/>
        <v>1.999999999999999E-2</v>
      </c>
      <c r="P40" s="13">
        <f t="shared" si="10"/>
        <v>0.25</v>
      </c>
      <c r="Q40" s="13">
        <f t="shared" si="11"/>
        <v>40</v>
      </c>
      <c r="R40" s="17"/>
      <c r="S40" s="17"/>
      <c r="T40" s="17">
        <f t="shared" si="14"/>
        <v>2044.8550283671241</v>
      </c>
      <c r="U40" s="17">
        <f t="shared" si="4"/>
        <v>1.6799999999999997</v>
      </c>
      <c r="V40" s="18">
        <f t="shared" si="12"/>
        <v>20.075028367123288</v>
      </c>
      <c r="W40" s="16">
        <f t="shared" si="13"/>
        <v>0</v>
      </c>
      <c r="AA40" s="13">
        <v>1044</v>
      </c>
    </row>
    <row r="41" spans="2:27"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40.25</v>
      </c>
      <c r="O41" s="13">
        <f t="shared" si="9"/>
        <v>2.0000000000000018E-2</v>
      </c>
      <c r="P41" s="13">
        <f t="shared" si="10"/>
        <v>0.27</v>
      </c>
      <c r="Q41" s="13">
        <f t="shared" si="11"/>
        <v>40</v>
      </c>
      <c r="R41" s="17"/>
      <c r="S41" s="17"/>
      <c r="T41" s="17">
        <f t="shared" si="14"/>
        <v>2046.5350283671241</v>
      </c>
      <c r="U41" s="17">
        <f t="shared" si="4"/>
        <v>1.6799999999999997</v>
      </c>
      <c r="V41" s="18">
        <f t="shared" si="12"/>
        <v>21.755028367123288</v>
      </c>
      <c r="W41" s="16">
        <f t="shared" si="13"/>
        <v>0</v>
      </c>
      <c r="AA41" s="13">
        <v>1044</v>
      </c>
    </row>
    <row r="42" spans="2:27"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40.270000000000003</v>
      </c>
      <c r="O42" s="13">
        <f t="shared" si="9"/>
        <v>1.9999999999999962E-2</v>
      </c>
      <c r="P42" s="13">
        <f t="shared" si="10"/>
        <v>0.28999999999999998</v>
      </c>
      <c r="Q42" s="13">
        <f t="shared" si="11"/>
        <v>40</v>
      </c>
      <c r="R42" s="17"/>
      <c r="S42" s="17"/>
      <c r="T42" s="17">
        <f>T41+U41+R42+S42-H42</f>
        <v>2048.215028367124</v>
      </c>
      <c r="U42" s="17">
        <f>V42-V41</f>
        <v>1.6799999999999997</v>
      </c>
      <c r="V42" s="18">
        <f t="shared" si="12"/>
        <v>23.435028367123287</v>
      </c>
      <c r="W42" s="16">
        <f t="shared" si="13"/>
        <v>0</v>
      </c>
      <c r="AA42" s="13">
        <v>1044</v>
      </c>
    </row>
    <row r="43" spans="2:27"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13">
        <f t="shared" si="6"/>
        <v>0</v>
      </c>
      <c r="L43" s="87">
        <f t="shared" si="7"/>
        <v>0</v>
      </c>
      <c r="M43" s="13">
        <f t="shared" si="8"/>
        <v>0</v>
      </c>
      <c r="N43" s="87">
        <f>ROUND(N42+I43+J43+O42-G43,2)</f>
        <v>40.29</v>
      </c>
      <c r="O43" s="87">
        <f t="shared" si="9"/>
        <v>2.0000000000000018E-2</v>
      </c>
      <c r="P43" s="87">
        <f t="shared" si="10"/>
        <v>0.31</v>
      </c>
      <c r="Q43" s="87">
        <f t="shared" si="11"/>
        <v>40</v>
      </c>
      <c r="R43" s="87"/>
      <c r="S43" s="87"/>
      <c r="T43" s="87">
        <f>T42+U42+R43+S43-H43</f>
        <v>2049.8950283671238</v>
      </c>
      <c r="U43" s="87">
        <f t="shared" si="4"/>
        <v>1.6799999999999997</v>
      </c>
      <c r="V43" s="18">
        <f t="shared" si="12"/>
        <v>25.115028367123287</v>
      </c>
      <c r="W43" s="89">
        <f t="shared" si="13"/>
        <v>0</v>
      </c>
      <c r="AA43" s="13">
        <v>1044</v>
      </c>
    </row>
    <row r="44" spans="2:27"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40.31</v>
      </c>
      <c r="O44" s="13">
        <f t="shared" si="9"/>
        <v>2.0000000000000018E-2</v>
      </c>
      <c r="P44" s="13">
        <f t="shared" si="10"/>
        <v>0.33</v>
      </c>
      <c r="Q44" s="13">
        <f t="shared" si="11"/>
        <v>40</v>
      </c>
      <c r="R44" s="17"/>
      <c r="S44" s="17"/>
      <c r="T44" s="17">
        <f t="shared" si="14"/>
        <v>2051.5750283671237</v>
      </c>
      <c r="U44" s="17">
        <f t="shared" si="4"/>
        <v>1.6900000000000013</v>
      </c>
      <c r="V44" s="18">
        <f t="shared" si="12"/>
        <v>26.805028367123288</v>
      </c>
      <c r="W44" s="16">
        <f t="shared" si="13"/>
        <v>0</v>
      </c>
      <c r="AA44" s="13">
        <v>1044</v>
      </c>
    </row>
    <row r="45" spans="2:27"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40.33</v>
      </c>
      <c r="O45" s="13">
        <f t="shared" si="9"/>
        <v>1.9999999999999962E-2</v>
      </c>
      <c r="P45" s="13">
        <f t="shared" si="10"/>
        <v>0.35</v>
      </c>
      <c r="Q45" s="13">
        <f t="shared" si="11"/>
        <v>40</v>
      </c>
      <c r="R45" s="17"/>
      <c r="S45" s="17"/>
      <c r="T45" s="17">
        <f t="shared" si="14"/>
        <v>2053.2650283671237</v>
      </c>
      <c r="U45" s="17">
        <f t="shared" si="4"/>
        <v>1.6900000000000013</v>
      </c>
      <c r="V45" s="18">
        <f t="shared" si="12"/>
        <v>28.49502836712329</v>
      </c>
      <c r="W45" s="16">
        <f>IF(T45=0,0,W44+R45+S45-H45)</f>
        <v>0</v>
      </c>
      <c r="AA45" s="13">
        <v>1044</v>
      </c>
    </row>
    <row r="46" spans="2:27"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40.35</v>
      </c>
      <c r="O46" s="13">
        <f t="shared" si="9"/>
        <v>2.0000000000000018E-2</v>
      </c>
      <c r="P46" s="13">
        <f t="shared" si="10"/>
        <v>0.37</v>
      </c>
      <c r="Q46" s="13">
        <f t="shared" si="11"/>
        <v>40</v>
      </c>
      <c r="R46" s="17"/>
      <c r="S46" s="17"/>
      <c r="T46" s="17">
        <f t="shared" si="14"/>
        <v>2054.9550283671238</v>
      </c>
      <c r="U46" s="17">
        <f t="shared" si="4"/>
        <v>1.6900000000000013</v>
      </c>
      <c r="V46" s="18">
        <f t="shared" si="12"/>
        <v>30.185028367123291</v>
      </c>
      <c r="W46" s="16">
        <f>IF(T46=0,0,W45+R46+S46-H46)</f>
        <v>0</v>
      </c>
      <c r="AA46" s="13">
        <v>1044</v>
      </c>
    </row>
    <row r="47" spans="2:27"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13">
        <f t="shared" si="6"/>
        <v>0</v>
      </c>
      <c r="L47" s="87">
        <f t="shared" si="7"/>
        <v>0</v>
      </c>
      <c r="M47" s="13">
        <f t="shared" si="8"/>
        <v>0</v>
      </c>
      <c r="N47" s="87">
        <f t="shared" si="3"/>
        <v>40.369999999999997</v>
      </c>
      <c r="O47" s="87">
        <f t="shared" si="9"/>
        <v>2.0000000000000018E-2</v>
      </c>
      <c r="P47" s="87">
        <f t="shared" si="10"/>
        <v>0.39</v>
      </c>
      <c r="Q47" s="87">
        <f t="shared" si="11"/>
        <v>40</v>
      </c>
      <c r="R47" s="87"/>
      <c r="S47" s="87"/>
      <c r="T47" s="87">
        <f t="shared" si="14"/>
        <v>2056.6450283671238</v>
      </c>
      <c r="U47" s="87">
        <f t="shared" si="4"/>
        <v>1.6900000000000013</v>
      </c>
      <c r="V47" s="18">
        <f t="shared" si="12"/>
        <v>31.875028367123292</v>
      </c>
      <c r="W47" s="89">
        <f t="shared" si="13"/>
        <v>0</v>
      </c>
      <c r="AA47" s="13">
        <v>1044</v>
      </c>
    </row>
    <row r="48" spans="2:27" x14ac:dyDescent="0.35">
      <c r="B48" s="47">
        <f t="shared" si="0"/>
        <v>45065</v>
      </c>
      <c r="C48" s="48">
        <f t="shared" si="1"/>
        <v>45066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40.39</v>
      </c>
      <c r="O48" s="13">
        <f t="shared" si="9"/>
        <v>1.9999999999999962E-2</v>
      </c>
      <c r="P48" s="13">
        <f t="shared" si="10"/>
        <v>0.41</v>
      </c>
      <c r="Q48" s="13">
        <f t="shared" si="11"/>
        <v>40</v>
      </c>
      <c r="R48" s="17"/>
      <c r="S48" s="17"/>
      <c r="T48" s="17">
        <f t="shared" si="14"/>
        <v>2058.3350283671239</v>
      </c>
      <c r="U48" s="17">
        <f t="shared" si="4"/>
        <v>1.6899999999999977</v>
      </c>
      <c r="V48" s="18">
        <f t="shared" si="12"/>
        <v>33.56502836712329</v>
      </c>
      <c r="W48" s="16">
        <f t="shared" si="13"/>
        <v>0</v>
      </c>
      <c r="AA48" s="13">
        <v>1044</v>
      </c>
    </row>
    <row r="49" spans="2:27"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40.409999999999997</v>
      </c>
      <c r="O49" s="13">
        <f t="shared" si="9"/>
        <v>2.0000000000000018E-2</v>
      </c>
      <c r="P49" s="13">
        <f t="shared" si="10"/>
        <v>0.43</v>
      </c>
      <c r="Q49" s="13">
        <f t="shared" si="11"/>
        <v>40</v>
      </c>
      <c r="R49" s="17"/>
      <c r="S49" s="17"/>
      <c r="T49" s="17">
        <f t="shared" si="14"/>
        <v>2060.0250283671239</v>
      </c>
      <c r="U49" s="17">
        <f t="shared" si="4"/>
        <v>1.6899999999999977</v>
      </c>
      <c r="V49" s="18">
        <f t="shared" si="12"/>
        <v>35.255028367123288</v>
      </c>
      <c r="W49" s="16">
        <f t="shared" si="13"/>
        <v>0</v>
      </c>
      <c r="AA49" s="13">
        <v>1044</v>
      </c>
    </row>
    <row r="50" spans="2:27"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40.43</v>
      </c>
      <c r="O50" s="13">
        <f t="shared" si="9"/>
        <v>2.0000000000000018E-2</v>
      </c>
      <c r="P50" s="13">
        <f t="shared" si="10"/>
        <v>0.45</v>
      </c>
      <c r="Q50" s="13">
        <f t="shared" si="11"/>
        <v>40</v>
      </c>
      <c r="R50" s="17"/>
      <c r="S50" s="17"/>
      <c r="T50" s="17">
        <f t="shared" si="14"/>
        <v>2061.715028367124</v>
      </c>
      <c r="U50" s="17">
        <f t="shared" si="4"/>
        <v>1.6899999999999977</v>
      </c>
      <c r="V50" s="18">
        <f t="shared" si="12"/>
        <v>36.945028367123285</v>
      </c>
      <c r="W50" s="16">
        <f t="shared" si="13"/>
        <v>0</v>
      </c>
      <c r="AA50" s="13">
        <v>1044</v>
      </c>
    </row>
    <row r="51" spans="2:27" x14ac:dyDescent="0.35">
      <c r="B51" s="47">
        <f t="shared" si="0"/>
        <v>45068</v>
      </c>
      <c r="C51" s="48">
        <f t="shared" si="1"/>
        <v>45069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40.450000000000003</v>
      </c>
      <c r="O51" s="13">
        <f t="shared" si="9"/>
        <v>1.9999999999999962E-2</v>
      </c>
      <c r="P51" s="13">
        <f t="shared" si="10"/>
        <v>0.47</v>
      </c>
      <c r="Q51" s="13">
        <f t="shared" si="11"/>
        <v>40</v>
      </c>
      <c r="R51" s="17"/>
      <c r="S51" s="17"/>
      <c r="T51" s="17">
        <f t="shared" si="14"/>
        <v>2063.405028367124</v>
      </c>
      <c r="U51" s="17">
        <f t="shared" si="4"/>
        <v>1.7000000000000028</v>
      </c>
      <c r="V51" s="18">
        <f t="shared" si="12"/>
        <v>38.645028367123288</v>
      </c>
      <c r="W51" s="16">
        <f t="shared" si="13"/>
        <v>0</v>
      </c>
      <c r="AA51" s="13">
        <v>1044</v>
      </c>
    </row>
    <row r="52" spans="2:27"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40.47</v>
      </c>
      <c r="O52" s="13">
        <f t="shared" si="9"/>
        <v>2.0000000000000018E-2</v>
      </c>
      <c r="P52" s="13">
        <f t="shared" si="10"/>
        <v>0.49</v>
      </c>
      <c r="Q52" s="13">
        <f t="shared" si="11"/>
        <v>40</v>
      </c>
      <c r="R52" s="17"/>
      <c r="S52" s="17"/>
      <c r="T52" s="17">
        <f t="shared" si="14"/>
        <v>2065.1050283671239</v>
      </c>
      <c r="U52" s="17">
        <f t="shared" si="4"/>
        <v>1.7000000000000028</v>
      </c>
      <c r="V52" s="18">
        <f t="shared" si="12"/>
        <v>40.345028367123291</v>
      </c>
      <c r="W52" s="16">
        <f t="shared" si="13"/>
        <v>0</v>
      </c>
      <c r="AA52" s="13">
        <v>1044</v>
      </c>
    </row>
    <row r="53" spans="2:27"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13">
        <f t="shared" si="6"/>
        <v>0</v>
      </c>
      <c r="L53" s="87">
        <f t="shared" si="7"/>
        <v>0</v>
      </c>
      <c r="M53" s="13">
        <f t="shared" si="8"/>
        <v>0</v>
      </c>
      <c r="N53" s="87">
        <f t="shared" si="3"/>
        <v>40.49</v>
      </c>
      <c r="O53" s="87">
        <f t="shared" si="9"/>
        <v>2.0000000000000018E-2</v>
      </c>
      <c r="P53" s="87">
        <f t="shared" si="10"/>
        <v>0.51</v>
      </c>
      <c r="Q53" s="87">
        <f t="shared" si="11"/>
        <v>40</v>
      </c>
      <c r="R53" s="87"/>
      <c r="S53" s="87"/>
      <c r="T53" s="87">
        <f t="shared" si="14"/>
        <v>2066.8050283671237</v>
      </c>
      <c r="U53" s="87">
        <f t="shared" si="4"/>
        <v>1.7000000000000028</v>
      </c>
      <c r="V53" s="18">
        <f t="shared" si="12"/>
        <v>42.045028367123294</v>
      </c>
      <c r="W53" s="89">
        <f t="shared" si="13"/>
        <v>0</v>
      </c>
      <c r="AA53" s="92">
        <f>SUM(AA29:AA52)</f>
        <v>25056</v>
      </c>
    </row>
    <row r="54" spans="2:27"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40.51</v>
      </c>
      <c r="O54" s="13">
        <f t="shared" si="9"/>
        <v>2.0000000000000018E-2</v>
      </c>
      <c r="P54" s="13">
        <f t="shared" si="10"/>
        <v>0.53</v>
      </c>
      <c r="Q54" s="13">
        <f t="shared" si="11"/>
        <v>40</v>
      </c>
      <c r="R54" s="17"/>
      <c r="S54" s="17"/>
      <c r="T54" s="17">
        <f t="shared" si="14"/>
        <v>2068.5050283671235</v>
      </c>
      <c r="U54" s="17">
        <f t="shared" si="4"/>
        <v>1.7000000000000028</v>
      </c>
      <c r="V54" s="18">
        <f t="shared" si="12"/>
        <v>43.745028367123297</v>
      </c>
      <c r="W54" s="16">
        <f t="shared" si="13"/>
        <v>0</v>
      </c>
      <c r="AA54" s="61">
        <f>AA53/31</f>
        <v>808.25806451612902</v>
      </c>
    </row>
    <row r="55" spans="2:27" s="90" customFormat="1" x14ac:dyDescent="0.35">
      <c r="B55" s="84">
        <f t="shared" si="0"/>
        <v>45072</v>
      </c>
      <c r="C55" s="85">
        <f t="shared" si="1"/>
        <v>45073</v>
      </c>
      <c r="D55" s="86"/>
      <c r="E55" s="87">
        <f>IF(SUM(E$29:E54)=$I$24,0,IF((D55&lt;=$I$24-SUM(E$29:E54)),D55,$I$24-SUM(E$29:E54)))</f>
        <v>0</v>
      </c>
      <c r="F55" s="87">
        <f>IF($I$19&gt;0,IF(SUM(F$29:F54)&lt;$I$19,IF((D55-E55)&gt;0,IF($I$20=0,IF($I$19-SUM(F$29:F54)&gt;D55,D55,$I$19-SUM(F$29:F54)),E55),D55),0)+IF($I$20&gt;0,IF(D55-$I$20-SUM($H$29:H54)-IF($I$19=0,0,E55)&gt;0,IF(D55-$I$20-SUM($H$29:H54)-IF($I$19=0,0,E55)&gt;$I$19,$I$19-SUM(F$29:F54)-E55,D55-$I$20-SUM($H$29:H54)-IF($I$19=0,0,E55)),0),0),0)</f>
        <v>0</v>
      </c>
      <c r="G55" s="87">
        <f t="shared" si="2"/>
        <v>0</v>
      </c>
      <c r="H55" s="87">
        <f t="shared" si="5"/>
        <v>0</v>
      </c>
      <c r="I55" s="87"/>
      <c r="J55" s="87"/>
      <c r="K55" s="13">
        <f t="shared" si="6"/>
        <v>0</v>
      </c>
      <c r="L55" s="87">
        <f t="shared" si="7"/>
        <v>0</v>
      </c>
      <c r="M55" s="13">
        <f t="shared" si="8"/>
        <v>0</v>
      </c>
      <c r="N55" s="87">
        <f t="shared" si="3"/>
        <v>40.53</v>
      </c>
      <c r="O55" s="87">
        <f t="shared" si="9"/>
        <v>2.0000000000000018E-2</v>
      </c>
      <c r="P55" s="87">
        <f t="shared" si="10"/>
        <v>0.55000000000000004</v>
      </c>
      <c r="Q55" s="87">
        <f t="shared" si="11"/>
        <v>40</v>
      </c>
      <c r="R55" s="87"/>
      <c r="S55" s="87"/>
      <c r="T55" s="87">
        <f t="shared" si="14"/>
        <v>2070.2050283671233</v>
      </c>
      <c r="U55" s="87">
        <f t="shared" si="4"/>
        <v>1.7000000000000028</v>
      </c>
      <c r="V55" s="18">
        <f t="shared" si="12"/>
        <v>45.4450283671233</v>
      </c>
      <c r="W55" s="89">
        <f t="shared" si="13"/>
        <v>0</v>
      </c>
      <c r="AA55" s="92">
        <f>AA54*F22*C18</f>
        <v>15.438614794520547</v>
      </c>
    </row>
    <row r="56" spans="2:27" x14ac:dyDescent="0.35">
      <c r="B56" s="47">
        <f t="shared" si="0"/>
        <v>45073</v>
      </c>
      <c r="C56" s="48">
        <f t="shared" si="1"/>
        <v>45074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40.549999999999997</v>
      </c>
      <c r="O56" s="13">
        <f t="shared" si="9"/>
        <v>1.9999999999999907E-2</v>
      </c>
      <c r="P56" s="13">
        <f t="shared" si="10"/>
        <v>0.56999999999999995</v>
      </c>
      <c r="Q56" s="13">
        <f t="shared" si="11"/>
        <v>40</v>
      </c>
      <c r="R56" s="17"/>
      <c r="S56" s="17"/>
      <c r="T56" s="17">
        <f t="shared" si="14"/>
        <v>2071.9050283671231</v>
      </c>
      <c r="U56" s="17">
        <f t="shared" si="4"/>
        <v>1.7000000000000028</v>
      </c>
      <c r="V56" s="18">
        <f t="shared" si="12"/>
        <v>47.145028367123302</v>
      </c>
      <c r="W56" s="16">
        <f t="shared" si="13"/>
        <v>0</v>
      </c>
    </row>
    <row r="57" spans="2:27"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40.57</v>
      </c>
      <c r="O57" s="13">
        <f t="shared" si="9"/>
        <v>2.0000000000000018E-2</v>
      </c>
      <c r="P57" s="13">
        <f t="shared" si="10"/>
        <v>0.59</v>
      </c>
      <c r="Q57" s="13">
        <f t="shared" si="11"/>
        <v>40</v>
      </c>
      <c r="R57" s="17"/>
      <c r="S57" s="17"/>
      <c r="T57" s="17">
        <f t="shared" si="14"/>
        <v>2073.6050283671229</v>
      </c>
      <c r="U57" s="17">
        <f t="shared" si="4"/>
        <v>1.7000000000000028</v>
      </c>
      <c r="V57" s="18">
        <f t="shared" si="12"/>
        <v>48.845028367123305</v>
      </c>
      <c r="W57" s="16">
        <f t="shared" si="13"/>
        <v>0</v>
      </c>
    </row>
    <row r="58" spans="2:27"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40.590000000000003</v>
      </c>
      <c r="O58" s="13">
        <f t="shared" si="9"/>
        <v>3.0000000000000027E-2</v>
      </c>
      <c r="P58" s="13">
        <f t="shared" si="10"/>
        <v>0.62</v>
      </c>
      <c r="Q58" s="13">
        <f t="shared" si="11"/>
        <v>40</v>
      </c>
      <c r="R58" s="17"/>
      <c r="S58" s="17"/>
      <c r="T58" s="17">
        <f t="shared" si="14"/>
        <v>2075.3050283671228</v>
      </c>
      <c r="U58" s="17">
        <f t="shared" si="4"/>
        <v>1.7100000000000009</v>
      </c>
      <c r="V58" s="18">
        <f t="shared" si="12"/>
        <v>50.555028367123306</v>
      </c>
      <c r="W58" s="16">
        <f t="shared" si="13"/>
        <v>0</v>
      </c>
    </row>
    <row r="59" spans="2:27"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c r="K59" s="13">
        <f t="shared" si="6"/>
        <v>0</v>
      </c>
      <c r="L59" s="13">
        <f t="shared" ref="L59" si="18">M59-M58</f>
        <v>0</v>
      </c>
      <c r="M59" s="13">
        <f t="shared" si="8"/>
        <v>0</v>
      </c>
      <c r="N59" s="13">
        <f t="shared" ref="N59" si="19">ROUND(N58+I59+J59+O58-G59,2)</f>
        <v>40.619999999999997</v>
      </c>
      <c r="O59" s="13">
        <f t="shared" ref="O59" si="20">P59-P58</f>
        <v>3.0000000000000027E-2</v>
      </c>
      <c r="P59" s="13">
        <f>ROUND(P58+N59*$F$22,2)</f>
        <v>0.65</v>
      </c>
      <c r="Q59" s="13">
        <f t="shared" ref="Q59" si="21">ROUND(N59+K59-M58-P58,2)</f>
        <v>40</v>
      </c>
      <c r="R59" s="17"/>
      <c r="S59" s="17"/>
      <c r="T59" s="17">
        <f t="shared" ref="T59" si="22">T58+U58+R59+S59-H59</f>
        <v>2077.0150283671228</v>
      </c>
      <c r="U59" s="17">
        <f t="shared" ref="U59" si="23">V59-V58</f>
        <v>1.7100000000000009</v>
      </c>
      <c r="V59" s="18">
        <f t="shared" si="12"/>
        <v>52.265028367123307</v>
      </c>
      <c r="W59" s="16">
        <f t="shared" ref="W59" si="24">IF(T59=0,0,W58+R59+S59-H59)</f>
        <v>0</v>
      </c>
    </row>
    <row r="60" spans="2:27" ht="15" thickBot="1" x14ac:dyDescent="0.4">
      <c r="B60" s="119" t="s">
        <v>49</v>
      </c>
      <c r="C60" s="120"/>
      <c r="D60" s="67">
        <f t="shared" ref="D60:L60" si="25">SUM(D29:D59)</f>
        <v>0</v>
      </c>
      <c r="E60" s="21">
        <f t="shared" si="25"/>
        <v>0</v>
      </c>
      <c r="F60" s="21">
        <f t="shared" si="25"/>
        <v>0</v>
      </c>
      <c r="G60" s="21">
        <f t="shared" si="25"/>
        <v>0</v>
      </c>
      <c r="H60" s="22">
        <f t="shared" si="25"/>
        <v>0</v>
      </c>
      <c r="I60" s="20">
        <f t="shared" si="25"/>
        <v>0</v>
      </c>
      <c r="J60" s="21">
        <f t="shared" si="25"/>
        <v>40</v>
      </c>
      <c r="K60" s="21">
        <f>SUM(K29:K59)</f>
        <v>0</v>
      </c>
      <c r="L60" s="74">
        <f t="shared" si="25"/>
        <v>0</v>
      </c>
      <c r="M60" s="20"/>
      <c r="N60" s="21">
        <f>SUM(N29:N59)</f>
        <v>1249.5999999999997</v>
      </c>
      <c r="O60" s="21">
        <f>SUM(O29:O59)</f>
        <v>0.65</v>
      </c>
      <c r="P60" s="20"/>
      <c r="Q60" s="20"/>
      <c r="R60" s="22">
        <f>SUM(R29:R59)</f>
        <v>0</v>
      </c>
      <c r="S60" s="22">
        <f>SUM(S29:S59)</f>
        <v>0</v>
      </c>
      <c r="T60" s="22">
        <f>SUM(T29:T59)</f>
        <v>63600.760851013714</v>
      </c>
      <c r="U60" s="22">
        <f>SUM(U29:U59)</f>
        <v>52.265028367123307</v>
      </c>
      <c r="V60" s="23"/>
      <c r="W60" s="23"/>
    </row>
    <row r="61" spans="2:27" ht="15" thickBot="1" x14ac:dyDescent="0.4">
      <c r="G61" s="61"/>
      <c r="J61" s="82" t="s">
        <v>71</v>
      </c>
      <c r="K61" s="82">
        <f>K60/$C$18</f>
        <v>0</v>
      </c>
      <c r="M61" s="82" t="s">
        <v>69</v>
      </c>
      <c r="N61" s="82">
        <f>N60/$C$18</f>
        <v>40.309677419354827</v>
      </c>
      <c r="O61" s="61"/>
      <c r="S61" s="82" t="s">
        <v>65</v>
      </c>
      <c r="T61" s="82">
        <f>T60/$C$18</f>
        <v>2051.6374468068939</v>
      </c>
    </row>
    <row r="62" spans="2:27" ht="15" thickBot="1" x14ac:dyDescent="0.4">
      <c r="H62" s="2"/>
      <c r="J62" s="82" t="s">
        <v>72</v>
      </c>
      <c r="K62" s="82">
        <f>ROUND(K61*$F$22*$C$18,2)</f>
        <v>0</v>
      </c>
      <c r="M62" s="82" t="s">
        <v>70</v>
      </c>
      <c r="N62" s="131">
        <f>IF(ROUND(N59,2)=0,0,N61*$F$22*$C$18)</f>
        <v>0.76995901369862985</v>
      </c>
      <c r="S62" s="82" t="s">
        <v>64</v>
      </c>
      <c r="T62" s="82">
        <f>ROUND(T61*$F$23*$C$18,2)</f>
        <v>52.26</v>
      </c>
    </row>
    <row r="63" spans="2:27" x14ac:dyDescent="0.35">
      <c r="M63" s="61"/>
      <c r="N63" s="61"/>
    </row>
    <row r="65" spans="11:24" x14ac:dyDescent="0.35">
      <c r="M65" s="127"/>
      <c r="N65" s="125"/>
      <c r="P65" s="61"/>
    </row>
    <row r="66" spans="11:24" x14ac:dyDescent="0.35">
      <c r="K66" s="61"/>
      <c r="M66" s="125"/>
      <c r="N66" s="126"/>
      <c r="P66" s="61"/>
      <c r="W66">
        <v>14.06</v>
      </c>
      <c r="X66">
        <v>0.7</v>
      </c>
    </row>
    <row r="67" spans="11:24" x14ac:dyDescent="0.35">
      <c r="K67" s="97" t="s">
        <v>74</v>
      </c>
      <c r="L67" s="99">
        <f>K62+N62</f>
        <v>0.76995901369862985</v>
      </c>
      <c r="M67" s="125"/>
      <c r="N67" s="127"/>
      <c r="O67" s="61"/>
      <c r="W67">
        <f>ROUND(25.2800768170364,2)</f>
        <v>25.28</v>
      </c>
      <c r="X67">
        <v>1.26</v>
      </c>
    </row>
    <row r="68" spans="11:24" x14ac:dyDescent="0.35">
      <c r="K68" s="97" t="s">
        <v>75</v>
      </c>
      <c r="L68" s="96">
        <v>6.21</v>
      </c>
      <c r="M68" s="125"/>
      <c r="N68" s="127"/>
      <c r="W68">
        <v>21.56</v>
      </c>
      <c r="X68">
        <v>1.08</v>
      </c>
    </row>
    <row r="69" spans="11:24" x14ac:dyDescent="0.35">
      <c r="K69" s="98" t="s">
        <v>76</v>
      </c>
      <c r="L69" s="94">
        <f>L68+L67</f>
        <v>6.9799590136986298</v>
      </c>
      <c r="M69" s="61"/>
      <c r="N69" s="128"/>
      <c r="O69" s="61"/>
      <c r="W69">
        <f>W66+W67+W68</f>
        <v>60.900000000000006</v>
      </c>
      <c r="X69">
        <f>X66+X67+X68</f>
        <v>3.04</v>
      </c>
    </row>
    <row r="70" spans="11:24" x14ac:dyDescent="0.35">
      <c r="M70" s="61"/>
      <c r="S70" s="61"/>
    </row>
    <row r="72" spans="11:24" x14ac:dyDescent="0.35">
      <c r="M72" s="61"/>
    </row>
    <row r="74" spans="11:24" x14ac:dyDescent="0.35">
      <c r="N74" s="61"/>
    </row>
    <row r="79" spans="11:24" x14ac:dyDescent="0.35">
      <c r="M79" s="61"/>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E28" zoomScale="74" zoomScaleNormal="66" workbookViewId="0">
      <selection activeCell="K70" sqref="K7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2" t="s">
        <v>50</v>
      </c>
      <c r="F2" s="103"/>
    </row>
    <row r="3" spans="2:12" ht="15" thickBot="1" x14ac:dyDescent="0.4">
      <c r="B3" s="28" t="s">
        <v>1</v>
      </c>
      <c r="C3" s="37">
        <v>25</v>
      </c>
      <c r="E3" s="45" t="s">
        <v>24</v>
      </c>
      <c r="F3" s="46">
        <f>C17</f>
        <v>45107</v>
      </c>
    </row>
    <row r="4" spans="2:12" ht="15" thickBot="1" x14ac:dyDescent="0.4">
      <c r="B4"/>
      <c r="C4"/>
      <c r="E4" s="62" t="s">
        <v>25</v>
      </c>
      <c r="F4" s="62">
        <f>'May Statement'!F11</f>
        <v>1117.26</v>
      </c>
    </row>
    <row r="5" spans="2:12" ht="15" thickBot="1" x14ac:dyDescent="0.4">
      <c r="B5" s="29" t="s">
        <v>5</v>
      </c>
      <c r="C5" s="38">
        <v>45017</v>
      </c>
      <c r="E5" s="32" t="s">
        <v>10</v>
      </c>
      <c r="F5" s="33">
        <f>SUM(I11:I12)</f>
        <v>0</v>
      </c>
    </row>
    <row r="6" spans="2:12" x14ac:dyDescent="0.35">
      <c r="B6" s="30" t="s">
        <v>8</v>
      </c>
      <c r="C6" s="39">
        <v>45046</v>
      </c>
      <c r="E6" s="34" t="s">
        <v>26</v>
      </c>
      <c r="F6" s="35">
        <f>I59</f>
        <v>0</v>
      </c>
      <c r="H6" s="104" t="s">
        <v>40</v>
      </c>
      <c r="I6" s="105"/>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25.356225351702232</v>
      </c>
      <c r="L9" s="61"/>
    </row>
    <row r="10" spans="2:12" ht="15" thickBot="1" x14ac:dyDescent="0.4">
      <c r="B10" s="29" t="s">
        <v>12</v>
      </c>
      <c r="C10" s="38">
        <v>45047</v>
      </c>
      <c r="E10" s="4"/>
      <c r="F10" s="6"/>
      <c r="H10" s="122" t="s">
        <v>41</v>
      </c>
      <c r="I10" s="123"/>
      <c r="J10" s="124"/>
    </row>
    <row r="11" spans="2:12" ht="14.5" customHeight="1" x14ac:dyDescent="0.35">
      <c r="B11" s="30" t="s">
        <v>13</v>
      </c>
      <c r="C11" s="39">
        <f>C10+C12-1</f>
        <v>45077</v>
      </c>
      <c r="E11" s="55" t="s">
        <v>30</v>
      </c>
      <c r="F11" s="56">
        <f>F4+F6+F7+F8+F9-F5</f>
        <v>1142.6162253517023</v>
      </c>
      <c r="H11" s="72" t="s">
        <v>42</v>
      </c>
      <c r="I11" s="73">
        <f>SUM(F59:G59)</f>
        <v>0</v>
      </c>
      <c r="J11" s="100" t="s">
        <v>73</v>
      </c>
      <c r="K11" s="121"/>
    </row>
    <row r="12" spans="2:12" ht="15" thickBot="1" x14ac:dyDescent="0.4">
      <c r="B12" s="30" t="s">
        <v>14</v>
      </c>
      <c r="C12" s="40">
        <v>31</v>
      </c>
      <c r="E12" s="4"/>
      <c r="F12" s="6"/>
      <c r="H12" s="49" t="s">
        <v>43</v>
      </c>
      <c r="I12" s="50">
        <f>H59</f>
        <v>0</v>
      </c>
      <c r="J12" s="101"/>
      <c r="K12" s="121"/>
    </row>
    <row r="13" spans="2:12" ht="15" thickBot="1" x14ac:dyDescent="0.4">
      <c r="B13" s="31" t="s">
        <v>15</v>
      </c>
      <c r="C13" s="41">
        <v>45102</v>
      </c>
      <c r="E13" s="53" t="s">
        <v>31</v>
      </c>
      <c r="F13" s="54">
        <v>18000</v>
      </c>
    </row>
    <row r="14" spans="2:12" x14ac:dyDescent="0.35">
      <c r="E14" s="51" t="s">
        <v>32</v>
      </c>
      <c r="F14" s="52">
        <f>F13-F11</f>
        <v>16857.383774648297</v>
      </c>
      <c r="H14" s="104" t="s">
        <v>44</v>
      </c>
      <c r="I14" s="105"/>
    </row>
    <row r="15" spans="2:12" ht="29.5" thickBot="1" x14ac:dyDescent="0.4">
      <c r="B15"/>
      <c r="C15" s="3"/>
      <c r="E15" s="53" t="s">
        <v>33</v>
      </c>
      <c r="F15" s="54">
        <v>1200</v>
      </c>
      <c r="H15" s="7" t="s">
        <v>45</v>
      </c>
      <c r="I15" s="8">
        <f>K61</f>
        <v>24.052586715068493</v>
      </c>
    </row>
    <row r="16" spans="2:12" ht="29.5" thickBot="1" x14ac:dyDescent="0.4">
      <c r="B16" s="29" t="s">
        <v>3</v>
      </c>
      <c r="C16" s="38">
        <f>C10+C12</f>
        <v>45078</v>
      </c>
      <c r="E16" s="51" t="s">
        <v>34</v>
      </c>
      <c r="F16" s="52">
        <f>F15-F7-I16</f>
        <v>1198.6963613633663</v>
      </c>
      <c r="H16" s="49" t="s">
        <v>43</v>
      </c>
      <c r="I16" s="50">
        <f>T61</f>
        <v>1.303638636633738</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104" t="s">
        <v>51</v>
      </c>
      <c r="I18" s="105"/>
    </row>
    <row r="19" spans="2:23" ht="15" thickBot="1" x14ac:dyDescent="0.4">
      <c r="B19" s="31" t="s">
        <v>16</v>
      </c>
      <c r="C19" s="41">
        <f>C17+C3</f>
        <v>45132</v>
      </c>
      <c r="H19" s="7" t="s">
        <v>42</v>
      </c>
      <c r="I19" s="8">
        <f>'May Statement'!I19+'May Statement'!F6+'May Statement'!I7+'May Statement'!I15-'May Statement'!I11</f>
        <v>40</v>
      </c>
    </row>
    <row r="20" spans="2:23" ht="15" thickBot="1" x14ac:dyDescent="0.4">
      <c r="H20" s="49" t="s">
        <v>43</v>
      </c>
      <c r="I20" s="50">
        <f>'May Statement'!I20+'May Statement'!F7+'May Statement'!I8+'May Statement'!I16-'May Statement'!I12</f>
        <v>52.26</v>
      </c>
      <c r="J20" s="5"/>
    </row>
    <row r="21" spans="2:23" x14ac:dyDescent="0.35">
      <c r="B21" s="104" t="s">
        <v>17</v>
      </c>
      <c r="C21" s="105"/>
      <c r="E21" s="104" t="s">
        <v>22</v>
      </c>
      <c r="F21" s="105"/>
      <c r="I21" s="62">
        <f>SUM(I19:I20)</f>
        <v>92.259999999999991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8" t="s">
        <v>10</v>
      </c>
      <c r="E27" s="118"/>
      <c r="F27" s="118"/>
      <c r="G27" s="118"/>
      <c r="H27" s="118"/>
      <c r="I27" s="117" t="s">
        <v>47</v>
      </c>
      <c r="J27" s="117"/>
      <c r="K27" s="117"/>
      <c r="L27" s="117"/>
      <c r="M27" s="117"/>
      <c r="N27" s="117"/>
      <c r="O27" s="117"/>
      <c r="P27" s="117"/>
      <c r="Q27" s="117"/>
      <c r="R27" s="115" t="s">
        <v>48</v>
      </c>
      <c r="S27" s="115"/>
      <c r="T27" s="115"/>
      <c r="U27" s="115"/>
      <c r="V27" s="115"/>
      <c r="W27" s="116"/>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1289.5999999999997</v>
      </c>
      <c r="L29" s="12">
        <f>M29</f>
        <v>0.79460558904109568</v>
      </c>
      <c r="M29" s="12">
        <f>K29*$F$22</f>
        <v>0.79460558904109568</v>
      </c>
      <c r="N29" s="12">
        <f>I29+J29-G29</f>
        <v>0</v>
      </c>
      <c r="O29" s="12">
        <f>P29</f>
        <v>0</v>
      </c>
      <c r="P29" s="12">
        <f>N29*$F$22</f>
        <v>0</v>
      </c>
      <c r="Q29" s="12">
        <f>K29+N29</f>
        <v>1289.5999999999997</v>
      </c>
      <c r="R29" s="15"/>
      <c r="S29" s="15"/>
      <c r="T29" s="15">
        <f>$I$20+R29+S29-H29</f>
        <v>52.26</v>
      </c>
      <c r="U29" s="15">
        <f>V29</f>
        <v>4.2939106849315067E-2</v>
      </c>
      <c r="V29" s="16">
        <f>T29*$F$23</f>
        <v>4.2939106849315067E-2</v>
      </c>
      <c r="W29" s="16">
        <f>IF(T29=0,0,$I$20+R29+S29-H29)</f>
        <v>52.26</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1290.3900000000001</v>
      </c>
      <c r="L30" s="13">
        <f>M30-M29</f>
        <v>0.79509235890410945</v>
      </c>
      <c r="M30" s="13">
        <f>IF(K30=0,0,M29+K30*$F$22)</f>
        <v>1.5896979479452051</v>
      </c>
      <c r="N30" s="13">
        <f t="shared" ref="N30:N57" si="3">ROUND(N29+I30+J30+O29-G30,2)</f>
        <v>0</v>
      </c>
      <c r="O30" s="13">
        <f>P30-P29</f>
        <v>0</v>
      </c>
      <c r="P30" s="13">
        <f>ROUND(P29+N30*$F$22,2)</f>
        <v>0</v>
      </c>
      <c r="Q30" s="13">
        <f>ROUND(N30+K30-M29-P29,2)</f>
        <v>1289.5999999999999</v>
      </c>
      <c r="R30" s="17"/>
      <c r="S30" s="17"/>
      <c r="T30" s="17">
        <f>T29+U29+R30+S30-H30</f>
        <v>52.302939106849315</v>
      </c>
      <c r="U30" s="17">
        <f t="shared" ref="U30:U57" si="4">V30-V29</f>
        <v>4.2974387501764688E-2</v>
      </c>
      <c r="V30" s="18">
        <f>V29+T30*$F$23</f>
        <v>8.5913494351079756E-2</v>
      </c>
      <c r="W30" s="16">
        <f>IF(T30=0,0,W29+R30+S30-H30)</f>
        <v>52.26</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1291.19</v>
      </c>
      <c r="L31" s="13">
        <f t="shared" ref="L31:L57" si="7">M31-M30</f>
        <v>0.79558529041095882</v>
      </c>
      <c r="M31" s="13">
        <f t="shared" ref="M31:M57" si="8">IF(K31=0,0,M30+K31*$F$22)</f>
        <v>2.385283238356164</v>
      </c>
      <c r="N31" s="13">
        <f t="shared" si="3"/>
        <v>0</v>
      </c>
      <c r="O31" s="13">
        <f t="shared" ref="O31:O57" si="9">P31-P30</f>
        <v>0</v>
      </c>
      <c r="P31" s="13">
        <f t="shared" ref="P31:P56" si="10">ROUND(P30+N31*$F$22,2)</f>
        <v>0</v>
      </c>
      <c r="Q31" s="13">
        <f t="shared" ref="Q31:Q57" si="11">ROUND(N31+K31-M30-P30,2)</f>
        <v>1289.5999999999999</v>
      </c>
      <c r="R31" s="17"/>
      <c r="S31" s="17"/>
      <c r="T31" s="17">
        <f>T30+U30+R31+S31-H31</f>
        <v>52.34591349435108</v>
      </c>
      <c r="U31" s="17">
        <f t="shared" si="4"/>
        <v>4.3009697142344899E-2</v>
      </c>
      <c r="V31" s="18">
        <f t="shared" ref="V31:V57" si="12">V30+T31*$F$23</f>
        <v>0.12892319149342465</v>
      </c>
      <c r="W31" s="16">
        <f t="shared" ref="W31:W57" si="13">IF(T31=0,0,W30+R31+S31-H31)</f>
        <v>52.26</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1291.99</v>
      </c>
      <c r="L32" s="13">
        <f t="shared" si="7"/>
        <v>0.79607822191780819</v>
      </c>
      <c r="M32" s="13">
        <f t="shared" si="8"/>
        <v>3.1813614602739722</v>
      </c>
      <c r="N32" s="13">
        <f t="shared" si="3"/>
        <v>0</v>
      </c>
      <c r="O32" s="13">
        <f t="shared" si="9"/>
        <v>0</v>
      </c>
      <c r="P32" s="13">
        <f t="shared" si="10"/>
        <v>0</v>
      </c>
      <c r="Q32" s="13">
        <f t="shared" si="11"/>
        <v>1289.5999999999999</v>
      </c>
      <c r="R32" s="17"/>
      <c r="S32" s="17"/>
      <c r="T32" s="17">
        <f>T31+U31+R32+S32-H32</f>
        <v>52.388923191493426</v>
      </c>
      <c r="U32" s="17">
        <f t="shared" si="4"/>
        <v>4.3045035794873648E-2</v>
      </c>
      <c r="V32" s="18">
        <f t="shared" si="12"/>
        <v>0.1719682272882983</v>
      </c>
      <c r="W32" s="16">
        <f t="shared" si="13"/>
        <v>52.26</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1292.79</v>
      </c>
      <c r="L33" s="13">
        <f t="shared" si="7"/>
        <v>0.79657115342465756</v>
      </c>
      <c r="M33" s="13">
        <f t="shared" si="8"/>
        <v>3.9779326136986297</v>
      </c>
      <c r="N33" s="13">
        <f t="shared" si="3"/>
        <v>0</v>
      </c>
      <c r="O33" s="13">
        <f t="shared" si="9"/>
        <v>0</v>
      </c>
      <c r="P33" s="13">
        <f t="shared" si="10"/>
        <v>0</v>
      </c>
      <c r="Q33" s="13">
        <f t="shared" si="11"/>
        <v>1289.6099999999999</v>
      </c>
      <c r="R33" s="17"/>
      <c r="S33" s="17"/>
      <c r="T33" s="17">
        <f t="shared" ref="T33:T57" si="14">T32+U32+R33+S33-H33</f>
        <v>52.431968227288301</v>
      </c>
      <c r="U33" s="17">
        <f t="shared" si="4"/>
        <v>4.3080403483188395E-2</v>
      </c>
      <c r="V33" s="18">
        <f t="shared" si="12"/>
        <v>0.2150486307714867</v>
      </c>
      <c r="W33" s="16">
        <f t="shared" si="13"/>
        <v>52.26</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1293.5899999999999</v>
      </c>
      <c r="L34" s="13">
        <f t="shared" si="7"/>
        <v>0.79706408493150693</v>
      </c>
      <c r="M34" s="13">
        <f t="shared" si="8"/>
        <v>4.7749966986301366</v>
      </c>
      <c r="N34" s="13">
        <f t="shared" si="3"/>
        <v>0</v>
      </c>
      <c r="O34" s="13">
        <f t="shared" si="9"/>
        <v>0</v>
      </c>
      <c r="P34" s="13">
        <f t="shared" si="10"/>
        <v>0</v>
      </c>
      <c r="Q34" s="13">
        <f t="shared" si="11"/>
        <v>1289.6099999999999</v>
      </c>
      <c r="R34" s="17"/>
      <c r="S34" s="17"/>
      <c r="T34" s="17">
        <f t="shared" si="14"/>
        <v>52.475048630771489</v>
      </c>
      <c r="U34" s="17">
        <f t="shared" si="4"/>
        <v>4.3115800231146223E-2</v>
      </c>
      <c r="V34" s="18">
        <f t="shared" si="12"/>
        <v>0.25816443100263292</v>
      </c>
      <c r="W34" s="16">
        <f t="shared" si="13"/>
        <v>52.26</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1294.3900000000001</v>
      </c>
      <c r="L35" s="13">
        <f t="shared" si="7"/>
        <v>0.79755701643835586</v>
      </c>
      <c r="M35" s="13">
        <f t="shared" si="8"/>
        <v>5.5725537150684925</v>
      </c>
      <c r="N35" s="13">
        <f t="shared" si="3"/>
        <v>0</v>
      </c>
      <c r="O35" s="13">
        <f t="shared" si="9"/>
        <v>0</v>
      </c>
      <c r="P35" s="13">
        <f t="shared" si="10"/>
        <v>0</v>
      </c>
      <c r="Q35" s="13">
        <f t="shared" si="11"/>
        <v>1289.6199999999999</v>
      </c>
      <c r="R35" s="17"/>
      <c r="S35" s="17"/>
      <c r="T35" s="17">
        <f>T34+U34+R35+S35-H35</f>
        <v>52.518164431002639</v>
      </c>
      <c r="U35" s="17">
        <f t="shared" si="4"/>
        <v>4.3151226062623838E-2</v>
      </c>
      <c r="V35" s="18">
        <f t="shared" si="12"/>
        <v>0.30131565706525676</v>
      </c>
      <c r="W35" s="16">
        <f t="shared" si="13"/>
        <v>52.26</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1295.19</v>
      </c>
      <c r="L36" s="13">
        <f t="shared" si="7"/>
        <v>0.79804994794520567</v>
      </c>
      <c r="M36" s="13">
        <f t="shared" si="8"/>
        <v>6.3706036630136982</v>
      </c>
      <c r="N36" s="13">
        <f t="shared" si="3"/>
        <v>0</v>
      </c>
      <c r="O36" s="13">
        <f t="shared" si="9"/>
        <v>0</v>
      </c>
      <c r="P36" s="13">
        <f t="shared" si="10"/>
        <v>0</v>
      </c>
      <c r="Q36" s="13">
        <f t="shared" si="11"/>
        <v>1289.6199999999999</v>
      </c>
      <c r="R36" s="17"/>
      <c r="S36" s="17"/>
      <c r="T36" s="17">
        <f t="shared" si="14"/>
        <v>52.561315657065265</v>
      </c>
      <c r="U36" s="17">
        <f t="shared" si="4"/>
        <v>4.3186681001517457E-2</v>
      </c>
      <c r="V36" s="18">
        <f t="shared" si="12"/>
        <v>0.34450233806677422</v>
      </c>
      <c r="W36" s="16">
        <f t="shared" si="13"/>
        <v>52.26</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1295.99</v>
      </c>
      <c r="L37" s="13">
        <f t="shared" si="7"/>
        <v>0.7985428794520546</v>
      </c>
      <c r="M37" s="13">
        <f t="shared" si="8"/>
        <v>7.1691465424657528</v>
      </c>
      <c r="N37" s="13">
        <f t="shared" si="3"/>
        <v>0</v>
      </c>
      <c r="O37" s="13">
        <f t="shared" si="9"/>
        <v>0</v>
      </c>
      <c r="P37" s="13">
        <f t="shared" si="10"/>
        <v>0</v>
      </c>
      <c r="Q37" s="13">
        <f t="shared" si="11"/>
        <v>1289.6199999999999</v>
      </c>
      <c r="R37" s="17"/>
      <c r="S37" s="17"/>
      <c r="T37" s="17">
        <f t="shared" si="14"/>
        <v>52.60450233806678</v>
      </c>
      <c r="U37" s="17">
        <f t="shared" si="4"/>
        <v>4.3222165071743091E-2</v>
      </c>
      <c r="V37" s="18">
        <f t="shared" si="12"/>
        <v>0.38772450313851731</v>
      </c>
      <c r="W37" s="16">
        <f t="shared" si="13"/>
        <v>52.26</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1296.79</v>
      </c>
      <c r="L38" s="13">
        <f t="shared" si="7"/>
        <v>0.79903581095890441</v>
      </c>
      <c r="M38" s="13">
        <f t="shared" si="8"/>
        <v>7.9681823534246572</v>
      </c>
      <c r="N38" s="13">
        <f t="shared" si="3"/>
        <v>0</v>
      </c>
      <c r="O38" s="13">
        <f t="shared" si="9"/>
        <v>0</v>
      </c>
      <c r="P38" s="13">
        <f t="shared" si="10"/>
        <v>0</v>
      </c>
      <c r="Q38" s="13">
        <f t="shared" si="11"/>
        <v>1289.6199999999999</v>
      </c>
      <c r="R38" s="17"/>
      <c r="S38" s="17"/>
      <c r="T38" s="17">
        <f t="shared" si="14"/>
        <v>52.647724503138527</v>
      </c>
      <c r="U38" s="17">
        <f t="shared" si="4"/>
        <v>4.3257678297236313E-2</v>
      </c>
      <c r="V38" s="18">
        <f t="shared" si="12"/>
        <v>0.43098218143575362</v>
      </c>
      <c r="W38" s="16">
        <f t="shared" si="13"/>
        <v>52.26</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1297.5899999999999</v>
      </c>
      <c r="L39" s="13">
        <f t="shared" si="7"/>
        <v>0.79952874246575334</v>
      </c>
      <c r="M39" s="13">
        <f t="shared" si="8"/>
        <v>8.7677110958904105</v>
      </c>
      <c r="N39" s="13">
        <f t="shared" si="3"/>
        <v>0</v>
      </c>
      <c r="O39" s="13">
        <f>P39-P38</f>
        <v>0</v>
      </c>
      <c r="P39" s="13">
        <f t="shared" si="10"/>
        <v>0</v>
      </c>
      <c r="Q39" s="13">
        <f t="shared" si="11"/>
        <v>1289.6199999999999</v>
      </c>
      <c r="R39" s="17"/>
      <c r="S39" s="17"/>
      <c r="T39" s="17">
        <f t="shared" si="14"/>
        <v>52.690982181435764</v>
      </c>
      <c r="U39" s="17">
        <f t="shared" si="4"/>
        <v>4.3293220701952295E-2</v>
      </c>
      <c r="V39" s="18">
        <f t="shared" si="12"/>
        <v>0.47427540213770591</v>
      </c>
      <c r="W39" s="16">
        <f t="shared" si="13"/>
        <v>52.26</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1298.3900000000001</v>
      </c>
      <c r="L40" s="13">
        <f t="shared" si="7"/>
        <v>0.80002167397260315</v>
      </c>
      <c r="M40" s="13">
        <f t="shared" si="8"/>
        <v>9.5677327698630137</v>
      </c>
      <c r="N40" s="13">
        <f t="shared" si="3"/>
        <v>0</v>
      </c>
      <c r="O40" s="13">
        <f t="shared" si="9"/>
        <v>0</v>
      </c>
      <c r="P40" s="13">
        <f t="shared" si="10"/>
        <v>0</v>
      </c>
      <c r="Q40" s="13">
        <f t="shared" si="11"/>
        <v>1289.6199999999999</v>
      </c>
      <c r="R40" s="17"/>
      <c r="S40" s="17"/>
      <c r="T40" s="17">
        <f t="shared" si="14"/>
        <v>52.734275402137719</v>
      </c>
      <c r="U40" s="17">
        <f t="shared" si="4"/>
        <v>4.3328792309866082E-2</v>
      </c>
      <c r="V40" s="18">
        <f t="shared" si="12"/>
        <v>0.517604194447572</v>
      </c>
      <c r="W40" s="16">
        <f t="shared" si="13"/>
        <v>52.26</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1299.19</v>
      </c>
      <c r="L41" s="13">
        <f t="shared" si="7"/>
        <v>0.80051460547945297</v>
      </c>
      <c r="M41" s="13">
        <f t="shared" si="8"/>
        <v>10.368247375342467</v>
      </c>
      <c r="N41" s="13">
        <f t="shared" si="3"/>
        <v>0</v>
      </c>
      <c r="O41" s="13">
        <f t="shared" si="9"/>
        <v>0</v>
      </c>
      <c r="P41" s="13">
        <f t="shared" si="10"/>
        <v>0</v>
      </c>
      <c r="Q41" s="13">
        <f t="shared" si="11"/>
        <v>1289.6199999999999</v>
      </c>
      <c r="R41" s="17"/>
      <c r="S41" s="17"/>
      <c r="T41" s="17">
        <f t="shared" si="14"/>
        <v>52.777604194447584</v>
      </c>
      <c r="U41" s="17">
        <f t="shared" si="4"/>
        <v>4.3364393144972091E-2</v>
      </c>
      <c r="V41" s="18">
        <f t="shared" si="12"/>
        <v>0.56096858759254409</v>
      </c>
      <c r="W41" s="16">
        <f t="shared" si="13"/>
        <v>52.26</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1299.99</v>
      </c>
      <c r="L42" s="13">
        <f t="shared" si="7"/>
        <v>0.80100753698630101</v>
      </c>
      <c r="M42" s="13">
        <f t="shared" si="8"/>
        <v>11.169254912328768</v>
      </c>
      <c r="N42" s="13">
        <f t="shared" si="3"/>
        <v>0</v>
      </c>
      <c r="O42" s="13">
        <f t="shared" si="9"/>
        <v>0</v>
      </c>
      <c r="P42" s="13">
        <f t="shared" si="10"/>
        <v>0</v>
      </c>
      <c r="Q42" s="13">
        <f t="shared" si="11"/>
        <v>1289.6199999999999</v>
      </c>
      <c r="R42" s="17"/>
      <c r="S42" s="17"/>
      <c r="T42" s="17">
        <f>T41+U41+R42+S42-H42</f>
        <v>52.820968587592553</v>
      </c>
      <c r="U42" s="17">
        <f>V42-V41</f>
        <v>4.3400023231285001E-2</v>
      </c>
      <c r="V42" s="18">
        <f t="shared" si="12"/>
        <v>0.60436861082382909</v>
      </c>
      <c r="W42" s="16">
        <f t="shared" si="13"/>
        <v>52.26</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1300.79</v>
      </c>
      <c r="L43" s="13">
        <f t="shared" si="7"/>
        <v>0.80150046849315082</v>
      </c>
      <c r="M43" s="13">
        <f t="shared" si="8"/>
        <v>11.970755380821918</v>
      </c>
      <c r="N43" s="13">
        <f t="shared" si="3"/>
        <v>0</v>
      </c>
      <c r="O43" s="13">
        <f t="shared" si="9"/>
        <v>0</v>
      </c>
      <c r="P43" s="13">
        <f t="shared" si="10"/>
        <v>0</v>
      </c>
      <c r="Q43" s="13">
        <f t="shared" si="11"/>
        <v>1289.6199999999999</v>
      </c>
      <c r="R43" s="17"/>
      <c r="S43" s="17"/>
      <c r="T43" s="17">
        <f>T42+U42+R43+S43-H43</f>
        <v>52.864368610823838</v>
      </c>
      <c r="U43" s="17">
        <f t="shared" si="4"/>
        <v>4.3435682592838587E-2</v>
      </c>
      <c r="V43" s="18">
        <f t="shared" si="12"/>
        <v>0.64780429341666768</v>
      </c>
      <c r="W43" s="16">
        <f t="shared" si="13"/>
        <v>52.26</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1301.5899999999999</v>
      </c>
      <c r="L44" s="13">
        <f t="shared" si="7"/>
        <v>0.80199340000000063</v>
      </c>
      <c r="M44" s="13">
        <f t="shared" si="8"/>
        <v>12.772748780821919</v>
      </c>
      <c r="N44" s="13">
        <f t="shared" si="3"/>
        <v>0</v>
      </c>
      <c r="O44" s="13">
        <f t="shared" si="9"/>
        <v>0</v>
      </c>
      <c r="P44" s="13">
        <f t="shared" si="10"/>
        <v>0</v>
      </c>
      <c r="Q44" s="13">
        <f t="shared" si="11"/>
        <v>1289.6199999999999</v>
      </c>
      <c r="R44" s="17"/>
      <c r="S44" s="17"/>
      <c r="T44" s="17">
        <f t="shared" si="14"/>
        <v>52.907804293416675</v>
      </c>
      <c r="U44" s="17">
        <f t="shared" si="4"/>
        <v>4.3471371253686719E-2</v>
      </c>
      <c r="V44" s="18">
        <f t="shared" si="12"/>
        <v>0.6912756646703544</v>
      </c>
      <c r="W44" s="16">
        <f t="shared" si="13"/>
        <v>52.26</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1302.3900000000001</v>
      </c>
      <c r="L45" s="13">
        <f t="shared" si="7"/>
        <v>0.80248633150684867</v>
      </c>
      <c r="M45" s="13">
        <f t="shared" si="8"/>
        <v>13.575235112328768</v>
      </c>
      <c r="N45" s="13">
        <f t="shared" si="3"/>
        <v>0</v>
      </c>
      <c r="O45" s="13">
        <f t="shared" si="9"/>
        <v>0</v>
      </c>
      <c r="P45" s="13">
        <f t="shared" si="10"/>
        <v>0</v>
      </c>
      <c r="Q45" s="13">
        <f t="shared" si="11"/>
        <v>1289.6199999999999</v>
      </c>
      <c r="R45" s="17"/>
      <c r="S45" s="17"/>
      <c r="T45" s="17">
        <f t="shared" si="14"/>
        <v>52.951275664670362</v>
      </c>
      <c r="U45" s="17">
        <f t="shared" si="4"/>
        <v>4.350708923790314E-2</v>
      </c>
      <c r="V45" s="18">
        <f t="shared" si="12"/>
        <v>0.73478275390825754</v>
      </c>
      <c r="W45" s="16">
        <f>IF(T45=0,0,W44+R45+S45-H45)</f>
        <v>52.26</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1303.19</v>
      </c>
      <c r="L46" s="13">
        <f t="shared" si="7"/>
        <v>0.80297926301369849</v>
      </c>
      <c r="M46" s="13">
        <f t="shared" si="8"/>
        <v>14.378214375342466</v>
      </c>
      <c r="N46" s="13">
        <f t="shared" si="3"/>
        <v>0</v>
      </c>
      <c r="O46" s="13">
        <f t="shared" si="9"/>
        <v>0</v>
      </c>
      <c r="P46" s="13">
        <f t="shared" si="10"/>
        <v>0</v>
      </c>
      <c r="Q46" s="13">
        <f t="shared" si="11"/>
        <v>1289.6099999999999</v>
      </c>
      <c r="R46" s="17"/>
      <c r="S46" s="17"/>
      <c r="T46" s="17">
        <f t="shared" si="14"/>
        <v>52.994782753908268</v>
      </c>
      <c r="U46" s="17">
        <f t="shared" si="4"/>
        <v>4.3542836569581023E-2</v>
      </c>
      <c r="V46" s="18">
        <f t="shared" si="12"/>
        <v>0.77832559047783856</v>
      </c>
      <c r="W46" s="16">
        <f>IF(T46=0,0,W45+R46+S46-H46)</f>
        <v>52.26</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1303.99</v>
      </c>
      <c r="L47" s="13">
        <f t="shared" si="7"/>
        <v>0.8034721945205483</v>
      </c>
      <c r="M47" s="13">
        <f t="shared" si="8"/>
        <v>15.181686569863015</v>
      </c>
      <c r="N47" s="13">
        <f t="shared" si="3"/>
        <v>0</v>
      </c>
      <c r="O47" s="13">
        <f t="shared" si="9"/>
        <v>0</v>
      </c>
      <c r="P47" s="13">
        <f t="shared" si="10"/>
        <v>0</v>
      </c>
      <c r="Q47" s="13">
        <f t="shared" si="11"/>
        <v>1289.6099999999999</v>
      </c>
      <c r="R47" s="17"/>
      <c r="S47" s="17"/>
      <c r="T47" s="17">
        <f t="shared" si="14"/>
        <v>53.038325590477847</v>
      </c>
      <c r="U47" s="17">
        <f t="shared" si="4"/>
        <v>4.3578613272833744E-2</v>
      </c>
      <c r="V47" s="18">
        <f t="shared" si="12"/>
        <v>0.8219042037506723</v>
      </c>
      <c r="W47" s="16">
        <f t="shared" si="13"/>
        <v>52.26</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1304.79</v>
      </c>
      <c r="L48" s="13">
        <f t="shared" si="7"/>
        <v>0.80396512602739634</v>
      </c>
      <c r="M48" s="13">
        <f t="shared" si="8"/>
        <v>15.985651695890411</v>
      </c>
      <c r="N48" s="13">
        <f t="shared" si="3"/>
        <v>0</v>
      </c>
      <c r="O48" s="13">
        <f t="shared" si="9"/>
        <v>0</v>
      </c>
      <c r="P48" s="13">
        <f t="shared" si="10"/>
        <v>0</v>
      </c>
      <c r="Q48" s="13">
        <f t="shared" si="11"/>
        <v>1289.6099999999999</v>
      </c>
      <c r="R48" s="17"/>
      <c r="S48" s="17"/>
      <c r="T48" s="17">
        <f t="shared" si="14"/>
        <v>53.081904203750682</v>
      </c>
      <c r="U48" s="17">
        <f t="shared" si="4"/>
        <v>4.3614419371794E-2</v>
      </c>
      <c r="V48" s="18">
        <f t="shared" si="12"/>
        <v>0.8655186231224663</v>
      </c>
      <c r="W48" s="16">
        <f t="shared" si="13"/>
        <v>52.26</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1305.5899999999999</v>
      </c>
      <c r="L49" s="13">
        <f t="shared" si="7"/>
        <v>0.80445805753424793</v>
      </c>
      <c r="M49" s="13">
        <f t="shared" si="8"/>
        <v>16.790109753424659</v>
      </c>
      <c r="N49" s="13">
        <f t="shared" si="3"/>
        <v>0</v>
      </c>
      <c r="O49" s="13">
        <f t="shared" si="9"/>
        <v>0</v>
      </c>
      <c r="P49" s="13">
        <f t="shared" si="10"/>
        <v>0</v>
      </c>
      <c r="Q49" s="13">
        <f t="shared" si="11"/>
        <v>1289.5999999999999</v>
      </c>
      <c r="R49" s="17"/>
      <c r="S49" s="17"/>
      <c r="T49" s="17">
        <f t="shared" si="14"/>
        <v>53.125518623122474</v>
      </c>
      <c r="U49" s="17">
        <f t="shared" si="4"/>
        <v>4.3650254890614915E-2</v>
      </c>
      <c r="V49" s="18">
        <f t="shared" si="12"/>
        <v>0.90916887801308122</v>
      </c>
      <c r="W49" s="16">
        <f t="shared" si="13"/>
        <v>52.26</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1306.3900000000001</v>
      </c>
      <c r="L50" s="13">
        <f t="shared" si="7"/>
        <v>0.80495098904109597</v>
      </c>
      <c r="M50" s="13">
        <f t="shared" si="8"/>
        <v>17.595060742465755</v>
      </c>
      <c r="N50" s="13">
        <f t="shared" si="3"/>
        <v>0</v>
      </c>
      <c r="O50" s="13">
        <f t="shared" si="9"/>
        <v>0</v>
      </c>
      <c r="P50" s="13">
        <f t="shared" si="10"/>
        <v>0</v>
      </c>
      <c r="Q50" s="13">
        <f t="shared" si="11"/>
        <v>1289.5999999999999</v>
      </c>
      <c r="R50" s="17"/>
      <c r="S50" s="17"/>
      <c r="T50" s="17">
        <f t="shared" si="14"/>
        <v>53.169168878013089</v>
      </c>
      <c r="U50" s="17">
        <f t="shared" si="4"/>
        <v>4.3686119853468819E-2</v>
      </c>
      <c r="V50" s="18">
        <f t="shared" si="12"/>
        <v>0.95285499786655004</v>
      </c>
      <c r="W50" s="16">
        <f t="shared" si="13"/>
        <v>52.26</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1307.19</v>
      </c>
      <c r="L51" s="13">
        <f t="shared" si="7"/>
        <v>0.805443920547944</v>
      </c>
      <c r="M51" s="13">
        <f t="shared" si="8"/>
        <v>18.400504663013699</v>
      </c>
      <c r="N51" s="13">
        <f t="shared" si="3"/>
        <v>0</v>
      </c>
      <c r="O51" s="13">
        <f t="shared" si="9"/>
        <v>0</v>
      </c>
      <c r="P51" s="13">
        <f t="shared" si="10"/>
        <v>0</v>
      </c>
      <c r="Q51" s="13">
        <f t="shared" si="11"/>
        <v>1289.5899999999999</v>
      </c>
      <c r="R51" s="17"/>
      <c r="S51" s="17"/>
      <c r="T51" s="17">
        <f t="shared" si="14"/>
        <v>53.212854997866557</v>
      </c>
      <c r="U51" s="17">
        <f t="shared" si="4"/>
        <v>4.3722014284548472E-2</v>
      </c>
      <c r="V51" s="18">
        <f t="shared" si="12"/>
        <v>0.99657701215109851</v>
      </c>
      <c r="W51" s="16">
        <f t="shared" si="13"/>
        <v>52.26</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1308</v>
      </c>
      <c r="L52" s="13">
        <f t="shared" si="7"/>
        <v>0.80594301369863075</v>
      </c>
      <c r="M52" s="13">
        <f t="shared" si="8"/>
        <v>19.20644767671233</v>
      </c>
      <c r="N52" s="13">
        <f>ROUND(N51+I52+J52+O51-G52,2)</f>
        <v>0</v>
      </c>
      <c r="O52" s="13">
        <f t="shared" si="9"/>
        <v>0</v>
      </c>
      <c r="P52" s="13">
        <f t="shared" si="10"/>
        <v>0</v>
      </c>
      <c r="Q52" s="13">
        <f t="shared" si="11"/>
        <v>1289.5999999999999</v>
      </c>
      <c r="R52" s="17"/>
      <c r="S52" s="17"/>
      <c r="T52" s="17">
        <f t="shared" si="14"/>
        <v>53.256577012151105</v>
      </c>
      <c r="U52" s="17">
        <f t="shared" si="4"/>
        <v>4.3757938208066061E-2</v>
      </c>
      <c r="V52" s="18">
        <f t="shared" si="12"/>
        <v>1.0403349503591646</v>
      </c>
      <c r="W52" s="16">
        <f t="shared" si="13"/>
        <v>52.26</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1308.81</v>
      </c>
      <c r="L53" s="13">
        <f t="shared" si="7"/>
        <v>0.80644210684931394</v>
      </c>
      <c r="M53" s="13">
        <f t="shared" si="8"/>
        <v>20.012889783561643</v>
      </c>
      <c r="N53" s="13">
        <f t="shared" si="3"/>
        <v>0</v>
      </c>
      <c r="O53" s="13">
        <f t="shared" si="9"/>
        <v>0</v>
      </c>
      <c r="P53" s="13">
        <f t="shared" si="10"/>
        <v>0</v>
      </c>
      <c r="Q53" s="13">
        <f t="shared" si="11"/>
        <v>1289.5999999999999</v>
      </c>
      <c r="R53" s="17"/>
      <c r="S53" s="17"/>
      <c r="T53" s="17">
        <f t="shared" si="14"/>
        <v>53.300334950359172</v>
      </c>
      <c r="U53" s="17">
        <f t="shared" si="4"/>
        <v>4.3793891648254091E-2</v>
      </c>
      <c r="V53" s="18">
        <f t="shared" si="12"/>
        <v>1.0841288420074187</v>
      </c>
      <c r="W53" s="16">
        <f t="shared" si="13"/>
        <v>52.26</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1309.6199999999999</v>
      </c>
      <c r="L54" s="13">
        <f t="shared" si="7"/>
        <v>0.80694120000000069</v>
      </c>
      <c r="M54" s="13">
        <f t="shared" si="8"/>
        <v>20.819830983561644</v>
      </c>
      <c r="N54" s="13">
        <f t="shared" si="3"/>
        <v>0</v>
      </c>
      <c r="O54" s="13">
        <f t="shared" si="9"/>
        <v>0</v>
      </c>
      <c r="P54" s="13">
        <f>ROUND(P53+N54*$F$22,2)</f>
        <v>0</v>
      </c>
      <c r="Q54" s="13">
        <f t="shared" si="11"/>
        <v>1289.6099999999999</v>
      </c>
      <c r="R54" s="17"/>
      <c r="S54" s="17"/>
      <c r="T54" s="17">
        <f t="shared" si="14"/>
        <v>53.344128842007429</v>
      </c>
      <c r="U54" s="17">
        <f t="shared" si="4"/>
        <v>4.3829874629364385E-2</v>
      </c>
      <c r="V54" s="18">
        <f t="shared" si="12"/>
        <v>1.127958716636783</v>
      </c>
      <c r="W54" s="16">
        <f t="shared" si="13"/>
        <v>52.26</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1310.43</v>
      </c>
      <c r="L55" s="13">
        <f t="shared" si="7"/>
        <v>0.80744029315068389</v>
      </c>
      <c r="M55" s="13">
        <f t="shared" si="8"/>
        <v>21.627271276712328</v>
      </c>
      <c r="N55" s="13">
        <f t="shared" si="3"/>
        <v>0</v>
      </c>
      <c r="O55" s="13">
        <f t="shared" si="9"/>
        <v>0</v>
      </c>
      <c r="P55" s="13">
        <f t="shared" si="10"/>
        <v>0</v>
      </c>
      <c r="Q55" s="13">
        <f t="shared" si="11"/>
        <v>1289.6099999999999</v>
      </c>
      <c r="R55" s="17"/>
      <c r="S55" s="17"/>
      <c r="T55" s="17">
        <f t="shared" si="14"/>
        <v>53.387958716636795</v>
      </c>
      <c r="U55" s="17">
        <f t="shared" si="4"/>
        <v>4.3865887175669416E-2</v>
      </c>
      <c r="V55" s="18">
        <f t="shared" si="12"/>
        <v>1.1718246038124525</v>
      </c>
      <c r="W55" s="16">
        <f t="shared" si="13"/>
        <v>52.26</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1311.24</v>
      </c>
      <c r="L56" s="13">
        <f t="shared" si="7"/>
        <v>0.80793938630137063</v>
      </c>
      <c r="M56" s="13">
        <f t="shared" si="8"/>
        <v>22.435210663013699</v>
      </c>
      <c r="N56" s="13">
        <f t="shared" si="3"/>
        <v>0</v>
      </c>
      <c r="O56" s="13">
        <f t="shared" si="9"/>
        <v>0</v>
      </c>
      <c r="P56" s="13">
        <f t="shared" si="10"/>
        <v>0</v>
      </c>
      <c r="Q56" s="13">
        <f t="shared" si="11"/>
        <v>1289.6099999999999</v>
      </c>
      <c r="R56" s="17"/>
      <c r="S56" s="17"/>
      <c r="T56" s="17">
        <f t="shared" si="14"/>
        <v>53.431824603812466</v>
      </c>
      <c r="U56" s="17">
        <f t="shared" si="4"/>
        <v>4.3901929311461307E-2</v>
      </c>
      <c r="V56" s="18">
        <f t="shared" si="12"/>
        <v>1.2157265331239138</v>
      </c>
      <c r="W56" s="16">
        <f t="shared" si="13"/>
        <v>52.26</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1312.05</v>
      </c>
      <c r="L57" s="13">
        <f t="shared" si="7"/>
        <v>0.80843847945205383</v>
      </c>
      <c r="M57" s="13">
        <f t="shared" si="8"/>
        <v>23.243649142465753</v>
      </c>
      <c r="N57" s="13">
        <f t="shared" si="3"/>
        <v>0</v>
      </c>
      <c r="O57" s="13">
        <f t="shared" si="9"/>
        <v>0</v>
      </c>
      <c r="P57" s="13">
        <f>ROUND(P56+N57*$F$22,2)</f>
        <v>0</v>
      </c>
      <c r="Q57" s="13">
        <f t="shared" si="11"/>
        <v>1289.6099999999999</v>
      </c>
      <c r="R57" s="17"/>
      <c r="S57" s="17"/>
      <c r="T57" s="17">
        <f t="shared" si="14"/>
        <v>53.475726533123925</v>
      </c>
      <c r="U57" s="17">
        <f t="shared" si="4"/>
        <v>4.3938001061051724E-2</v>
      </c>
      <c r="V57" s="18">
        <f t="shared" si="12"/>
        <v>1.2596645341849655</v>
      </c>
      <c r="W57" s="16">
        <f t="shared" si="13"/>
        <v>52.26</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1312.86</v>
      </c>
      <c r="L58" s="13">
        <f t="shared" ref="L58" si="18">M58-M57</f>
        <v>0.80893757260274057</v>
      </c>
      <c r="M58" s="13">
        <f t="shared" ref="M58" si="19">IF(K58=0,0,M57+K58*$F$22)</f>
        <v>24.052586715068493</v>
      </c>
      <c r="N58" s="13">
        <f t="shared" ref="N58" si="20">ROUND(N57+I58+J58+O57-G58,2)</f>
        <v>0</v>
      </c>
      <c r="O58" s="13">
        <f t="shared" ref="O58" si="21">P58-P57</f>
        <v>0</v>
      </c>
      <c r="P58" s="13">
        <f>ROUND(P57+N58*$F$22,2)</f>
        <v>0</v>
      </c>
      <c r="Q58" s="13">
        <f t="shared" ref="Q58" si="22">ROUND(N58+K58-M57-P57,2)</f>
        <v>1289.6199999999999</v>
      </c>
      <c r="R58" s="17"/>
      <c r="S58" s="17"/>
      <c r="T58" s="17">
        <f t="shared" ref="T58" si="23">T57+U57+R58+S58-H58</f>
        <v>53.519664534184976</v>
      </c>
      <c r="U58" s="17">
        <f t="shared" ref="U58" si="24">V58-V57</f>
        <v>4.3974102448772756E-2</v>
      </c>
      <c r="V58" s="18">
        <f t="shared" ref="V58" si="25">V57+T58*$F$23</f>
        <v>1.3036386366337382</v>
      </c>
      <c r="W58" s="16">
        <f t="shared" ref="W58" si="26">IF(T58=0,0,W57+R58+S58-H58)</f>
        <v>52.26</v>
      </c>
    </row>
    <row r="59" spans="2:23" ht="15" thickBot="1" x14ac:dyDescent="0.4">
      <c r="B59" s="119" t="s">
        <v>49</v>
      </c>
      <c r="C59" s="120"/>
      <c r="D59" s="67">
        <f t="shared" ref="D59:L59" si="27">SUM(D29:D58)</f>
        <v>0</v>
      </c>
      <c r="E59" s="21">
        <f t="shared" si="27"/>
        <v>0</v>
      </c>
      <c r="F59" s="21">
        <f t="shared" si="27"/>
        <v>0</v>
      </c>
      <c r="G59" s="21">
        <f t="shared" si="27"/>
        <v>0</v>
      </c>
      <c r="H59" s="22">
        <f t="shared" si="27"/>
        <v>0</v>
      </c>
      <c r="I59" s="20">
        <f t="shared" si="27"/>
        <v>0</v>
      </c>
      <c r="J59" s="21">
        <f t="shared" si="27"/>
        <v>0</v>
      </c>
      <c r="K59" s="21">
        <f t="shared" si="27"/>
        <v>39035.990000000005</v>
      </c>
      <c r="L59" s="74">
        <f t="shared" si="27"/>
        <v>24.052586715068493</v>
      </c>
      <c r="M59" s="20"/>
      <c r="N59" s="21">
        <f>SUM(N29:N58)</f>
        <v>0</v>
      </c>
      <c r="O59" s="21">
        <f>SUM(O29:O58)</f>
        <v>0</v>
      </c>
      <c r="P59" s="20"/>
      <c r="Q59" s="20"/>
      <c r="R59" s="22">
        <f>SUM(R29:R58)</f>
        <v>0</v>
      </c>
      <c r="S59" s="22">
        <f>SUM(S29:S58)</f>
        <v>0</v>
      </c>
      <c r="T59" s="22">
        <f>SUM(T29:T58)</f>
        <v>1586.6225487539659</v>
      </c>
      <c r="U59" s="22">
        <f>SUM(U29:U58)</f>
        <v>1.3036386366337382</v>
      </c>
      <c r="V59" s="23"/>
      <c r="W59" s="23"/>
    </row>
    <row r="60" spans="2:23" ht="15" thickBot="1" x14ac:dyDescent="0.4">
      <c r="G60" s="61"/>
      <c r="J60" s="82" t="s">
        <v>71</v>
      </c>
      <c r="K60" s="82">
        <f>K59/$C$18</f>
        <v>1301.1996666666669</v>
      </c>
      <c r="M60" s="82" t="s">
        <v>69</v>
      </c>
      <c r="N60" s="82">
        <f>N59/$C$18</f>
        <v>0</v>
      </c>
      <c r="O60" s="61"/>
      <c r="S60" s="82" t="s">
        <v>65</v>
      </c>
      <c r="T60" s="82">
        <f>T59/$C$18</f>
        <v>52.887418291798866</v>
      </c>
    </row>
    <row r="61" spans="2:23" ht="15" thickBot="1" x14ac:dyDescent="0.4">
      <c r="H61" s="2"/>
      <c r="J61" s="82" t="s">
        <v>72</v>
      </c>
      <c r="K61" s="82">
        <f>M58</f>
        <v>24.052586715068493</v>
      </c>
      <c r="M61" s="82" t="s">
        <v>70</v>
      </c>
      <c r="N61" s="82">
        <f>IF(ROUND(N58,2)=0,0,N60*$F$22*$C$18)</f>
        <v>0</v>
      </c>
      <c r="S61" s="82" t="s">
        <v>64</v>
      </c>
      <c r="T61" s="82">
        <f>T60*$F$23*$C$18</f>
        <v>1.303638636633738</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2025-03-19T07:36:00Z</dcterms:modified>
</cp:coreProperties>
</file>