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8_{751C2941-1C80-4888-8E6A-435834929509}" xr6:coauthVersionLast="47" xr6:coauthVersionMax="47" xr10:uidLastSave="{00000000-0000-0000-0000-000000000000}"/>
  <bookViews>
    <workbookView xWindow="-80" yWindow="-80" windowWidth="19360" windowHeight="10240" activeTab="3"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5" i="13" l="1"/>
  <c r="AA54" i="13"/>
  <c r="AA53" i="13"/>
  <c r="M79" i="13"/>
  <c r="M80" i="13" s="1"/>
  <c r="M29" i="13"/>
  <c r="L29" i="13" s="1"/>
  <c r="C10" i="13"/>
  <c r="S60" i="16"/>
  <c r="R60" i="16"/>
  <c r="F7" i="16" s="1"/>
  <c r="J60" i="16"/>
  <c r="I60" i="16"/>
  <c r="F6" i="16" s="1"/>
  <c r="D60" i="16"/>
  <c r="E29" i="16"/>
  <c r="F23" i="16"/>
  <c r="F22" i="16"/>
  <c r="F18" i="16"/>
  <c r="C16" i="16"/>
  <c r="C11" i="16"/>
  <c r="C10" i="16"/>
  <c r="I8" i="16"/>
  <c r="C8" i="16"/>
  <c r="I7" i="16"/>
  <c r="F8" i="16" s="1"/>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6" i="15" l="1"/>
  <c r="E37" i="15" s="1"/>
  <c r="E38" i="15" s="1"/>
  <c r="E35" i="16"/>
  <c r="B33" i="16"/>
  <c r="C34" i="16"/>
  <c r="C35" i="15"/>
  <c r="B34"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N65" i="1" s="1"/>
  <c r="N66" i="1" s="1"/>
  <c r="N6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s="1"/>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4" i="15"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P52" i="16" l="1"/>
  <c r="K29" i="16"/>
  <c r="U52" i="16"/>
  <c r="W52" i="13"/>
  <c r="V52" i="13"/>
  <c r="Q29" i="16" l="1"/>
  <c r="M29" i="16"/>
  <c r="L29" i="16" s="1"/>
  <c r="K30" i="16" s="1"/>
  <c r="M30" i="16" s="1"/>
  <c r="L30" i="16" s="1"/>
  <c r="O52" i="16"/>
  <c r="H53" i="16"/>
  <c r="T53" i="16" s="1"/>
  <c r="U52" i="13"/>
  <c r="Q30" i="16" l="1"/>
  <c r="K31" i="16"/>
  <c r="Q31" i="16" s="1"/>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F9" i="16" s="1"/>
  <c r="F11" i="16" s="1"/>
  <c r="F14" i="16" s="1"/>
  <c r="L59" i="16"/>
  <c r="L60" i="16" s="1"/>
  <c r="H29" i="14" l="1"/>
  <c r="T29" i="14" s="1"/>
  <c r="V29" i="14" s="1"/>
  <c r="U29" i="14" s="1"/>
  <c r="W29" i="14" l="1"/>
  <c r="H30" i="14"/>
  <c r="T30" i="14" l="1"/>
  <c r="W30" i="14" l="1"/>
  <c r="V30" i="14"/>
  <c r="F29" i="15" l="1"/>
  <c r="H29" i="15" s="1"/>
  <c r="I21" i="15"/>
  <c r="U30" i="14"/>
  <c r="T29" i="15" l="1"/>
  <c r="F30" i="15"/>
  <c r="H31" i="14"/>
  <c r="G29" i="15"/>
  <c r="W29" i="15" l="1"/>
  <c r="V29" i="15"/>
  <c r="U29" i="15" s="1"/>
  <c r="H30" i="15" s="1"/>
  <c r="F31" i="15"/>
  <c r="G30" i="15"/>
  <c r="N29" i="15"/>
  <c r="T31" i="14"/>
  <c r="T30" i="15" l="1"/>
  <c r="W31" i="14"/>
  <c r="V31" i="14"/>
  <c r="P29" i="15"/>
  <c r="V30" i="15" l="1"/>
  <c r="U30" i="15" s="1"/>
  <c r="W30" i="15"/>
  <c r="H31" i="15"/>
  <c r="O29" i="15"/>
  <c r="U31" i="14"/>
  <c r="T31" i="15" l="1"/>
  <c r="G31" i="15"/>
  <c r="F32" i="15"/>
  <c r="H32" i="14"/>
  <c r="N30" i="15"/>
  <c r="V31" i="15" l="1"/>
  <c r="W31" i="15"/>
  <c r="P30" i="15"/>
  <c r="T32" i="14"/>
  <c r="U31" i="15" l="1"/>
  <c r="H32" i="15" s="1"/>
  <c r="W32" i="14"/>
  <c r="V32" i="14"/>
  <c r="O30" i="15"/>
  <c r="T32" i="15" l="1"/>
  <c r="G32" i="15"/>
  <c r="F33" i="15"/>
  <c r="U32" i="14"/>
  <c r="N31" i="15"/>
  <c r="W32" i="15" l="1"/>
  <c r="V32" i="15"/>
  <c r="U32" i="15" s="1"/>
  <c r="H33" i="15" s="1"/>
  <c r="H33" i="14"/>
  <c r="P31" i="15"/>
  <c r="T33" i="15" l="1"/>
  <c r="V33" i="15"/>
  <c r="W33" i="15"/>
  <c r="F34" i="15"/>
  <c r="G33" i="15"/>
  <c r="O31" i="15"/>
  <c r="T33" i="14"/>
  <c r="U33" i="15" l="1"/>
  <c r="W33" i="14"/>
  <c r="V33" i="14"/>
  <c r="N32" i="15"/>
  <c r="H34" i="15" l="1"/>
  <c r="T34" i="15" s="1"/>
  <c r="U33" i="14"/>
  <c r="P32" i="15"/>
  <c r="W34" i="15" l="1"/>
  <c r="V34" i="15"/>
  <c r="G34" i="15"/>
  <c r="F35" i="15"/>
  <c r="O32" i="15"/>
  <c r="H34" i="14"/>
  <c r="U34" i="15" l="1"/>
  <c r="H35" i="15" s="1"/>
  <c r="T35" i="15" s="1"/>
  <c r="V35" i="15" s="1"/>
  <c r="T34" i="14"/>
  <c r="V34" i="14" s="1"/>
  <c r="N33" i="15"/>
  <c r="F36" i="15" l="1"/>
  <c r="U35" i="15"/>
  <c r="W35" i="15"/>
  <c r="H36" i="15"/>
  <c r="T36" i="15" s="1"/>
  <c r="W36" i="15" s="1"/>
  <c r="G35" i="15"/>
  <c r="W34" i="14"/>
  <c r="P33" i="15"/>
  <c r="U34" i="14"/>
  <c r="F37" i="15" l="1"/>
  <c r="G36" i="15"/>
  <c r="V36" i="15"/>
  <c r="O33" i="15"/>
  <c r="H35" i="14"/>
  <c r="U36" i="15" l="1"/>
  <c r="H37" i="15" s="1"/>
  <c r="T35" i="14"/>
  <c r="W35" i="14" s="1"/>
  <c r="N34" i="15"/>
  <c r="T37" i="15" l="1"/>
  <c r="F38" i="15"/>
  <c r="G37" i="15"/>
  <c r="V35" i="14"/>
  <c r="U35" i="14" s="1"/>
  <c r="P34" i="15"/>
  <c r="W37" i="15" l="1"/>
  <c r="V37" i="15"/>
  <c r="O34" i="15"/>
  <c r="N35" i="15" s="1"/>
  <c r="P35" i="15" s="1"/>
  <c r="H36" i="14"/>
  <c r="U37" i="15" l="1"/>
  <c r="H38" i="15" s="1"/>
  <c r="T36" i="14"/>
  <c r="O35" i="15"/>
  <c r="N36" i="15" s="1"/>
  <c r="T38" i="15" l="1"/>
  <c r="F39" i="15"/>
  <c r="G38" i="15"/>
  <c r="P36" i="15"/>
  <c r="W36" i="14"/>
  <c r="V36" i="14"/>
  <c r="W38" i="15" l="1"/>
  <c r="V38" i="15"/>
  <c r="U36" i="14"/>
  <c r="O36" i="15"/>
  <c r="N37" i="15" s="1"/>
  <c r="P37" i="15" s="1"/>
  <c r="U38" i="15" l="1"/>
  <c r="H39" i="15" s="1"/>
  <c r="H37" i="14"/>
  <c r="O37" i="15"/>
  <c r="N38" i="15" s="1"/>
  <c r="T39" i="15" l="1"/>
  <c r="G39" i="15"/>
  <c r="F40" i="15"/>
  <c r="T37" i="14"/>
  <c r="W37" i="14" s="1"/>
  <c r="P38" i="15"/>
  <c r="W39" i="15" l="1"/>
  <c r="V39" i="15"/>
  <c r="V37" i="14"/>
  <c r="U37" i="14" s="1"/>
  <c r="O38" i="15"/>
  <c r="N39" i="15" s="1"/>
  <c r="U39" i="15" l="1"/>
  <c r="H40" i="15" s="1"/>
  <c r="P39" i="15"/>
  <c r="H38" i="14"/>
  <c r="T40" i="15" l="1"/>
  <c r="G40" i="15"/>
  <c r="F41" i="15"/>
  <c r="T38" i="14"/>
  <c r="W38" i="14" s="1"/>
  <c r="O39" i="15"/>
  <c r="N40" i="15" l="1"/>
  <c r="P40" i="15" s="1"/>
  <c r="W40" i="15"/>
  <c r="V40" i="15"/>
  <c r="V38" i="14"/>
  <c r="U38" i="14" s="1"/>
  <c r="U40" i="15" l="1"/>
  <c r="H39" i="14"/>
  <c r="O40" i="15"/>
  <c r="H41" i="15" l="1"/>
  <c r="T41" i="15" s="1"/>
  <c r="T39" i="14"/>
  <c r="W41" i="15" l="1"/>
  <c r="V41" i="15"/>
  <c r="G41" i="15"/>
  <c r="N41" i="15" s="1"/>
  <c r="P41" i="15" s="1"/>
  <c r="O41" i="15" s="1"/>
  <c r="F42" i="15"/>
  <c r="W39" i="14"/>
  <c r="V39" i="14"/>
  <c r="U41" i="15" l="1"/>
  <c r="U39" i="14"/>
  <c r="H42" i="15" l="1"/>
  <c r="T42" i="15" s="1"/>
  <c r="H40" i="14"/>
  <c r="W42" i="15" l="1"/>
  <c r="V42" i="15"/>
  <c r="G42" i="15"/>
  <c r="N42" i="15" s="1"/>
  <c r="P42" i="15" s="1"/>
  <c r="F43" i="15"/>
  <c r="T40" i="14"/>
  <c r="O42" i="15" l="1"/>
  <c r="U42" i="15"/>
  <c r="H43" i="15" s="1"/>
  <c r="T43" i="15" s="1"/>
  <c r="V43" i="15" s="1"/>
  <c r="W40" i="14"/>
  <c r="V40" i="14"/>
  <c r="F44" i="15" l="1"/>
  <c r="G43" i="15"/>
  <c r="U43" i="15"/>
  <c r="H44" i="15" s="1"/>
  <c r="G44" i="15" s="1"/>
  <c r="W43" i="15"/>
  <c r="N43" i="15"/>
  <c r="U40" i="14"/>
  <c r="F45" i="15" l="1"/>
  <c r="P43" i="15"/>
  <c r="T44" i="15"/>
  <c r="H41" i="14"/>
  <c r="W44" i="15" l="1"/>
  <c r="V44" i="15"/>
  <c r="O43" i="15"/>
  <c r="N44" i="15" s="1"/>
  <c r="T41" i="14"/>
  <c r="V41" i="14" s="1"/>
  <c r="U44" i="15" l="1"/>
  <c r="H45" i="15" s="1"/>
  <c r="P44" i="15"/>
  <c r="W41" i="14"/>
  <c r="U41" i="14"/>
  <c r="O44" i="15" l="1"/>
  <c r="T45" i="15"/>
  <c r="G45" i="15"/>
  <c r="F46" i="15"/>
  <c r="H42" i="14"/>
  <c r="W45" i="15" l="1"/>
  <c r="V45" i="15"/>
  <c r="N45" i="15"/>
  <c r="T42" i="14"/>
  <c r="W42" i="14" s="1"/>
  <c r="P45" i="15" l="1"/>
  <c r="U45" i="15"/>
  <c r="H46" i="15" s="1"/>
  <c r="V42" i="14"/>
  <c r="U42" i="14" s="1"/>
  <c r="T46" i="15" l="1"/>
  <c r="G46" i="15"/>
  <c r="F47" i="15"/>
  <c r="O45" i="15"/>
  <c r="N46" i="15" s="1"/>
  <c r="P46" i="15" s="1"/>
  <c r="H43" i="14"/>
  <c r="O46" i="15" l="1"/>
  <c r="W46" i="15"/>
  <c r="V46" i="15"/>
  <c r="T43" i="14"/>
  <c r="W43" i="14" s="1"/>
  <c r="U46" i="15" l="1"/>
  <c r="H47" i="15" s="1"/>
  <c r="V43" i="14"/>
  <c r="U43" i="14" s="1"/>
  <c r="T47" i="15" l="1"/>
  <c r="G47" i="15"/>
  <c r="N47" i="15" s="1"/>
  <c r="F48" i="15"/>
  <c r="H44" i="14"/>
  <c r="P47" i="15" l="1"/>
  <c r="W47" i="15"/>
  <c r="V47" i="15"/>
  <c r="T44" i="14"/>
  <c r="V44" i="14" s="1"/>
  <c r="O47" i="15" l="1"/>
  <c r="U47" i="15"/>
  <c r="H48" i="15" s="1"/>
  <c r="W44" i="14"/>
  <c r="U44" i="14"/>
  <c r="T48" i="15" l="1"/>
  <c r="G48" i="15"/>
  <c r="F49" i="15"/>
  <c r="N48" i="15"/>
  <c r="H45" i="14"/>
  <c r="P48" i="15" l="1"/>
  <c r="W48" i="15"/>
  <c r="V48" i="15"/>
  <c r="T45" i="14"/>
  <c r="U48" i="15" l="1"/>
  <c r="H49" i="15" s="1"/>
  <c r="O48" i="15"/>
  <c r="W45" i="14"/>
  <c r="V45" i="14"/>
  <c r="T49" i="15" l="1"/>
  <c r="G49" i="15"/>
  <c r="N49" i="15" s="1"/>
  <c r="F50" i="15"/>
  <c r="U45" i="14"/>
  <c r="W49" i="15" l="1"/>
  <c r="V49" i="15"/>
  <c r="P49" i="15"/>
  <c r="O49" i="15" s="1"/>
  <c r="H46" i="14"/>
  <c r="U49" i="15" l="1"/>
  <c r="H50" i="15" s="1"/>
  <c r="T46" i="14"/>
  <c r="T50" i="15" l="1"/>
  <c r="G50" i="15"/>
  <c r="N50" i="15" s="1"/>
  <c r="P50" i="15" s="1"/>
  <c r="F51" i="15"/>
  <c r="W46" i="14"/>
  <c r="V46" i="14"/>
  <c r="O50" i="15" l="1"/>
  <c r="W50" i="15"/>
  <c r="V50" i="15"/>
  <c r="U46" i="14"/>
  <c r="U50" i="15" l="1"/>
  <c r="H51" i="15" s="1"/>
  <c r="H47" i="14"/>
  <c r="T47" i="14" s="1"/>
  <c r="T51" i="15" l="1"/>
  <c r="F52" i="15"/>
  <c r="G51" i="15"/>
  <c r="N51" i="15" s="1"/>
  <c r="W47" i="14"/>
  <c r="V47" i="14"/>
  <c r="P51" i="15" l="1"/>
  <c r="O51" i="15" s="1"/>
  <c r="W51" i="15"/>
  <c r="V51" i="15"/>
  <c r="U51" i="15" s="1"/>
  <c r="H52" i="15" s="1"/>
  <c r="U47" i="14"/>
  <c r="G52" i="15" l="1"/>
  <c r="N52" i="15" s="1"/>
  <c r="F53" i="15"/>
  <c r="T52" i="15"/>
  <c r="H48" i="14"/>
  <c r="P52" i="15" l="1"/>
  <c r="V52" i="15"/>
  <c r="W52" i="15"/>
  <c r="T48" i="14"/>
  <c r="U52" i="15" l="1"/>
  <c r="H53" i="15" s="1"/>
  <c r="M29" i="15"/>
  <c r="L29" i="15" s="1"/>
  <c r="K30" i="15" s="1"/>
  <c r="Q29" i="15"/>
  <c r="O52" i="15"/>
  <c r="W48" i="14"/>
  <c r="V48" i="14"/>
  <c r="M30" i="15" l="1"/>
  <c r="L30" i="15" s="1"/>
  <c r="K31" i="15" s="1"/>
  <c r="Q30" i="15"/>
  <c r="T53" i="15"/>
  <c r="F54" i="15"/>
  <c r="G53" i="15"/>
  <c r="N53" i="15" s="1"/>
  <c r="U48" i="14"/>
  <c r="P53" i="15" l="1"/>
  <c r="W53" i="15"/>
  <c r="V53" i="15"/>
  <c r="Q31" i="15"/>
  <c r="M31" i="15"/>
  <c r="L31" i="15" s="1"/>
  <c r="K32" i="15" s="1"/>
  <c r="H49" i="14"/>
  <c r="U53" i="15" l="1"/>
  <c r="H54" i="15" s="1"/>
  <c r="O53" i="15"/>
  <c r="Q32" i="15"/>
  <c r="M32" i="15"/>
  <c r="L32" i="15" s="1"/>
  <c r="K33" i="15" s="1"/>
  <c r="T49" i="14"/>
  <c r="M33" i="15" l="1"/>
  <c r="L33" i="15" s="1"/>
  <c r="K34" i="15" s="1"/>
  <c r="Q33" i="15"/>
  <c r="T54" i="15"/>
  <c r="G54" i="15"/>
  <c r="N54" i="15" s="1"/>
  <c r="F55" i="15"/>
  <c r="W49" i="14"/>
  <c r="V49" i="14"/>
  <c r="M67" i="15" l="1"/>
  <c r="M68" i="15" s="1"/>
  <c r="M69" i="15" s="1"/>
  <c r="P54" i="15"/>
  <c r="M34" i="15"/>
  <c r="L34" i="15" s="1"/>
  <c r="K35" i="15" s="1"/>
  <c r="Q34" i="15"/>
  <c r="W54" i="15"/>
  <c r="V54" i="15"/>
  <c r="U49" i="14"/>
  <c r="Q35" i="15" l="1"/>
  <c r="M35" i="15"/>
  <c r="L35" i="15" s="1"/>
  <c r="K36" i="15" s="1"/>
  <c r="O54" i="15"/>
  <c r="U54" i="15"/>
  <c r="H55" i="15" s="1"/>
  <c r="H50" i="14"/>
  <c r="T55" i="15" l="1"/>
  <c r="G55" i="15"/>
  <c r="N55" i="15" s="1"/>
  <c r="F56" i="15"/>
  <c r="Q36" i="15"/>
  <c r="M36" i="15"/>
  <c r="L36" i="15" s="1"/>
  <c r="K37" i="15" s="1"/>
  <c r="T50" i="14"/>
  <c r="P55" i="15" l="1"/>
  <c r="O55" i="15" s="1"/>
  <c r="M37" i="15"/>
  <c r="L37" i="15" s="1"/>
  <c r="K38" i="15" s="1"/>
  <c r="Q37" i="15"/>
  <c r="W55" i="15"/>
  <c r="V55" i="15"/>
  <c r="W50" i="14"/>
  <c r="V50" i="14"/>
  <c r="M38" i="15" l="1"/>
  <c r="L38" i="15" s="1"/>
  <c r="K39" i="15" s="1"/>
  <c r="Q38" i="15"/>
  <c r="U55" i="15"/>
  <c r="H56" i="15" s="1"/>
  <c r="U50" i="14"/>
  <c r="T56" i="15" l="1"/>
  <c r="G56" i="15"/>
  <c r="N56" i="15" s="1"/>
  <c r="F57" i="15"/>
  <c r="Q39" i="15"/>
  <c r="M39" i="15"/>
  <c r="L39" i="15" s="1"/>
  <c r="K40" i="15" s="1"/>
  <c r="H51" i="14"/>
  <c r="T51" i="14" s="1"/>
  <c r="Q40" i="15" l="1"/>
  <c r="M40" i="15"/>
  <c r="L40" i="15" s="1"/>
  <c r="K41" i="15" s="1"/>
  <c r="P56" i="15"/>
  <c r="W56" i="15"/>
  <c r="V56" i="15"/>
  <c r="W51" i="14"/>
  <c r="V51" i="14"/>
  <c r="Q41" i="15" l="1"/>
  <c r="M41" i="15"/>
  <c r="L41" i="15" s="1"/>
  <c r="K42" i="15" s="1"/>
  <c r="O56" i="15"/>
  <c r="U56" i="15"/>
  <c r="H57" i="15" s="1"/>
  <c r="U51" i="14"/>
  <c r="T57" i="15" l="1"/>
  <c r="G57" i="15"/>
  <c r="F58" i="15"/>
  <c r="M42" i="15"/>
  <c r="L42" i="15" s="1"/>
  <c r="K43" i="15" s="1"/>
  <c r="Q42" i="15"/>
  <c r="N57" i="15"/>
  <c r="H52" i="14"/>
  <c r="M43" i="15" l="1"/>
  <c r="L43" i="15" s="1"/>
  <c r="K44" i="15" s="1"/>
  <c r="Q43" i="15"/>
  <c r="M73" i="15"/>
  <c r="M74" i="15" s="1"/>
  <c r="M75" i="15" s="1"/>
  <c r="P57" i="15"/>
  <c r="O57" i="15" s="1"/>
  <c r="F59" i="15"/>
  <c r="W57" i="15"/>
  <c r="V57" i="15"/>
  <c r="T52" i="14"/>
  <c r="U57" i="15" l="1"/>
  <c r="Q44" i="15"/>
  <c r="M44" i="15"/>
  <c r="L44" i="15" s="1"/>
  <c r="K45" i="15" s="1"/>
  <c r="W52" i="14"/>
  <c r="V52" i="14"/>
  <c r="M45" i="15" l="1"/>
  <c r="L45" i="15" s="1"/>
  <c r="K46" i="15" s="1"/>
  <c r="Q45" i="15"/>
  <c r="H58" i="15"/>
  <c r="U52" i="14"/>
  <c r="H59" i="15" l="1"/>
  <c r="I12" i="15" s="1"/>
  <c r="G58" i="15"/>
  <c r="T58" i="15"/>
  <c r="T59" i="15" s="1"/>
  <c r="M46" i="15"/>
  <c r="L46" i="15" s="1"/>
  <c r="K47" i="15" s="1"/>
  <c r="Q46" i="15"/>
  <c r="H53" i="14"/>
  <c r="W58" i="15" l="1"/>
  <c r="T60" i="15"/>
  <c r="T61" i="15" s="1"/>
  <c r="I16" i="15" s="1"/>
  <c r="F16" i="15" s="1"/>
  <c r="V58" i="15"/>
  <c r="U58" i="15" s="1"/>
  <c r="U59" i="15" s="1"/>
  <c r="M47" i="15"/>
  <c r="L47" i="15" s="1"/>
  <c r="K48" i="15" s="1"/>
  <c r="Q47" i="15"/>
  <c r="G59" i="15"/>
  <c r="I11" i="15" s="1"/>
  <c r="F5" i="15" s="1"/>
  <c r="N58" i="15"/>
  <c r="T53" i="14"/>
  <c r="M48" i="15" l="1"/>
  <c r="L48" i="15" s="1"/>
  <c r="K49" i="15" s="1"/>
  <c r="Q48" i="15"/>
  <c r="P58" i="15"/>
  <c r="O58" i="15" s="1"/>
  <c r="O59" i="15" s="1"/>
  <c r="N59" i="15"/>
  <c r="N60" i="15" s="1"/>
  <c r="N61" i="15" s="1"/>
  <c r="W53" i="14"/>
  <c r="V53" i="14"/>
  <c r="M49" i="15" l="1"/>
  <c r="L49" i="15" s="1"/>
  <c r="K50" i="15" s="1"/>
  <c r="Q49" i="15"/>
  <c r="U53" i="14"/>
  <c r="Q50" i="15" l="1"/>
  <c r="M50" i="15"/>
  <c r="L50" i="15" s="1"/>
  <c r="K51" i="15" s="1"/>
  <c r="H54" i="14"/>
  <c r="M51" i="15" l="1"/>
  <c r="L51" i="15" s="1"/>
  <c r="K52" i="15" s="1"/>
  <c r="Q51" i="15"/>
  <c r="T54" i="14"/>
  <c r="M52" i="15" l="1"/>
  <c r="L52" i="15" s="1"/>
  <c r="K53" i="15" s="1"/>
  <c r="Q52" i="15"/>
  <c r="W54" i="14"/>
  <c r="V54" i="14"/>
  <c r="M53" i="15" l="1"/>
  <c r="L53" i="15" s="1"/>
  <c r="K54" i="15" s="1"/>
  <c r="Q53" i="15"/>
  <c r="U54" i="14"/>
  <c r="J67" i="15" l="1"/>
  <c r="J68" i="15" s="1"/>
  <c r="J69" i="15" s="1"/>
  <c r="L70" i="15" s="1"/>
  <c r="M54" i="15"/>
  <c r="L54" i="15" s="1"/>
  <c r="K55" i="15" s="1"/>
  <c r="Q54" i="15"/>
  <c r="H55" i="14"/>
  <c r="M55" i="15" l="1"/>
  <c r="L55" i="15" s="1"/>
  <c r="K56" i="15" s="1"/>
  <c r="Q55" i="15"/>
  <c r="T55" i="14"/>
  <c r="V55" i="14" s="1"/>
  <c r="M56" i="15" l="1"/>
  <c r="L56" i="15" s="1"/>
  <c r="K57" i="15" s="1"/>
  <c r="Q56" i="15"/>
  <c r="W55" i="14"/>
  <c r="U55" i="14"/>
  <c r="M57" i="15" l="1"/>
  <c r="L57" i="15" s="1"/>
  <c r="K58" i="15" s="1"/>
  <c r="J74" i="15"/>
  <c r="J75" i="15" s="1"/>
  <c r="J76" i="15" s="1"/>
  <c r="L74" i="15" s="1"/>
  <c r="Q57" i="15"/>
  <c r="H56" i="14"/>
  <c r="M58" i="15" l="1"/>
  <c r="K59" i="15"/>
  <c r="K60" i="15" s="1"/>
  <c r="Q58" i="15"/>
  <c r="T56" i="14"/>
  <c r="W56" i="14" s="1"/>
  <c r="K61" i="15" l="1"/>
  <c r="I15" i="15" s="1"/>
  <c r="L58" i="15"/>
  <c r="L59" i="15" s="1"/>
  <c r="V56" i="14"/>
  <c r="U56" i="14" s="1"/>
  <c r="F9" i="15" l="1"/>
  <c r="I19" i="13"/>
  <c r="H57" i="14"/>
  <c r="I21" i="13" l="1"/>
  <c r="F29" i="13"/>
  <c r="F30" i="13" s="1"/>
  <c r="G30" i="13" s="1"/>
  <c r="T57" i="14"/>
  <c r="W57" i="14" s="1"/>
  <c r="F31" i="13" l="1"/>
  <c r="F32" i="13" s="1"/>
  <c r="G32" i="13" s="1"/>
  <c r="G29" i="13"/>
  <c r="N29" i="13" s="1"/>
  <c r="V57" i="14"/>
  <c r="U57" i="14" s="1"/>
  <c r="G31" i="13" l="1"/>
  <c r="P29" i="13"/>
  <c r="O29" i="13" s="1"/>
  <c r="N30" i="13" s="1"/>
  <c r="Q29" i="13"/>
  <c r="F33" i="13"/>
  <c r="H58" i="14"/>
  <c r="F34" i="13" l="1"/>
  <c r="G34" i="13" s="1"/>
  <c r="P30" i="13"/>
  <c r="G33" i="13"/>
  <c r="H59" i="14"/>
  <c r="I12" i="14" s="1"/>
  <c r="T58" i="14"/>
  <c r="F35" i="13" l="1"/>
  <c r="O30" i="13"/>
  <c r="N31" i="13" s="1"/>
  <c r="P31" i="13" s="1"/>
  <c r="O31" i="13" s="1"/>
  <c r="N32" i="13" s="1"/>
  <c r="W58" i="14"/>
  <c r="T59" i="14"/>
  <c r="T60" i="14" s="1"/>
  <c r="T61" i="14" s="1"/>
  <c r="I16" i="14" s="1"/>
  <c r="V58" i="14"/>
  <c r="U58" i="14" s="1"/>
  <c r="U59" i="14" s="1"/>
  <c r="G35" i="13" l="1"/>
  <c r="F36" i="13"/>
  <c r="P32" i="13"/>
  <c r="F16" i="14"/>
  <c r="G36" i="13" l="1"/>
  <c r="F37" i="13"/>
  <c r="G37" i="13" s="1"/>
  <c r="O32" i="13"/>
  <c r="N33" i="13" s="1"/>
  <c r="P33" i="13" s="1"/>
  <c r="O33" i="13" s="1"/>
  <c r="N34" i="13" s="1"/>
  <c r="F38" i="13" l="1"/>
  <c r="G38" i="13" s="1"/>
  <c r="P34" i="13"/>
  <c r="F39" i="13" l="1"/>
  <c r="G39" i="13" s="1"/>
  <c r="O34" i="13"/>
  <c r="N35" i="13" s="1"/>
  <c r="P35" i="13" s="1"/>
  <c r="F40" i="13" l="1"/>
  <c r="G40" i="13" s="1"/>
  <c r="O35" i="13"/>
  <c r="N36" i="13" s="1"/>
  <c r="P36" i="13" s="1"/>
  <c r="O36" i="13" s="1"/>
  <c r="N37" i="13" s="1"/>
  <c r="F41" i="13" l="1"/>
  <c r="G41" i="13" s="1"/>
  <c r="P37" i="13"/>
  <c r="F42" i="13" l="1"/>
  <c r="F43" i="13" s="1"/>
  <c r="G43" i="13" s="1"/>
  <c r="O37" i="13"/>
  <c r="N38" i="13" s="1"/>
  <c r="F44" i="13" l="1"/>
  <c r="G44" i="13" s="1"/>
  <c r="G42" i="13"/>
  <c r="P38" i="13"/>
  <c r="O38" i="13" s="1"/>
  <c r="N39" i="13" s="1"/>
  <c r="F45" i="13" l="1"/>
  <c r="G45" i="13" s="1"/>
  <c r="P39" i="13"/>
  <c r="F46" i="13" l="1"/>
  <c r="G46" i="13" s="1"/>
  <c r="O39" i="13"/>
  <c r="N40" i="13" s="1"/>
  <c r="P40" i="13" s="1"/>
  <c r="F9" i="13"/>
  <c r="F11" i="15"/>
  <c r="F14" i="15" s="1"/>
  <c r="F47" i="13" l="1"/>
  <c r="G47" i="13" s="1"/>
  <c r="O40" i="13"/>
  <c r="N41" i="13" s="1"/>
  <c r="P41" i="13" s="1"/>
  <c r="F48" i="13" l="1"/>
  <c r="G48" i="13" s="1"/>
  <c r="O41" i="13"/>
  <c r="N42" i="13" s="1"/>
  <c r="P42" i="13" s="1"/>
  <c r="F49" i="13" l="1"/>
  <c r="G49" i="13" s="1"/>
  <c r="O42" i="13"/>
  <c r="N43" i="13" s="1"/>
  <c r="P43" i="13" s="1"/>
  <c r="F50" i="13" l="1"/>
  <c r="F51" i="13" s="1"/>
  <c r="O43" i="13"/>
  <c r="N44" i="13" s="1"/>
  <c r="G50" i="13" l="1"/>
  <c r="P44" i="13"/>
  <c r="G51" i="13"/>
  <c r="F52" i="13"/>
  <c r="G52" i="13" l="1"/>
  <c r="F53" i="13"/>
  <c r="O44" i="13"/>
  <c r="N45" i="13" l="1"/>
  <c r="K30" i="13"/>
  <c r="G53" i="13"/>
  <c r="F54" i="13"/>
  <c r="G54" i="13" l="1"/>
  <c r="F55" i="13"/>
  <c r="M30" i="13"/>
  <c r="L30" i="13" s="1"/>
  <c r="Q30" i="13"/>
  <c r="P45" i="13"/>
  <c r="K31" i="13" l="1"/>
  <c r="G55" i="13"/>
  <c r="F56" i="13"/>
  <c r="O45" i="13"/>
  <c r="N46" i="13" l="1"/>
  <c r="G56" i="13"/>
  <c r="F57" i="13"/>
  <c r="M31" i="13"/>
  <c r="L31" i="13" s="1"/>
  <c r="Q31" i="13"/>
  <c r="G57" i="13" l="1"/>
  <c r="F58" i="13"/>
  <c r="K32" i="13"/>
  <c r="P46" i="13"/>
  <c r="O46" i="13" l="1"/>
  <c r="M32" i="13"/>
  <c r="L32" i="13" s="1"/>
  <c r="Q32" i="13"/>
  <c r="G58" i="13"/>
  <c r="F59" i="13"/>
  <c r="G59" i="13" l="1"/>
  <c r="G60" i="13" s="1"/>
  <c r="F60" i="13"/>
  <c r="K33" i="13"/>
  <c r="N47" i="13"/>
  <c r="I11" i="13" l="1"/>
  <c r="I19" i="14" s="1"/>
  <c r="P47" i="13"/>
  <c r="M33" i="13"/>
  <c r="L33" i="13" s="1"/>
  <c r="Q33" i="13"/>
  <c r="F5" i="13" l="1"/>
  <c r="F11" i="13" s="1"/>
  <c r="F4" i="14" s="1"/>
  <c r="K34" i="13"/>
  <c r="O47" i="13"/>
  <c r="N48" i="13" s="1"/>
  <c r="P48" i="13" s="1"/>
  <c r="O48" i="13" s="1"/>
  <c r="N49" i="13" s="1"/>
  <c r="I21" i="14"/>
  <c r="F29" i="14"/>
  <c r="F14" i="13" l="1"/>
  <c r="G29" i="14"/>
  <c r="N29" i="14" s="1"/>
  <c r="P29" i="14" s="1"/>
  <c r="O29" i="14" s="1"/>
  <c r="F30" i="14"/>
  <c r="P49" i="13"/>
  <c r="O49" i="13" s="1"/>
  <c r="N50" i="13" s="1"/>
  <c r="M34" i="13"/>
  <c r="L34" i="13" s="1"/>
  <c r="Q34" i="13"/>
  <c r="F31" i="14" l="1"/>
  <c r="F32" i="14" s="1"/>
  <c r="G32" i="14" s="1"/>
  <c r="G30" i="14"/>
  <c r="N30" i="14" s="1"/>
  <c r="P30" i="14" s="1"/>
  <c r="K35" i="13"/>
  <c r="P50" i="13"/>
  <c r="O50" i="13" s="1"/>
  <c r="N51" i="13" s="1"/>
  <c r="O30" i="14" l="1"/>
  <c r="M35" i="13"/>
  <c r="L35" i="13" s="1"/>
  <c r="K36" i="13" s="1"/>
  <c r="Q35" i="13"/>
  <c r="G31" i="14"/>
  <c r="F33" i="14"/>
  <c r="G33" i="14" s="1"/>
  <c r="P51" i="13"/>
  <c r="O51" i="13" s="1"/>
  <c r="N52" i="13" s="1"/>
  <c r="M36" i="13" l="1"/>
  <c r="L36" i="13" s="1"/>
  <c r="K37" i="13" s="1"/>
  <c r="Q36" i="13"/>
  <c r="F34" i="14"/>
  <c r="F35" i="14" s="1"/>
  <c r="G35" i="14" s="1"/>
  <c r="P52" i="13"/>
  <c r="N31" i="14"/>
  <c r="P31" i="14" s="1"/>
  <c r="O31" i="14" s="1"/>
  <c r="N32" i="14" s="1"/>
  <c r="P32" i="14" s="1"/>
  <c r="O52" i="13" l="1"/>
  <c r="N53" i="13" s="1"/>
  <c r="P53" i="13" s="1"/>
  <c r="O53" i="13" s="1"/>
  <c r="N54" i="13" s="1"/>
  <c r="F36" i="14"/>
  <c r="M37" i="13"/>
  <c r="L37" i="13" s="1"/>
  <c r="K38" i="13" s="1"/>
  <c r="Q37" i="13"/>
  <c r="O32" i="14"/>
  <c r="N33" i="14" s="1"/>
  <c r="P33" i="14" s="1"/>
  <c r="O33" i="14" s="1"/>
  <c r="G34" i="14"/>
  <c r="P54" i="13" l="1"/>
  <c r="M38" i="13"/>
  <c r="L38" i="13" s="1"/>
  <c r="K39" i="13" s="1"/>
  <c r="Q38" i="13"/>
  <c r="N34" i="14"/>
  <c r="P34" i="14" s="1"/>
  <c r="G36" i="14"/>
  <c r="F37" i="14"/>
  <c r="O34" i="14" l="1"/>
  <c r="N35" i="14" s="1"/>
  <c r="P35" i="14" s="1"/>
  <c r="O35" i="14" s="1"/>
  <c r="N36" i="14" s="1"/>
  <c r="P36" i="14" s="1"/>
  <c r="O54" i="13"/>
  <c r="N55" i="13" s="1"/>
  <c r="P55" i="13" s="1"/>
  <c r="O55" i="13" s="1"/>
  <c r="O67" i="13" s="1"/>
  <c r="O69" i="13" s="1"/>
  <c r="M39" i="13"/>
  <c r="L39" i="13" s="1"/>
  <c r="K40" i="13" s="1"/>
  <c r="Q39" i="13"/>
  <c r="G37" i="14"/>
  <c r="F38" i="14"/>
  <c r="G38" i="14" l="1"/>
  <c r="F39" i="14"/>
  <c r="M40" i="13"/>
  <c r="L40" i="13" s="1"/>
  <c r="K41" i="13" s="1"/>
  <c r="Q40" i="13"/>
  <c r="O36" i="14"/>
  <c r="N37" i="14" s="1"/>
  <c r="P37" i="14" s="1"/>
  <c r="O37" i="14" s="1"/>
  <c r="N66" i="13"/>
  <c r="N67" i="13" s="1"/>
  <c r="N68" i="13" s="1"/>
  <c r="N56" i="13"/>
  <c r="N38" i="14" l="1"/>
  <c r="P38" i="14" s="1"/>
  <c r="O38" i="14" s="1"/>
  <c r="M41" i="13"/>
  <c r="L41" i="13" s="1"/>
  <c r="K42" i="13" s="1"/>
  <c r="Q41" i="13"/>
  <c r="G39" i="14"/>
  <c r="F40" i="14"/>
  <c r="P56" i="13"/>
  <c r="O56" i="13" s="1"/>
  <c r="N57" i="13" s="1"/>
  <c r="N39" i="14" l="1"/>
  <c r="P39" i="14" s="1"/>
  <c r="O39" i="14" s="1"/>
  <c r="P57" i="13"/>
  <c r="O57" i="13" s="1"/>
  <c r="N58" i="13" s="1"/>
  <c r="G40" i="14"/>
  <c r="F41" i="14"/>
  <c r="M42" i="13"/>
  <c r="L42" i="13" s="1"/>
  <c r="K43" i="13" s="1"/>
  <c r="Q42" i="13"/>
  <c r="N40" i="14" l="1"/>
  <c r="P40" i="14" s="1"/>
  <c r="O40" i="14" s="1"/>
  <c r="G41" i="14"/>
  <c r="F42" i="14"/>
  <c r="M43" i="13"/>
  <c r="L43" i="13" s="1"/>
  <c r="K44" i="13" s="1"/>
  <c r="Q43" i="13"/>
  <c r="P58" i="13"/>
  <c r="O58" i="13" s="1"/>
  <c r="N59" i="13" l="1"/>
  <c r="M44" i="13"/>
  <c r="L44" i="13" s="1"/>
  <c r="K45" i="13" s="1"/>
  <c r="Q44" i="13"/>
  <c r="G42" i="14"/>
  <c r="F43" i="14"/>
  <c r="N41" i="14"/>
  <c r="P41" i="14" s="1"/>
  <c r="O41" i="14" s="1"/>
  <c r="M45" i="13" l="1"/>
  <c r="L45" i="13" s="1"/>
  <c r="K46" i="13" s="1"/>
  <c r="Q45" i="13"/>
  <c r="P59" i="13"/>
  <c r="O59" i="13" s="1"/>
  <c r="N60" i="13"/>
  <c r="N61" i="13" s="1"/>
  <c r="N62" i="13" s="1"/>
  <c r="P65" i="13" s="1"/>
  <c r="N42" i="14"/>
  <c r="P42" i="14" s="1"/>
  <c r="G43" i="14"/>
  <c r="F44" i="14"/>
  <c r="O42" i="14" l="1"/>
  <c r="N43" i="14" s="1"/>
  <c r="P43" i="14" s="1"/>
  <c r="O43" i="14" s="1"/>
  <c r="O60" i="13"/>
  <c r="P66" i="13"/>
  <c r="G44" i="14"/>
  <c r="F45" i="14"/>
  <c r="M46" i="13"/>
  <c r="L46" i="13" s="1"/>
  <c r="K47" i="13" s="1"/>
  <c r="Q46" i="13"/>
  <c r="N44" i="14" l="1"/>
  <c r="P44" i="14" s="1"/>
  <c r="O44" i="14" s="1"/>
  <c r="M47" i="13"/>
  <c r="L47" i="13" s="1"/>
  <c r="K48" i="13" s="1"/>
  <c r="Q47" i="13"/>
  <c r="G45" i="14"/>
  <c r="F46" i="14"/>
  <c r="M48" i="13" l="1"/>
  <c r="L48" i="13" s="1"/>
  <c r="K49" i="13" s="1"/>
  <c r="Q48" i="13"/>
  <c r="F47" i="14"/>
  <c r="G46" i="14"/>
  <c r="N45" i="14"/>
  <c r="P45" i="14" s="1"/>
  <c r="O45" i="14" s="1"/>
  <c r="G47" i="14" l="1"/>
  <c r="F48" i="14"/>
  <c r="M49" i="13"/>
  <c r="L49" i="13" s="1"/>
  <c r="K50" i="13" s="1"/>
  <c r="Q49" i="13"/>
  <c r="N46" i="14"/>
  <c r="P46" i="14" s="1"/>
  <c r="M50" i="13" l="1"/>
  <c r="L50" i="13" s="1"/>
  <c r="K51" i="13" s="1"/>
  <c r="Q50" i="13"/>
  <c r="G48" i="14"/>
  <c r="F49" i="14"/>
  <c r="O46" i="14"/>
  <c r="N47" i="14" s="1"/>
  <c r="P47" i="14" s="1"/>
  <c r="O47" i="14" s="1"/>
  <c r="N48" i="14" l="1"/>
  <c r="P48" i="14" s="1"/>
  <c r="O48" i="14" s="1"/>
  <c r="G49" i="14"/>
  <c r="F50" i="14"/>
  <c r="M51" i="13"/>
  <c r="L51" i="13" s="1"/>
  <c r="K52" i="13" s="1"/>
  <c r="Q51" i="13"/>
  <c r="N49" i="14" l="1"/>
  <c r="P49" i="14" s="1"/>
  <c r="O49" i="14" s="1"/>
  <c r="M52" i="13"/>
  <c r="L52" i="13" s="1"/>
  <c r="K53" i="13" s="1"/>
  <c r="Q52" i="13"/>
  <c r="G50" i="14"/>
  <c r="F51" i="14"/>
  <c r="G51" i="14" l="1"/>
  <c r="F52" i="14"/>
  <c r="M53" i="13"/>
  <c r="L53" i="13" s="1"/>
  <c r="K54" i="13" s="1"/>
  <c r="Q53" i="13"/>
  <c r="N50" i="14"/>
  <c r="P50" i="14" s="1"/>
  <c r="O50" i="14" s="1"/>
  <c r="N51" i="14" l="1"/>
  <c r="P51" i="14" s="1"/>
  <c r="O51" i="14" s="1"/>
  <c r="G52" i="14"/>
  <c r="F53" i="14"/>
  <c r="M54" i="13"/>
  <c r="L54" i="13" s="1"/>
  <c r="K55" i="13" s="1"/>
  <c r="Q54" i="13"/>
  <c r="N52" i="14" l="1"/>
  <c r="P52" i="14" s="1"/>
  <c r="O52" i="14" s="1"/>
  <c r="M55" i="13"/>
  <c r="L55" i="13" s="1"/>
  <c r="K56" i="13" s="1"/>
  <c r="K66" i="13"/>
  <c r="K67" i="13" s="1"/>
  <c r="K68" i="13" s="1"/>
  <c r="Q55" i="13"/>
  <c r="G53" i="14"/>
  <c r="K29" i="14"/>
  <c r="F54" i="14"/>
  <c r="N53" i="14" l="1"/>
  <c r="P53" i="14" s="1"/>
  <c r="O53" i="14" s="1"/>
  <c r="G54" i="14"/>
  <c r="F55" i="14"/>
  <c r="M56" i="13"/>
  <c r="L56" i="13" s="1"/>
  <c r="K57" i="13" s="1"/>
  <c r="Q56" i="13"/>
  <c r="Q29" i="14"/>
  <c r="M29" i="14"/>
  <c r="L29" i="14" s="1"/>
  <c r="K30" i="14" s="1"/>
  <c r="M70" i="13"/>
  <c r="N54" i="14" l="1"/>
  <c r="P54" i="14" s="1"/>
  <c r="O54" i="14" s="1"/>
  <c r="M30" i="14"/>
  <c r="L30" i="14" s="1"/>
  <c r="K31" i="14" s="1"/>
  <c r="Q30" i="14"/>
  <c r="M57" i="13"/>
  <c r="L57" i="13" s="1"/>
  <c r="K58" i="13" s="1"/>
  <c r="Q57" i="13"/>
  <c r="G55" i="14"/>
  <c r="F56" i="14"/>
  <c r="M58" i="13" l="1"/>
  <c r="L58" i="13" s="1"/>
  <c r="Q58" i="13"/>
  <c r="G56" i="14"/>
  <c r="F57" i="14"/>
  <c r="N55" i="14"/>
  <c r="P55" i="14" s="1"/>
  <c r="O55" i="14" s="1"/>
  <c r="M31" i="14"/>
  <c r="L31" i="14" s="1"/>
  <c r="K32" i="14" s="1"/>
  <c r="Q31" i="14"/>
  <c r="N56" i="14" l="1"/>
  <c r="P56" i="14" s="1"/>
  <c r="M32" i="14"/>
  <c r="L32" i="14" s="1"/>
  <c r="K33" i="14" s="1"/>
  <c r="Q32" i="14"/>
  <c r="G57" i="14"/>
  <c r="F58" i="14"/>
  <c r="K59" i="13"/>
  <c r="G58" i="14" l="1"/>
  <c r="G59" i="14" s="1"/>
  <c r="F59" i="14"/>
  <c r="M59" i="13"/>
  <c r="L59" i="13" s="1"/>
  <c r="K60" i="13"/>
  <c r="K61" i="13" s="1"/>
  <c r="K62" i="13" s="1"/>
  <c r="M65" i="13" s="1"/>
  <c r="M72" i="13" s="1"/>
  <c r="Q59" i="13"/>
  <c r="Q33" i="14"/>
  <c r="M33" i="14"/>
  <c r="L33" i="14" s="1"/>
  <c r="K34" i="14" s="1"/>
  <c r="O56" i="14"/>
  <c r="N57" i="14" s="1"/>
  <c r="P57" i="14" s="1"/>
  <c r="M34" i="14" l="1"/>
  <c r="L34" i="14" s="1"/>
  <c r="K35" i="14" s="1"/>
  <c r="Q34" i="14"/>
  <c r="I11" i="14"/>
  <c r="F5" i="14" s="1"/>
  <c r="L60" i="13"/>
  <c r="S70" i="13" s="1"/>
  <c r="N74" i="13"/>
  <c r="O57" i="14"/>
  <c r="N58" i="14" s="1"/>
  <c r="M35" i="14" l="1"/>
  <c r="L35" i="14" s="1"/>
  <c r="K36" i="14" s="1"/>
  <c r="Q35" i="14"/>
  <c r="N61" i="14"/>
  <c r="N59" i="14"/>
  <c r="N60" i="14" s="1"/>
  <c r="P58" i="14"/>
  <c r="O58" i="14" s="1"/>
  <c r="O59" i="14" s="1"/>
  <c r="Q36" i="14" l="1"/>
  <c r="M36" i="14"/>
  <c r="L36" i="14" s="1"/>
  <c r="K37" i="14" s="1"/>
  <c r="M37" i="14" l="1"/>
  <c r="L37" i="14" s="1"/>
  <c r="K38" i="14" s="1"/>
  <c r="Q37" i="14"/>
  <c r="M38" i="14" l="1"/>
  <c r="L38" i="14" s="1"/>
  <c r="K39" i="14" s="1"/>
  <c r="Q38" i="14"/>
  <c r="M39" i="14" l="1"/>
  <c r="L39" i="14" s="1"/>
  <c r="K40" i="14" s="1"/>
  <c r="Q39" i="14"/>
  <c r="M40" i="14" l="1"/>
  <c r="L40" i="14" s="1"/>
  <c r="K41" i="14" s="1"/>
  <c r="Q40" i="14"/>
  <c r="M41" i="14" l="1"/>
  <c r="L41" i="14" s="1"/>
  <c r="K42" i="14" s="1"/>
  <c r="Q41" i="14"/>
  <c r="M42" i="14" l="1"/>
  <c r="L42" i="14" s="1"/>
  <c r="K43" i="14" s="1"/>
  <c r="Q42" i="14"/>
  <c r="Q43" i="14" l="1"/>
  <c r="M43" i="14"/>
  <c r="L43" i="14" s="1"/>
  <c r="K44" i="14" s="1"/>
  <c r="M44" i="14" l="1"/>
  <c r="L44" i="14" s="1"/>
  <c r="K45" i="14" s="1"/>
  <c r="Q44" i="14"/>
  <c r="Q45" i="14" l="1"/>
  <c r="M45" i="14"/>
  <c r="L45" i="14" s="1"/>
  <c r="K46" i="14" s="1"/>
  <c r="M46" i="14" l="1"/>
  <c r="L46" i="14" s="1"/>
  <c r="K47" i="14" s="1"/>
  <c r="Q46" i="14"/>
  <c r="Q47" i="14" l="1"/>
  <c r="M47" i="14"/>
  <c r="L47" i="14" s="1"/>
  <c r="K48" i="14" s="1"/>
  <c r="Q48" i="14" l="1"/>
  <c r="M48" i="14"/>
  <c r="L48" i="14" s="1"/>
  <c r="K49" i="14" s="1"/>
  <c r="M49" i="14" l="1"/>
  <c r="L49" i="14" s="1"/>
  <c r="K50" i="14" s="1"/>
  <c r="Q49" i="14"/>
  <c r="M50" i="14" l="1"/>
  <c r="L50" i="14" s="1"/>
  <c r="K51" i="14" s="1"/>
  <c r="Q50" i="14"/>
  <c r="Q51" i="14" l="1"/>
  <c r="M51" i="14"/>
  <c r="L51" i="14" s="1"/>
  <c r="K52" i="14" s="1"/>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Q58" i="14"/>
  <c r="K59" i="14"/>
  <c r="K60" i="14" s="1"/>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<sst xmlns="http://schemas.openxmlformats.org/spreadsheetml/2006/main" count="486" uniqueCount="74">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</sst>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1">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0" xfId="0" applyNumberFormat="1" applyFill="1"/>
    <xf numFmtId="164" fontId="0" fillId="9" borderId="18" xfId="0" applyNumberFormat="1" applyFill="1" applyBorder="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164" fontId="0" fillId="15" borderId="1" xfId="0" applyNumberFormat="1" applyFont="1" applyFill="1" applyBorder="1"/>
    <xf numFmtId="164" fontId="1" fillId="15" borderId="21" xfId="0" applyNumberFormat="1" applyFont="1" applyFill="1" applyBorder="1"/>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7"/>
  <sheetViews>
    <sheetView topLeftCell="C33" zoomScale="74" zoomScaleNormal="53" workbookViewId="0">
      <selection activeCell="O70" sqref="O70"/>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96" t="s">
        <v>50</v>
      </c>
      <c r="F2" s="97"/>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500</v>
      </c>
      <c r="H6" s="98" t="s">
        <v>40</v>
      </c>
      <c r="I6" s="99"/>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98" t="s">
        <v>41</v>
      </c>
      <c r="I10" s="99"/>
    </row>
    <row r="11" spans="2:12" x14ac:dyDescent="0.35">
      <c r="B11" s="30" t="s">
        <v>13</v>
      </c>
      <c r="C11" s="39">
        <v>44926</v>
      </c>
      <c r="E11" s="55" t="s">
        <v>30</v>
      </c>
      <c r="F11" s="56">
        <f>F4+F6+F7+F8+F9-F5</f>
        <v>500</v>
      </c>
      <c r="G11" s="61"/>
      <c r="H11" s="7" t="s">
        <v>42</v>
      </c>
      <c r="I11" s="8">
        <f>SUM(F60:G60)</f>
        <v>0</v>
      </c>
      <c r="J11" s="94" t="s">
        <v>73</v>
      </c>
    </row>
    <row r="12" spans="2:12" ht="15" thickBot="1" x14ac:dyDescent="0.4">
      <c r="B12" s="30" t="s">
        <v>14</v>
      </c>
      <c r="C12" s="40">
        <v>31</v>
      </c>
      <c r="E12" s="4"/>
      <c r="F12" s="6"/>
      <c r="H12" s="49" t="s">
        <v>43</v>
      </c>
      <c r="I12" s="50">
        <f>H60</f>
        <v>0</v>
      </c>
      <c r="J12" s="95"/>
    </row>
    <row r="13" spans="2:12" ht="15" thickBot="1" x14ac:dyDescent="0.4">
      <c r="B13" s="31" t="s">
        <v>15</v>
      </c>
      <c r="C13" s="41">
        <v>44951</v>
      </c>
      <c r="E13" s="53" t="s">
        <v>31</v>
      </c>
      <c r="F13" s="54">
        <v>5000</v>
      </c>
    </row>
    <row r="14" spans="2:12" x14ac:dyDescent="0.35">
      <c r="E14" s="51" t="s">
        <v>32</v>
      </c>
      <c r="F14" s="52">
        <f>F13-F11</f>
        <v>4500</v>
      </c>
      <c r="H14" s="98" t="s">
        <v>44</v>
      </c>
      <c r="I14" s="99"/>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98" t="s">
        <v>51</v>
      </c>
      <c r="I18" s="99"/>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98" t="s">
        <v>17</v>
      </c>
      <c r="C21" s="99"/>
      <c r="E21" s="98" t="s">
        <v>22</v>
      </c>
      <c r="F21" s="99"/>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0" t="s">
        <v>10</v>
      </c>
      <c r="E27" s="101"/>
      <c r="F27" s="101"/>
      <c r="G27" s="101"/>
      <c r="H27" s="102"/>
      <c r="I27" s="106" t="s">
        <v>47</v>
      </c>
      <c r="J27" s="107"/>
      <c r="K27" s="107"/>
      <c r="L27" s="107"/>
      <c r="M27" s="107"/>
      <c r="N27" s="107"/>
      <c r="O27" s="107"/>
      <c r="P27" s="107"/>
      <c r="Q27" s="108"/>
      <c r="R27" s="103" t="s">
        <v>48</v>
      </c>
      <c r="S27" s="104"/>
      <c r="T27" s="104"/>
      <c r="U27" s="104"/>
      <c r="V27" s="104"/>
      <c r="W27" s="105"/>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44940</v>
      </c>
      <c r="C43" s="85">
        <f t="shared" si="1"/>
        <v>44941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0</v>
      </c>
      <c r="L43" s="87">
        <f t="shared" si="7"/>
        <v>0</v>
      </c>
      <c r="M43" s="87">
        <f t="shared" si="8"/>
        <v>0</v>
      </c>
      <c r="N43" s="87">
        <f t="shared" si="3"/>
        <v>0</v>
      </c>
      <c r="O43" s="87">
        <f t="shared" si="9"/>
        <v>0</v>
      </c>
      <c r="P43" s="87">
        <f t="shared" si="10"/>
        <v>0</v>
      </c>
      <c r="Q43" s="87">
        <f t="shared" si="11"/>
        <v>0</v>
      </c>
      <c r="R43" s="87"/>
      <c r="S43" s="87"/>
      <c r="T43" s="87">
        <f>T42+U42+R43+S43-H43</f>
        <v>0</v>
      </c>
      <c r="U43" s="87">
        <f t="shared" si="4"/>
        <v>0</v>
      </c>
      <c r="V43" s="88">
        <f t="shared" si="12"/>
        <v>0</v>
      </c>
      <c r="W43" s="89">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19">
        <f t="shared" si="10"/>
        <v>0</v>
      </c>
      <c r="Q47" s="13">
        <f t="shared" si="11"/>
        <v>0</v>
      </c>
      <c r="R47" s="17"/>
      <c r="S47" s="17"/>
      <c r="T47" s="17">
        <f t="shared" si="14"/>
        <v>0</v>
      </c>
      <c r="U47" s="17">
        <f t="shared" si="4"/>
        <v>0</v>
      </c>
      <c r="V47" s="18">
        <f t="shared" si="12"/>
        <v>0</v>
      </c>
      <c r="W47" s="16">
        <f t="shared" si="13"/>
        <v>0</v>
      </c>
    </row>
    <row r="48" spans="2:23" s="90" customFormat="1" x14ac:dyDescent="0.35">
      <c r="B48" s="84">
        <f t="shared" si="0"/>
        <v>44945</v>
      </c>
      <c r="C48" s="85">
        <f t="shared" si="1"/>
        <v>44946</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0</v>
      </c>
      <c r="L48" s="87">
        <f t="shared" si="7"/>
        <v>0</v>
      </c>
      <c r="M48" s="87">
        <f t="shared" si="8"/>
        <v>0</v>
      </c>
      <c r="N48" s="87">
        <f t="shared" si="3"/>
        <v>0</v>
      </c>
      <c r="O48" s="87">
        <f t="shared" si="9"/>
        <v>0</v>
      </c>
      <c r="P48" s="87">
        <f t="shared" si="10"/>
        <v>0</v>
      </c>
      <c r="Q48" s="87">
        <f t="shared" si="11"/>
        <v>0</v>
      </c>
      <c r="R48" s="87"/>
      <c r="S48" s="87"/>
      <c r="T48" s="87">
        <f t="shared" si="14"/>
        <v>0</v>
      </c>
      <c r="U48" s="87">
        <f t="shared" si="4"/>
        <v>0</v>
      </c>
      <c r="V48" s="88">
        <f t="shared" si="12"/>
        <v>0</v>
      </c>
      <c r="W48" s="89">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s="90" customFormat="1" x14ac:dyDescent="0.35">
      <c r="B53" s="84">
        <f t="shared" si="0"/>
        <v>44950</v>
      </c>
      <c r="C53" s="85">
        <f t="shared" si="1"/>
        <v>44951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v>500</v>
      </c>
      <c r="J53" s="87">
        <v>25</v>
      </c>
      <c r="K53" s="87">
        <f t="shared" si="6"/>
        <v>0</v>
      </c>
      <c r="L53" s="87">
        <f t="shared" si="7"/>
        <v>0</v>
      </c>
      <c r="M53" s="87">
        <f t="shared" si="8"/>
        <v>0</v>
      </c>
      <c r="N53" s="87">
        <f t="shared" si="3"/>
        <v>525</v>
      </c>
      <c r="O53" s="87">
        <f t="shared" si="9"/>
        <v>0.32</v>
      </c>
      <c r="P53" s="87">
        <f t="shared" si="10"/>
        <v>0.32</v>
      </c>
      <c r="Q53" s="87">
        <f t="shared" si="11"/>
        <v>525</v>
      </c>
      <c r="R53" s="87"/>
      <c r="S53" s="87"/>
      <c r="T53" s="87">
        <f t="shared" si="14"/>
        <v>0</v>
      </c>
      <c r="U53" s="87">
        <f t="shared" si="4"/>
        <v>0</v>
      </c>
      <c r="V53" s="88">
        <f t="shared" si="12"/>
        <v>0</v>
      </c>
      <c r="W53" s="89">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525.32000000000005</v>
      </c>
      <c r="O54" s="13">
        <f t="shared" si="9"/>
        <v>0.32</v>
      </c>
      <c r="P54" s="13">
        <f t="shared" si="10"/>
        <v>0.64</v>
      </c>
      <c r="Q54" s="13">
        <f t="shared" si="11"/>
        <v>525</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525.64</v>
      </c>
      <c r="O55" s="13">
        <f t="shared" si="9"/>
        <v>0.31999999999999995</v>
      </c>
      <c r="P55" s="13">
        <f t="shared" si="10"/>
        <v>0.96</v>
      </c>
      <c r="Q55" s="13">
        <f t="shared" si="11"/>
        <v>525</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525.96</v>
      </c>
      <c r="O56" s="13">
        <f t="shared" si="9"/>
        <v>0.32000000000000006</v>
      </c>
      <c r="P56" s="13">
        <f t="shared" si="10"/>
        <v>1.28</v>
      </c>
      <c r="Q56" s="13">
        <f t="shared" si="11"/>
        <v>525</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526.28</v>
      </c>
      <c r="O57" s="13">
        <f t="shared" ref="O57:O58" si="22">P57-P56</f>
        <v>0.32000000000000006</v>
      </c>
      <c r="P57" s="13">
        <f t="shared" ref="P57:P58" si="23">ROUND(P56+N57*$F$22,2)</f>
        <v>1.6</v>
      </c>
      <c r="Q57" s="13">
        <f t="shared" ref="Q57:Q59" si="24">ROUND(N57+K57-M56-P56,2)</f>
        <v>525</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526.6</v>
      </c>
      <c r="O58" s="13">
        <f t="shared" si="22"/>
        <v>0.31999999999999984</v>
      </c>
      <c r="P58" s="13">
        <f t="shared" si="23"/>
        <v>1.92</v>
      </c>
      <c r="Q58" s="13">
        <f t="shared" si="24"/>
        <v>525</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526.91999999999996</v>
      </c>
      <c r="O59" s="13">
        <f>P59-P58</f>
        <v>0.32000000000000028</v>
      </c>
      <c r="P59" s="13">
        <f>ROUND(P58+N59*$F$22,2)</f>
        <v>2.2400000000000002</v>
      </c>
      <c r="Q59" s="13">
        <f t="shared" si="24"/>
        <v>525</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500</v>
      </c>
      <c r="J60" s="77">
        <f t="shared" si="29"/>
        <v>25</v>
      </c>
      <c r="K60" s="77">
        <f t="shared" si="29"/>
        <v>0</v>
      </c>
      <c r="L60" s="77">
        <f t="shared" si="29"/>
        <v>0</v>
      </c>
      <c r="M60" s="79"/>
      <c r="N60" s="77">
        <f>SUM(N29:N59)</f>
        <v>3681.72</v>
      </c>
      <c r="O60" s="77">
        <f>SUM(O29:O59)</f>
        <v>2.2400000000000002</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118.76516129032258</v>
      </c>
      <c r="S61" s="83" t="s">
        <v>65</v>
      </c>
      <c r="T61" s="83">
        <f>T60/C18</f>
        <v>0</v>
      </c>
    </row>
    <row r="62" spans="2:23" ht="15" thickBot="1" x14ac:dyDescent="0.4">
      <c r="H62"/>
      <c r="J62" s="82" t="s">
        <v>72</v>
      </c>
      <c r="K62" s="82">
        <f>M59</f>
        <v>0</v>
      </c>
      <c r="M62" s="82" t="s">
        <v>70</v>
      </c>
      <c r="N62" s="120">
        <f>IF(ROUND(N59,2)=0,0,N61*$F$22*$C$18)</f>
        <v>2.268544734246575</v>
      </c>
      <c r="S62" s="82" t="s">
        <v>64</v>
      </c>
      <c r="T62" s="82">
        <f>T61*F23*C18</f>
        <v>0</v>
      </c>
    </row>
    <row r="63" spans="2:23" x14ac:dyDescent="0.35">
      <c r="U63" s="61"/>
    </row>
    <row r="65" spans="14:14" ht="15" thickBot="1" x14ac:dyDescent="0.4">
      <c r="N65" s="61">
        <f>SUM(N28:N47)</f>
        <v>0</v>
      </c>
    </row>
    <row r="66" spans="14:14" ht="15" thickBot="1" x14ac:dyDescent="0.4">
      <c r="N66" s="82">
        <f>N65/$C$18</f>
        <v>0</v>
      </c>
    </row>
    <row r="67" spans="14:14" ht="15" thickBot="1" x14ac:dyDescent="0.4">
      <c r="N67" s="82">
        <f>ROUND(N66*$F$22*$C$18,2)</f>
        <v>0</v>
      </c>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C31" zoomScale="53" zoomScaleNormal="63" workbookViewId="0">
      <selection activeCell="C53" sqref="C53"/>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96" t="s">
        <v>50</v>
      </c>
      <c r="F2" s="97"/>
    </row>
    <row r="3" spans="2:13" ht="15" thickBot="1" x14ac:dyDescent="0.4">
      <c r="B3" s="28" t="s">
        <v>1</v>
      </c>
      <c r="C3" s="37">
        <v>25</v>
      </c>
      <c r="E3" s="45" t="s">
        <v>24</v>
      </c>
      <c r="F3" s="46">
        <f>C17</f>
        <v>44985</v>
      </c>
    </row>
    <row r="4" spans="2:13" ht="15" thickBot="1" x14ac:dyDescent="0.4">
      <c r="B4"/>
      <c r="C4"/>
      <c r="E4" s="62" t="s">
        <v>25</v>
      </c>
      <c r="F4" s="62">
        <f>'Jan Statement'!F11</f>
        <v>500</v>
      </c>
    </row>
    <row r="5" spans="2:13" ht="15" thickBot="1" x14ac:dyDescent="0.4">
      <c r="B5" s="29" t="s">
        <v>5</v>
      </c>
      <c r="C5" s="38">
        <v>45261</v>
      </c>
      <c r="E5" s="32" t="s">
        <v>10</v>
      </c>
      <c r="F5" s="33">
        <f>SUM(I11:I12)</f>
        <v>0</v>
      </c>
    </row>
    <row r="6" spans="2:13" x14ac:dyDescent="0.35">
      <c r="B6" s="30" t="s">
        <v>8</v>
      </c>
      <c r="C6" s="39">
        <v>44926</v>
      </c>
      <c r="E6" s="34" t="s">
        <v>26</v>
      </c>
      <c r="F6" s="35">
        <f>I57</f>
        <v>500</v>
      </c>
      <c r="H6" s="98" t="s">
        <v>40</v>
      </c>
      <c r="I6" s="99"/>
    </row>
    <row r="7" spans="2:13" ht="29" x14ac:dyDescent="0.35">
      <c r="B7" s="30" t="s">
        <v>6</v>
      </c>
      <c r="C7" s="40">
        <v>31</v>
      </c>
      <c r="E7" s="34" t="s">
        <v>27</v>
      </c>
      <c r="F7" s="35">
        <f>R57</f>
        <v>0</v>
      </c>
      <c r="H7" s="7" t="s">
        <v>37</v>
      </c>
      <c r="I7" s="8">
        <f>J57</f>
        <v>25</v>
      </c>
      <c r="L7" s="61"/>
    </row>
    <row r="8" spans="2:13" ht="29.5" thickBot="1" x14ac:dyDescent="0.4">
      <c r="B8" s="31" t="s">
        <v>7</v>
      </c>
      <c r="C8" s="41">
        <v>44951</v>
      </c>
      <c r="E8" s="34" t="s">
        <v>28</v>
      </c>
      <c r="F8" s="35">
        <f>SUM(I7:I8)</f>
        <v>25</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16" t="s">
        <v>41</v>
      </c>
      <c r="I10" s="117"/>
      <c r="J10" s="118"/>
    </row>
    <row r="11" spans="2:13" ht="14.5" customHeight="1" x14ac:dyDescent="0.35">
      <c r="B11" s="30" t="s">
        <v>13</v>
      </c>
      <c r="C11" s="39">
        <f>C10+C12-1</f>
        <v>44957</v>
      </c>
      <c r="E11" s="55" t="s">
        <v>30</v>
      </c>
      <c r="F11" s="56">
        <f>F4+F6+F7+F8+F9-F5</f>
        <v>1025</v>
      </c>
      <c r="H11" s="72" t="s">
        <v>42</v>
      </c>
      <c r="I11" s="73">
        <f>SUM(F57:G57)</f>
        <v>0</v>
      </c>
      <c r="J11" s="94" t="s">
        <v>73</v>
      </c>
      <c r="K11" s="115"/>
    </row>
    <row r="12" spans="2:13" ht="15" thickBot="1" x14ac:dyDescent="0.4">
      <c r="B12" s="30" t="s">
        <v>14</v>
      </c>
      <c r="C12" s="40">
        <v>31</v>
      </c>
      <c r="E12" s="4"/>
      <c r="F12" s="6"/>
      <c r="H12" s="49" t="s">
        <v>43</v>
      </c>
      <c r="I12" s="50">
        <f>H57</f>
        <v>0</v>
      </c>
      <c r="J12" s="95"/>
      <c r="K12" s="115"/>
    </row>
    <row r="13" spans="2:13" ht="15" thickBot="1" x14ac:dyDescent="0.4">
      <c r="B13" s="31" t="s">
        <v>15</v>
      </c>
      <c r="C13" s="41">
        <f>C11+C3</f>
        <v>44982</v>
      </c>
      <c r="E13" s="53" t="s">
        <v>31</v>
      </c>
      <c r="F13" s="91">
        <v>2895.94</v>
      </c>
    </row>
    <row r="14" spans="2:13" x14ac:dyDescent="0.35">
      <c r="E14" s="51" t="s">
        <v>32</v>
      </c>
      <c r="F14" s="52">
        <f>F13-F11</f>
        <v>1870.94</v>
      </c>
      <c r="H14" s="98" t="s">
        <v>44</v>
      </c>
      <c r="I14" s="99"/>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98" t="s">
        <v>51</v>
      </c>
      <c r="I18" s="99"/>
    </row>
    <row r="19" spans="2:23" ht="15" thickBot="1" x14ac:dyDescent="0.4">
      <c r="B19" s="31" t="s">
        <v>16</v>
      </c>
      <c r="C19" s="38">
        <v>45010</v>
      </c>
      <c r="H19" s="7" t="s">
        <v>42</v>
      </c>
      <c r="I19" s="8">
        <f>'Jan Statement'!I19+'Jan Statement'!F6+'Jan Statement'!I7+'Jan Statement'!I15-'Jan Statement'!I11</f>
        <v>500</v>
      </c>
    </row>
    <row r="20" spans="2:23" ht="15" thickBot="1" x14ac:dyDescent="0.4">
      <c r="H20" s="49" t="s">
        <v>43</v>
      </c>
      <c r="I20" s="50">
        <f>'Jan Statement'!I20+'Jan Statement'!F7+'Jan Statement'!I8+'Jan Statement'!I16-'Jan Statement'!I12</f>
        <v>0</v>
      </c>
      <c r="J20" s="5"/>
    </row>
    <row r="21" spans="2:23" x14ac:dyDescent="0.35">
      <c r="B21" s="98" t="s">
        <v>17</v>
      </c>
      <c r="C21" s="99"/>
      <c r="E21" s="98" t="s">
        <v>22</v>
      </c>
      <c r="F21" s="99"/>
      <c r="I21" s="62">
        <f>SUM(I19:I20)</f>
        <v>500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2" t="s">
        <v>10</v>
      </c>
      <c r="E27" s="112"/>
      <c r="F27" s="112"/>
      <c r="G27" s="112"/>
      <c r="H27" s="112"/>
      <c r="I27" s="111" t="s">
        <v>47</v>
      </c>
      <c r="J27" s="111"/>
      <c r="K27" s="111"/>
      <c r="L27" s="111"/>
      <c r="M27" s="111"/>
      <c r="N27" s="111"/>
      <c r="O27" s="111"/>
      <c r="P27" s="111"/>
      <c r="Q27" s="111"/>
      <c r="R27" s="109" t="s">
        <v>48</v>
      </c>
      <c r="S27" s="109"/>
      <c r="T27" s="109"/>
      <c r="U27" s="109"/>
      <c r="V27" s="109"/>
      <c r="W27" s="110"/>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ROUND(N29+I30+J30+O29-G30,2)</f>
        <v>0</v>
      </c>
      <c r="O30" s="13">
        <f>P30-P29</f>
        <v>0</v>
      </c>
      <c r="P30" s="13">
        <f>ROUND(P29+N30*$F$22,2)</f>
        <v>0</v>
      </c>
      <c r="Q30" s="13">
        <f>ROUND(N30+K30-M29-P29,2)</f>
        <v>0</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s="90" customFormat="1" x14ac:dyDescent="0.35">
      <c r="B53" s="84">
        <f t="shared" si="0"/>
        <v>44981</v>
      </c>
      <c r="C53" s="85">
        <f t="shared" si="1"/>
        <v>44982</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4"/>
        <v>0</v>
      </c>
      <c r="I53" s="87">
        <v>500</v>
      </c>
      <c r="J53" s="87">
        <v>25</v>
      </c>
      <c r="K53" s="87">
        <f t="shared" si="5"/>
        <v>0</v>
      </c>
      <c r="L53" s="87">
        <f t="shared" si="6"/>
        <v>0</v>
      </c>
      <c r="M53" s="87">
        <f t="shared" si="7"/>
        <v>0</v>
      </c>
      <c r="N53" s="87">
        <f t="shared" si="8"/>
        <v>525</v>
      </c>
      <c r="O53" s="87">
        <f t="shared" si="9"/>
        <v>0.32</v>
      </c>
      <c r="P53" s="87">
        <f t="shared" si="10"/>
        <v>0.32</v>
      </c>
      <c r="Q53" s="87">
        <f t="shared" si="11"/>
        <v>525</v>
      </c>
      <c r="R53" s="87"/>
      <c r="S53" s="87"/>
      <c r="T53" s="87">
        <f t="shared" si="14"/>
        <v>0</v>
      </c>
      <c r="U53" s="87">
        <f t="shared" si="3"/>
        <v>0</v>
      </c>
      <c r="V53" s="88">
        <f t="shared" si="12"/>
        <v>0</v>
      </c>
      <c r="W53" s="89">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525.32000000000005</v>
      </c>
      <c r="O54" s="13">
        <f t="shared" si="9"/>
        <v>0.32</v>
      </c>
      <c r="P54" s="13">
        <f t="shared" si="10"/>
        <v>0.64</v>
      </c>
      <c r="Q54" s="13">
        <f t="shared" si="11"/>
        <v>525</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525.64</v>
      </c>
      <c r="O55" s="13">
        <f t="shared" si="9"/>
        <v>0.31999999999999995</v>
      </c>
      <c r="P55" s="13">
        <f t="shared" si="10"/>
        <v>0.96</v>
      </c>
      <c r="Q55" s="13">
        <f t="shared" si="11"/>
        <v>525</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525.96</v>
      </c>
      <c r="O56" s="13">
        <f t="shared" si="9"/>
        <v>0.32000000000000006</v>
      </c>
      <c r="P56" s="13">
        <f t="shared" si="10"/>
        <v>1.28</v>
      </c>
      <c r="Q56" s="13">
        <f t="shared" si="11"/>
        <v>525</v>
      </c>
      <c r="R56" s="17"/>
      <c r="S56" s="17"/>
      <c r="T56" s="17">
        <f t="shared" si="14"/>
        <v>0</v>
      </c>
      <c r="U56" s="17">
        <f t="shared" si="3"/>
        <v>0</v>
      </c>
      <c r="V56" s="18">
        <f t="shared" si="12"/>
        <v>0</v>
      </c>
      <c r="W56" s="16">
        <f t="shared" si="13"/>
        <v>0</v>
      </c>
    </row>
    <row r="57" spans="2:23" ht="15" thickBot="1" x14ac:dyDescent="0.4">
      <c r="B57" s="113" t="s">
        <v>49</v>
      </c>
      <c r="C57" s="114"/>
      <c r="D57" s="67">
        <f t="shared" ref="D57:L57" si="15">SUM(D29:D56)</f>
        <v>0</v>
      </c>
      <c r="E57" s="21">
        <f t="shared" si="15"/>
        <v>0</v>
      </c>
      <c r="F57" s="21">
        <f t="shared" si="15"/>
        <v>0</v>
      </c>
      <c r="G57" s="21">
        <f t="shared" si="15"/>
        <v>0</v>
      </c>
      <c r="H57" s="22">
        <f t="shared" si="15"/>
        <v>0</v>
      </c>
      <c r="I57" s="20">
        <f t="shared" si="15"/>
        <v>500</v>
      </c>
      <c r="J57" s="21">
        <f t="shared" si="15"/>
        <v>25</v>
      </c>
      <c r="K57" s="21">
        <f t="shared" si="15"/>
        <v>0</v>
      </c>
      <c r="L57" s="74">
        <f t="shared" si="15"/>
        <v>0</v>
      </c>
      <c r="M57" s="20"/>
      <c r="N57" s="21">
        <f>SUM(N29:N56)</f>
        <v>2101.92</v>
      </c>
      <c r="O57" s="21">
        <f>SUM(O29:O56)</f>
        <v>1.28</v>
      </c>
      <c r="P57" s="20"/>
      <c r="Q57" s="20"/>
      <c r="R57" s="22">
        <f>SUM(R29:R56)</f>
        <v>0</v>
      </c>
      <c r="S57" s="22">
        <f>SUM(S29:S56)</f>
        <v>0</v>
      </c>
      <c r="T57" s="22">
        <f>SUM(T29:T56)</f>
        <v>0</v>
      </c>
      <c r="U57" s="22">
        <f>SUM(U29:U56)</f>
        <v>0</v>
      </c>
      <c r="V57" s="23"/>
      <c r="W57" s="23"/>
    </row>
    <row r="58" spans="2:23" ht="15" thickBot="1" x14ac:dyDescent="0.4">
      <c r="G58" s="61"/>
      <c r="J58" s="82" t="s">
        <v>71</v>
      </c>
      <c r="K58" s="82">
        <f>K57/$C$18</f>
        <v>0</v>
      </c>
      <c r="M58" s="82" t="s">
        <v>69</v>
      </c>
      <c r="N58" s="82">
        <f>N57/$C$18</f>
        <v>75.068571428571431</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500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F53" zoomScale="66" zoomScaleNormal="66" workbookViewId="0">
      <selection activeCell="K23" sqref="K23"/>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6" t="s">
        <v>50</v>
      </c>
      <c r="F2" s="97"/>
    </row>
    <row r="3" spans="2:12" ht="15" thickBot="1" x14ac:dyDescent="0.4">
      <c r="B3" s="28" t="s">
        <v>1</v>
      </c>
      <c r="C3" s="37">
        <v>25</v>
      </c>
      <c r="E3" s="45" t="s">
        <v>24</v>
      </c>
      <c r="F3" s="46">
        <f>C17</f>
        <v>45016</v>
      </c>
    </row>
    <row r="4" spans="2:12" ht="15" thickBot="1" x14ac:dyDescent="0.4">
      <c r="B4"/>
      <c r="C4"/>
      <c r="E4" s="62" t="s">
        <v>25</v>
      </c>
      <c r="F4" s="62">
        <f>'Feb Statement'!F11</f>
        <v>1025</v>
      </c>
    </row>
    <row r="5" spans="2:12" ht="15" thickBot="1" x14ac:dyDescent="0.4">
      <c r="B5" s="29" t="s">
        <v>5</v>
      </c>
      <c r="C5" s="38">
        <v>44927</v>
      </c>
      <c r="E5" s="32" t="s">
        <v>10</v>
      </c>
      <c r="F5" s="33">
        <f>SUM(I11:I12)</f>
        <v>0</v>
      </c>
    </row>
    <row r="6" spans="2:12" x14ac:dyDescent="0.35">
      <c r="B6" s="30" t="s">
        <v>8</v>
      </c>
      <c r="C6" s="39">
        <v>44957</v>
      </c>
      <c r="E6" s="34" t="s">
        <v>26</v>
      </c>
      <c r="F6" s="35">
        <f>I60</f>
        <v>0</v>
      </c>
      <c r="H6" s="98" t="s">
        <v>40</v>
      </c>
      <c r="I6" s="99"/>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0</v>
      </c>
      <c r="H8" s="49" t="s">
        <v>38</v>
      </c>
      <c r="I8" s="50">
        <f>S60</f>
        <v>0</v>
      </c>
      <c r="L8" s="61"/>
    </row>
    <row r="9" spans="2:12" ht="29.5" customHeight="1" thickBot="1" x14ac:dyDescent="0.4">
      <c r="B9"/>
      <c r="C9" s="3"/>
      <c r="E9" s="34" t="s">
        <v>29</v>
      </c>
      <c r="F9" s="35">
        <f>SUM(I15:I16)</f>
        <v>19.760551983561644</v>
      </c>
      <c r="L9" s="61"/>
    </row>
    <row r="10" spans="2:12" ht="15" thickBot="1" x14ac:dyDescent="0.4">
      <c r="B10" s="29" t="s">
        <v>12</v>
      </c>
      <c r="C10" s="38">
        <f>'Feb Statement'!C16</f>
        <v>44958</v>
      </c>
      <c r="E10" s="4"/>
      <c r="F10" s="6"/>
      <c r="H10" s="116" t="s">
        <v>41</v>
      </c>
      <c r="I10" s="117"/>
      <c r="J10" s="118"/>
    </row>
    <row r="11" spans="2:12" ht="14.5" customHeight="1" x14ac:dyDescent="0.35">
      <c r="B11" s="30" t="s">
        <v>13</v>
      </c>
      <c r="C11" s="39">
        <f>C10+C12-1</f>
        <v>44985</v>
      </c>
      <c r="E11" s="55" t="s">
        <v>30</v>
      </c>
      <c r="F11" s="56">
        <f>F4+F6+F7+F8+F9-F5</f>
        <v>1044.7605519835618</v>
      </c>
      <c r="H11" s="72" t="s">
        <v>42</v>
      </c>
      <c r="I11" s="73">
        <f>SUM(F60:G60)</f>
        <v>0</v>
      </c>
      <c r="J11" s="94" t="s">
        <v>73</v>
      </c>
      <c r="K11" s="115"/>
    </row>
    <row r="12" spans="2:12" ht="15" thickBot="1" x14ac:dyDescent="0.4">
      <c r="B12" s="30" t="s">
        <v>14</v>
      </c>
      <c r="C12" s="40">
        <v>28</v>
      </c>
      <c r="E12" s="4"/>
      <c r="F12" s="6"/>
      <c r="H12" s="49" t="s">
        <v>43</v>
      </c>
      <c r="I12" s="50">
        <f>H60</f>
        <v>0</v>
      </c>
      <c r="J12" s="95"/>
      <c r="K12" s="115"/>
    </row>
    <row r="13" spans="2:12" ht="15" thickBot="1" x14ac:dyDescent="0.4">
      <c r="B13" s="31" t="s">
        <v>15</v>
      </c>
      <c r="C13" s="41">
        <v>45010</v>
      </c>
      <c r="E13" s="53" t="s">
        <v>31</v>
      </c>
      <c r="F13" s="54">
        <v>0</v>
      </c>
    </row>
    <row r="14" spans="2:12" x14ac:dyDescent="0.35">
      <c r="E14" s="51" t="s">
        <v>32</v>
      </c>
      <c r="F14" s="52">
        <f>F13-F11</f>
        <v>-1044.7605519835618</v>
      </c>
      <c r="H14" s="98" t="s">
        <v>44</v>
      </c>
      <c r="I14" s="99"/>
    </row>
    <row r="15" spans="2:12" ht="29.5" thickBot="1" x14ac:dyDescent="0.4">
      <c r="B15"/>
      <c r="C15" s="3"/>
      <c r="E15" s="53" t="s">
        <v>33</v>
      </c>
      <c r="F15" s="54"/>
      <c r="H15" s="7" t="s">
        <v>45</v>
      </c>
      <c r="I15" s="8">
        <f>K62</f>
        <v>19.760551983561644</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98" t="s">
        <v>51</v>
      </c>
      <c r="I18" s="99"/>
    </row>
    <row r="19" spans="2:23" ht="15" thickBot="1" x14ac:dyDescent="0.4">
      <c r="B19" s="31" t="s">
        <v>16</v>
      </c>
      <c r="C19" s="41">
        <f>C17+C3</f>
        <v>45041</v>
      </c>
      <c r="H19" s="7" t="s">
        <v>42</v>
      </c>
      <c r="I19" s="8">
        <f>'Feb Statement'!I19+'Feb Statement'!F6+'Feb Statement'!I7+'Feb Statement'!I15-'Feb Statement'!I11</f>
        <v>1025</v>
      </c>
    </row>
    <row r="20" spans="2:23" ht="15" thickBot="1" x14ac:dyDescent="0.4">
      <c r="H20" s="49" t="s">
        <v>43</v>
      </c>
      <c r="I20" s="50">
        <f>'Feb Statement'!I20+'Feb Statement'!F7+'Feb Statement'!I8+'Feb Statement'!I16-'Feb Statement'!I12</f>
        <v>0</v>
      </c>
      <c r="J20" s="5"/>
    </row>
    <row r="21" spans="2:23" x14ac:dyDescent="0.35">
      <c r="B21" s="98" t="s">
        <v>17</v>
      </c>
      <c r="C21" s="99"/>
      <c r="E21" s="98" t="s">
        <v>22</v>
      </c>
      <c r="F21" s="99"/>
      <c r="I21" s="62">
        <f>SUM(I19:I20)</f>
        <v>1025</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2" t="s">
        <v>10</v>
      </c>
      <c r="E27" s="112"/>
      <c r="F27" s="112"/>
      <c r="G27" s="112"/>
      <c r="H27" s="112"/>
      <c r="I27" s="111" t="s">
        <v>47</v>
      </c>
      <c r="J27" s="111"/>
      <c r="K27" s="111"/>
      <c r="L27" s="111"/>
      <c r="M27" s="111"/>
      <c r="N27" s="111"/>
      <c r="O27" s="111"/>
      <c r="P27" s="111"/>
      <c r="Q27" s="111"/>
      <c r="R27" s="109" t="s">
        <v>48</v>
      </c>
      <c r="S27" s="109"/>
      <c r="T27" s="109"/>
      <c r="U27" s="109"/>
      <c r="V27" s="109"/>
      <c r="W27" s="110"/>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IF(SUM($F$29:$F$53)&gt;=$I$19,0,$I$19+'Feb Statement'!N59-$F$29)</f>
        <v>1025</v>
      </c>
      <c r="L29" s="12">
        <f>M29</f>
        <v>0.63156849315068486</v>
      </c>
      <c r="M29" s="12">
        <f>K29*$F$22</f>
        <v>0.63156849315068486</v>
      </c>
      <c r="N29" s="12">
        <f>I29+J29-G29</f>
        <v>0</v>
      </c>
      <c r="O29" s="12">
        <f>P29</f>
        <v>0</v>
      </c>
      <c r="P29" s="12">
        <f>N29*$F$22</f>
        <v>0</v>
      </c>
      <c r="Q29" s="12">
        <f>K29+N29</f>
        <v>1025</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1025.6300000000001</v>
      </c>
      <c r="L30" s="13">
        <f>M30-M29</f>
        <v>0.6319566767123288</v>
      </c>
      <c r="M30" s="13">
        <f>IF(K30=0,0,M29+K30*$F$22)</f>
        <v>1.2635251698630137</v>
      </c>
      <c r="N30" s="13">
        <f t="shared" ref="N30:N59" si="3">ROUND(N29+I30+J30+O29-G30,2)</f>
        <v>0</v>
      </c>
      <c r="O30" s="13">
        <f>P30-P29</f>
        <v>0</v>
      </c>
      <c r="P30" s="13">
        <f>ROUND(P29+N30*$F$22,2)</f>
        <v>0</v>
      </c>
      <c r="Q30" s="13">
        <f>ROUND(N30+K30-M29-P29,2)</f>
        <v>1025</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1026.26</v>
      </c>
      <c r="L31" s="13">
        <f t="shared" ref="L31:L59" si="7">M31-M30</f>
        <v>0.63234486027397252</v>
      </c>
      <c r="M31" s="13">
        <f t="shared" ref="M31:M59" si="8">IF(K31=0,0,M30+K31*$F$22)</f>
        <v>1.8958700301369862</v>
      </c>
      <c r="N31" s="13">
        <f t="shared" si="3"/>
        <v>0</v>
      </c>
      <c r="O31" s="13">
        <f t="shared" ref="O31:O59" si="9">P31-P30</f>
        <v>0</v>
      </c>
      <c r="P31" s="13">
        <f t="shared" ref="P31:P58" si="10">ROUND(P30+N31*$F$22,2)</f>
        <v>0</v>
      </c>
      <c r="Q31" s="13">
        <f t="shared" ref="Q31:Q59" si="11">ROUND(N31+K31-M30-P30,2)</f>
        <v>1025</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1026.8900000000001</v>
      </c>
      <c r="L32" s="13">
        <f t="shared" si="7"/>
        <v>0.63273304383561646</v>
      </c>
      <c r="M32" s="13">
        <f t="shared" si="8"/>
        <v>2.5286030739726026</v>
      </c>
      <c r="N32" s="13">
        <f t="shared" si="3"/>
        <v>0</v>
      </c>
      <c r="O32" s="13">
        <f t="shared" si="9"/>
        <v>0</v>
      </c>
      <c r="P32" s="13">
        <f t="shared" si="10"/>
        <v>0</v>
      </c>
      <c r="Q32" s="13">
        <f t="shared" si="11"/>
        <v>1024.99</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1027.52</v>
      </c>
      <c r="L33" s="13">
        <f t="shared" si="7"/>
        <v>0.63312122739726018</v>
      </c>
      <c r="M33" s="13">
        <f t="shared" si="8"/>
        <v>3.1617243013698628</v>
      </c>
      <c r="N33" s="13">
        <f t="shared" si="3"/>
        <v>0</v>
      </c>
      <c r="O33" s="13">
        <f t="shared" si="9"/>
        <v>0</v>
      </c>
      <c r="P33" s="13">
        <f t="shared" si="10"/>
        <v>0</v>
      </c>
      <c r="Q33" s="13">
        <f t="shared" si="11"/>
        <v>1024.99</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1028.1500000000001</v>
      </c>
      <c r="L34" s="13">
        <f t="shared" si="7"/>
        <v>0.63350941095890434</v>
      </c>
      <c r="M34" s="13">
        <f t="shared" si="8"/>
        <v>3.7952337123287672</v>
      </c>
      <c r="N34" s="13">
        <f t="shared" si="3"/>
        <v>0</v>
      </c>
      <c r="O34" s="13">
        <f t="shared" si="9"/>
        <v>0</v>
      </c>
      <c r="P34" s="13">
        <f t="shared" si="10"/>
        <v>0</v>
      </c>
      <c r="Q34" s="13">
        <f t="shared" si="11"/>
        <v>1024.99</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1028.78</v>
      </c>
      <c r="L35" s="13">
        <f t="shared" si="7"/>
        <v>0.63389759452054761</v>
      </c>
      <c r="M35" s="13">
        <f t="shared" si="8"/>
        <v>4.4291313068493148</v>
      </c>
      <c r="N35" s="13">
        <f t="shared" si="3"/>
        <v>0</v>
      </c>
      <c r="O35" s="13">
        <f t="shared" si="9"/>
        <v>0</v>
      </c>
      <c r="P35" s="13">
        <f t="shared" si="10"/>
        <v>0</v>
      </c>
      <c r="Q35" s="13">
        <f t="shared" si="11"/>
        <v>1024.98</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1029.4100000000001</v>
      </c>
      <c r="L36" s="13">
        <f t="shared" si="7"/>
        <v>0.63428577808219178</v>
      </c>
      <c r="M36" s="13">
        <f t="shared" si="8"/>
        <v>5.0634170849315066</v>
      </c>
      <c r="N36" s="13">
        <f t="shared" si="3"/>
        <v>0</v>
      </c>
      <c r="O36" s="13">
        <f t="shared" si="9"/>
        <v>0</v>
      </c>
      <c r="P36" s="13">
        <f t="shared" si="10"/>
        <v>0</v>
      </c>
      <c r="Q36" s="13">
        <f t="shared" si="11"/>
        <v>1024.98</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1030.04</v>
      </c>
      <c r="L37" s="13">
        <f t="shared" si="7"/>
        <v>0.63467396164383594</v>
      </c>
      <c r="M37" s="13">
        <f t="shared" si="8"/>
        <v>5.6980910465753425</v>
      </c>
      <c r="N37" s="13">
        <f t="shared" si="3"/>
        <v>0</v>
      </c>
      <c r="O37" s="13">
        <f t="shared" si="9"/>
        <v>0</v>
      </c>
      <c r="P37" s="13">
        <f t="shared" si="10"/>
        <v>0</v>
      </c>
      <c r="Q37" s="13">
        <f t="shared" si="11"/>
        <v>1024.98</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1030.67</v>
      </c>
      <c r="L38" s="13">
        <f t="shared" si="7"/>
        <v>0.63506214520547921</v>
      </c>
      <c r="M38" s="13">
        <f t="shared" si="8"/>
        <v>6.3331531917808217</v>
      </c>
      <c r="N38" s="13">
        <f t="shared" si="3"/>
        <v>0</v>
      </c>
      <c r="O38" s="13">
        <f t="shared" si="9"/>
        <v>0</v>
      </c>
      <c r="P38" s="13">
        <f t="shared" si="10"/>
        <v>0</v>
      </c>
      <c r="Q38" s="13">
        <f t="shared" si="11"/>
        <v>1024.97</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1031.31</v>
      </c>
      <c r="L39" s="13">
        <f t="shared" si="7"/>
        <v>0.63545649041095853</v>
      </c>
      <c r="M39" s="13">
        <f t="shared" si="8"/>
        <v>6.9686096821917802</v>
      </c>
      <c r="N39" s="13">
        <f t="shared" si="3"/>
        <v>0</v>
      </c>
      <c r="O39" s="13">
        <f>P39-P38</f>
        <v>0</v>
      </c>
      <c r="P39" s="13">
        <f t="shared" si="10"/>
        <v>0</v>
      </c>
      <c r="Q39" s="13">
        <f t="shared" si="11"/>
        <v>1024.98</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1031.95</v>
      </c>
      <c r="L40" s="13">
        <f t="shared" si="7"/>
        <v>0.63585083561643874</v>
      </c>
      <c r="M40" s="13">
        <f t="shared" si="8"/>
        <v>7.604460517808219</v>
      </c>
      <c r="N40" s="13">
        <f t="shared" si="3"/>
        <v>0</v>
      </c>
      <c r="O40" s="13">
        <f t="shared" si="9"/>
        <v>0</v>
      </c>
      <c r="P40" s="13">
        <f t="shared" si="10"/>
        <v>0</v>
      </c>
      <c r="Q40" s="13">
        <f t="shared" si="11"/>
        <v>1024.98</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1032.5899999999999</v>
      </c>
      <c r="L41" s="13">
        <f t="shared" si="7"/>
        <v>0.63624518082191805</v>
      </c>
      <c r="M41" s="13">
        <f t="shared" si="8"/>
        <v>8.240705698630137</v>
      </c>
      <c r="N41" s="13">
        <f t="shared" si="3"/>
        <v>0</v>
      </c>
      <c r="O41" s="13">
        <f t="shared" si="9"/>
        <v>0</v>
      </c>
      <c r="P41" s="13">
        <f t="shared" si="10"/>
        <v>0</v>
      </c>
      <c r="Q41" s="13">
        <f t="shared" si="11"/>
        <v>1024.99</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1033.23</v>
      </c>
      <c r="L42" s="13">
        <f t="shared" si="7"/>
        <v>0.63663952602739649</v>
      </c>
      <c r="M42" s="13">
        <f t="shared" si="8"/>
        <v>8.8773452246575335</v>
      </c>
      <c r="N42" s="13">
        <f t="shared" si="3"/>
        <v>0</v>
      </c>
      <c r="O42" s="13">
        <f t="shared" si="9"/>
        <v>0</v>
      </c>
      <c r="P42" s="13">
        <f t="shared" si="10"/>
        <v>0</v>
      </c>
      <c r="Q42" s="13">
        <f t="shared" si="11"/>
        <v>1024.99</v>
      </c>
      <c r="R42" s="17"/>
      <c r="S42" s="17"/>
      <c r="T42" s="17">
        <f>T41+U41+R42+S42-H42</f>
        <v>0</v>
      </c>
      <c r="U42" s="17">
        <f>V42-V41</f>
        <v>0</v>
      </c>
      <c r="V42" s="18">
        <f t="shared" si="12"/>
        <v>0</v>
      </c>
      <c r="W42" s="16">
        <f t="shared" si="13"/>
        <v>0</v>
      </c>
    </row>
    <row r="43" spans="2:23" x14ac:dyDescent="0.35">
      <c r="B43" s="47">
        <f t="shared" si="0"/>
        <v>44999</v>
      </c>
      <c r="C43" s="48">
        <f t="shared" si="1"/>
        <v>45000</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1033.8699999999999</v>
      </c>
      <c r="L43" s="13">
        <f t="shared" si="7"/>
        <v>0.63703387123287669</v>
      </c>
      <c r="M43" s="13">
        <f t="shared" si="8"/>
        <v>9.5143790958904102</v>
      </c>
      <c r="N43" s="13">
        <f t="shared" si="3"/>
        <v>0</v>
      </c>
      <c r="O43" s="13">
        <f t="shared" si="9"/>
        <v>0</v>
      </c>
      <c r="P43" s="13">
        <f t="shared" si="10"/>
        <v>0</v>
      </c>
      <c r="Q43" s="13">
        <f t="shared" si="11"/>
        <v>1024.99</v>
      </c>
      <c r="R43" s="17"/>
      <c r="S43" s="17"/>
      <c r="T43" s="17">
        <f>T42+U42+R43+S43-H43</f>
        <v>0</v>
      </c>
      <c r="U43" s="17">
        <f t="shared" si="4"/>
        <v>0</v>
      </c>
      <c r="V43" s="18">
        <f t="shared" si="12"/>
        <v>0</v>
      </c>
      <c r="W43" s="16">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1034.51</v>
      </c>
      <c r="L44" s="13">
        <f t="shared" si="7"/>
        <v>0.6374282164383569</v>
      </c>
      <c r="M44" s="13">
        <f t="shared" si="8"/>
        <v>10.151807312328767</v>
      </c>
      <c r="N44" s="13">
        <f t="shared" si="3"/>
        <v>0</v>
      </c>
      <c r="O44" s="13">
        <f t="shared" si="9"/>
        <v>0</v>
      </c>
      <c r="P44" s="13">
        <f t="shared" si="10"/>
        <v>0</v>
      </c>
      <c r="Q44" s="13">
        <f t="shared" si="11"/>
        <v>1025</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1035.1500000000001</v>
      </c>
      <c r="L45" s="13">
        <f t="shared" si="7"/>
        <v>0.63782256164383533</v>
      </c>
      <c r="M45" s="13">
        <f t="shared" si="8"/>
        <v>10.789629873972602</v>
      </c>
      <c r="N45" s="13">
        <f t="shared" si="3"/>
        <v>0</v>
      </c>
      <c r="O45" s="13">
        <f t="shared" si="9"/>
        <v>0</v>
      </c>
      <c r="P45" s="13">
        <f t="shared" si="10"/>
        <v>0</v>
      </c>
      <c r="Q45" s="13">
        <f t="shared" si="11"/>
        <v>1025</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1035.79</v>
      </c>
      <c r="L46" s="13">
        <f t="shared" si="7"/>
        <v>0.63821690684931554</v>
      </c>
      <c r="M46" s="13">
        <f t="shared" si="8"/>
        <v>11.427846780821918</v>
      </c>
      <c r="N46" s="13">
        <f t="shared" si="3"/>
        <v>0</v>
      </c>
      <c r="O46" s="13">
        <f t="shared" si="9"/>
        <v>0</v>
      </c>
      <c r="P46" s="13">
        <f t="shared" si="10"/>
        <v>0</v>
      </c>
      <c r="Q46" s="13">
        <f t="shared" si="11"/>
        <v>1025</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1036.43</v>
      </c>
      <c r="L47" s="13">
        <f t="shared" si="7"/>
        <v>0.63861125205479397</v>
      </c>
      <c r="M47" s="13">
        <f t="shared" si="8"/>
        <v>12.066458032876712</v>
      </c>
      <c r="N47" s="13">
        <f t="shared" si="3"/>
        <v>0</v>
      </c>
      <c r="O47" s="13">
        <f t="shared" si="9"/>
        <v>0</v>
      </c>
      <c r="P47" s="13">
        <f t="shared" si="10"/>
        <v>0</v>
      </c>
      <c r="Q47" s="13">
        <f t="shared" si="11"/>
        <v>1025</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1037.07</v>
      </c>
      <c r="L48" s="13">
        <f t="shared" si="7"/>
        <v>0.63900559726027417</v>
      </c>
      <c r="M48" s="13">
        <f t="shared" si="8"/>
        <v>12.705463630136986</v>
      </c>
      <c r="N48" s="13">
        <f t="shared" si="3"/>
        <v>0</v>
      </c>
      <c r="O48" s="13">
        <f t="shared" si="9"/>
        <v>0</v>
      </c>
      <c r="P48" s="13">
        <f t="shared" si="10"/>
        <v>0</v>
      </c>
      <c r="Q48" s="13">
        <f t="shared" si="11"/>
        <v>1025</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1037.71</v>
      </c>
      <c r="L49" s="13">
        <f t="shared" si="7"/>
        <v>0.6393999424657526</v>
      </c>
      <c r="M49" s="13">
        <f t="shared" si="8"/>
        <v>13.344863572602739</v>
      </c>
      <c r="N49" s="13">
        <f t="shared" si="3"/>
        <v>0</v>
      </c>
      <c r="O49" s="13">
        <f t="shared" si="9"/>
        <v>0</v>
      </c>
      <c r="P49" s="13">
        <f t="shared" si="10"/>
        <v>0</v>
      </c>
      <c r="Q49" s="13">
        <f t="shared" si="11"/>
        <v>1025</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1038.3499999999999</v>
      </c>
      <c r="L50" s="13">
        <f t="shared" si="7"/>
        <v>0.63979428767123281</v>
      </c>
      <c r="M50" s="13">
        <f t="shared" si="8"/>
        <v>13.984657860273972</v>
      </c>
      <c r="N50" s="13">
        <f t="shared" si="3"/>
        <v>0</v>
      </c>
      <c r="O50" s="13">
        <f t="shared" si="9"/>
        <v>0</v>
      </c>
      <c r="P50" s="13">
        <f t="shared" si="10"/>
        <v>0</v>
      </c>
      <c r="Q50" s="13">
        <f t="shared" si="11"/>
        <v>1025.01</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1038.99</v>
      </c>
      <c r="L51" s="13">
        <f t="shared" si="7"/>
        <v>0.64018863287671302</v>
      </c>
      <c r="M51" s="13">
        <f t="shared" si="8"/>
        <v>14.624846493150685</v>
      </c>
      <c r="N51" s="13">
        <f t="shared" si="3"/>
        <v>0</v>
      </c>
      <c r="O51" s="13">
        <f t="shared" si="9"/>
        <v>0</v>
      </c>
      <c r="P51" s="13">
        <f t="shared" si="10"/>
        <v>0</v>
      </c>
      <c r="Q51" s="13">
        <f t="shared" si="11"/>
        <v>1025.01</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1039.6300000000001</v>
      </c>
      <c r="L52" s="13">
        <f t="shared" si="7"/>
        <v>0.64058297808219145</v>
      </c>
      <c r="M52" s="13">
        <f t="shared" si="8"/>
        <v>15.265429471232876</v>
      </c>
      <c r="N52" s="13">
        <f t="shared" si="3"/>
        <v>0</v>
      </c>
      <c r="O52" s="13">
        <f t="shared" si="9"/>
        <v>0</v>
      </c>
      <c r="P52" s="13">
        <f t="shared" si="10"/>
        <v>0</v>
      </c>
      <c r="Q52" s="13">
        <f t="shared" si="11"/>
        <v>1025.01</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1040.27</v>
      </c>
      <c r="L53" s="13">
        <f t="shared" si="7"/>
        <v>0.64097732328767165</v>
      </c>
      <c r="M53" s="13">
        <f t="shared" si="8"/>
        <v>15.906406794520548</v>
      </c>
      <c r="N53" s="13">
        <f t="shared" si="3"/>
        <v>0</v>
      </c>
      <c r="O53" s="13">
        <f t="shared" si="9"/>
        <v>0</v>
      </c>
      <c r="P53" s="13">
        <f t="shared" si="10"/>
        <v>0</v>
      </c>
      <c r="Q53" s="13">
        <f t="shared" si="11"/>
        <v>1025</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1040.9100000000001</v>
      </c>
      <c r="L54" s="13">
        <f t="shared" si="7"/>
        <v>0.64137166849315186</v>
      </c>
      <c r="M54" s="13">
        <f t="shared" si="8"/>
        <v>16.547778463013699</v>
      </c>
      <c r="N54" s="13">
        <f t="shared" si="3"/>
        <v>0</v>
      </c>
      <c r="O54" s="13">
        <f t="shared" si="9"/>
        <v>0</v>
      </c>
      <c r="P54" s="13">
        <f t="shared" si="10"/>
        <v>0</v>
      </c>
      <c r="Q54" s="13">
        <f t="shared" si="11"/>
        <v>1025</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1041.55</v>
      </c>
      <c r="L55" s="13">
        <f t="shared" si="7"/>
        <v>0.64176601369862851</v>
      </c>
      <c r="M55" s="13">
        <f t="shared" si="8"/>
        <v>17.189544476712328</v>
      </c>
      <c r="N55" s="13">
        <f t="shared" si="3"/>
        <v>0</v>
      </c>
      <c r="O55" s="13">
        <f t="shared" si="9"/>
        <v>0</v>
      </c>
      <c r="P55" s="13">
        <f t="shared" si="10"/>
        <v>0</v>
      </c>
      <c r="Q55" s="13">
        <f t="shared" si="11"/>
        <v>1025</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1042.19</v>
      </c>
      <c r="L56" s="13">
        <f t="shared" si="7"/>
        <v>0.6421603589041105</v>
      </c>
      <c r="M56" s="13">
        <f t="shared" si="8"/>
        <v>17.831704835616438</v>
      </c>
      <c r="N56" s="13">
        <f t="shared" si="3"/>
        <v>0</v>
      </c>
      <c r="O56" s="13">
        <f t="shared" si="9"/>
        <v>0</v>
      </c>
      <c r="P56" s="13">
        <f t="shared" si="10"/>
        <v>0</v>
      </c>
      <c r="Q56" s="13">
        <f t="shared" si="11"/>
        <v>1025</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1042.83</v>
      </c>
      <c r="L57" s="13">
        <f t="shared" si="7"/>
        <v>0.64255470410958893</v>
      </c>
      <c r="M57" s="13">
        <f t="shared" si="8"/>
        <v>18.474259539726027</v>
      </c>
      <c r="N57" s="13">
        <f t="shared" si="3"/>
        <v>0</v>
      </c>
      <c r="O57" s="13">
        <f t="shared" si="9"/>
        <v>0</v>
      </c>
      <c r="P57" s="13">
        <f t="shared" si="10"/>
        <v>0</v>
      </c>
      <c r="Q57" s="13">
        <f t="shared" si="11"/>
        <v>1025</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1043.47</v>
      </c>
      <c r="L58" s="13">
        <f t="shared" si="7"/>
        <v>0.64294904931506736</v>
      </c>
      <c r="M58" s="13">
        <f t="shared" si="8"/>
        <v>19.117208589041095</v>
      </c>
      <c r="N58" s="13">
        <f t="shared" si="3"/>
        <v>0</v>
      </c>
      <c r="O58" s="13">
        <f t="shared" si="9"/>
        <v>0</v>
      </c>
      <c r="P58" s="13">
        <f t="shared" si="10"/>
        <v>0</v>
      </c>
      <c r="Q58" s="13">
        <f t="shared" si="11"/>
        <v>1025</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1044.1099999999999</v>
      </c>
      <c r="L59" s="13">
        <f t="shared" si="7"/>
        <v>0.64334339452054934</v>
      </c>
      <c r="M59" s="13">
        <f t="shared" si="8"/>
        <v>19.760551983561644</v>
      </c>
      <c r="N59" s="13">
        <f t="shared" si="3"/>
        <v>0</v>
      </c>
      <c r="O59" s="13">
        <f t="shared" si="9"/>
        <v>0</v>
      </c>
      <c r="P59" s="13">
        <f>ROUND(P58+N59*$F$22,2)</f>
        <v>0</v>
      </c>
      <c r="Q59" s="13">
        <f t="shared" si="11"/>
        <v>1024.99</v>
      </c>
      <c r="R59" s="17"/>
      <c r="S59" s="17"/>
      <c r="T59" s="17">
        <f t="shared" si="14"/>
        <v>0</v>
      </c>
      <c r="U59" s="17">
        <f t="shared" si="4"/>
        <v>0</v>
      </c>
      <c r="V59" s="18">
        <f t="shared" si="12"/>
        <v>0</v>
      </c>
      <c r="W59" s="16">
        <f t="shared" si="13"/>
        <v>0</v>
      </c>
    </row>
    <row r="60" spans="2:23" ht="15" thickBot="1" x14ac:dyDescent="0.4">
      <c r="B60" s="113" t="s">
        <v>49</v>
      </c>
      <c r="C60" s="114"/>
      <c r="D60" s="67">
        <f t="shared" ref="D60:L60" si="15">SUM(D29:D59)</f>
        <v>0</v>
      </c>
      <c r="E60" s="21">
        <f t="shared" si="15"/>
        <v>0</v>
      </c>
      <c r="F60" s="21">
        <f t="shared" si="15"/>
        <v>0</v>
      </c>
      <c r="G60" s="21">
        <f t="shared" si="15"/>
        <v>0</v>
      </c>
      <c r="H60" s="22">
        <f t="shared" si="15"/>
        <v>0</v>
      </c>
      <c r="I60" s="20">
        <f t="shared" si="15"/>
        <v>0</v>
      </c>
      <c r="J60" s="21">
        <f t="shared" si="15"/>
        <v>0</v>
      </c>
      <c r="K60" s="21">
        <f t="shared" si="15"/>
        <v>32070.260000000002</v>
      </c>
      <c r="L60" s="74">
        <f t="shared" si="15"/>
        <v>19.760551983561644</v>
      </c>
      <c r="M60" s="20"/>
      <c r="N60" s="21">
        <f>SUM(N29:N59)</f>
        <v>0</v>
      </c>
      <c r="O60" s="21">
        <f>SUM(O29:O59)</f>
        <v>0</v>
      </c>
      <c r="P60" s="20"/>
      <c r="Q60" s="20"/>
      <c r="R60" s="22">
        <f>SUM(R29:R59)</f>
        <v>0</v>
      </c>
      <c r="S60" s="22">
        <f>SUM(S29:S59)</f>
        <v>0</v>
      </c>
      <c r="T60" s="22">
        <f>SUM(T29:T59)</f>
        <v>0</v>
      </c>
      <c r="U60" s="22">
        <f>SUM(U29:U59)</f>
        <v>0</v>
      </c>
      <c r="V60" s="23"/>
      <c r="W60" s="23"/>
    </row>
    <row r="61" spans="2:23" ht="15" thickBot="1" x14ac:dyDescent="0.4">
      <c r="G61" s="61"/>
      <c r="J61" s="82" t="s">
        <v>71</v>
      </c>
      <c r="K61" s="82">
        <f>K60/$C$18</f>
        <v>1034.5245161290322</v>
      </c>
      <c r="M61" s="82" t="s">
        <v>69</v>
      </c>
      <c r="N61" s="82">
        <f>N60/$C$18</f>
        <v>0</v>
      </c>
      <c r="O61" s="61"/>
      <c r="S61" s="82" t="s">
        <v>65</v>
      </c>
      <c r="T61" s="82">
        <f>T60/$C$18</f>
        <v>0</v>
      </c>
    </row>
    <row r="62" spans="2:23" ht="15" thickBot="1" x14ac:dyDescent="0.4">
      <c r="H62" s="2"/>
      <c r="J62" s="82" t="s">
        <v>72</v>
      </c>
      <c r="K62" s="82">
        <f>M59</f>
        <v>19.760551983561644</v>
      </c>
      <c r="M62" s="82" t="s">
        <v>70</v>
      </c>
      <c r="N62" s="82">
        <f>IF(ROUND(N59,2)=0,0,N61*$F$22*$C$18)</f>
        <v>0</v>
      </c>
      <c r="S62" s="82" t="s">
        <v>64</v>
      </c>
      <c r="T62" s="82">
        <f>T61*$F$23*$C$18</f>
        <v>0</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76"/>
  <sheetViews>
    <sheetView tabSelected="1" topLeftCell="D37" zoomScale="94" zoomScaleNormal="64" workbookViewId="0">
      <selection activeCell="O65" sqref="O65"/>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6" t="s">
        <v>50</v>
      </c>
      <c r="F2" s="97"/>
    </row>
    <row r="3" spans="2:12" ht="15" thickBot="1" x14ac:dyDescent="0.4">
      <c r="B3" s="28" t="s">
        <v>1</v>
      </c>
      <c r="C3" s="37">
        <v>25</v>
      </c>
      <c r="E3" s="45" t="s">
        <v>24</v>
      </c>
      <c r="F3" s="46">
        <f>C17</f>
        <v>45046</v>
      </c>
    </row>
    <row r="4" spans="2:12" ht="15" thickBot="1" x14ac:dyDescent="0.4">
      <c r="B4"/>
      <c r="C4"/>
      <c r="E4" s="62" t="s">
        <v>25</v>
      </c>
      <c r="F4" s="62">
        <f>'Feb Statement'!F11</f>
        <v>1025</v>
      </c>
    </row>
    <row r="5" spans="2:12" ht="15" thickBot="1" x14ac:dyDescent="0.4">
      <c r="B5" s="29" t="s">
        <v>5</v>
      </c>
      <c r="C5" s="38">
        <v>44958</v>
      </c>
      <c r="E5" s="32" t="s">
        <v>10</v>
      </c>
      <c r="F5" s="33">
        <f>SUM(I11:I12)</f>
        <v>0</v>
      </c>
    </row>
    <row r="6" spans="2:12" x14ac:dyDescent="0.35">
      <c r="B6" s="30" t="s">
        <v>8</v>
      </c>
      <c r="C6" s="39">
        <v>44985</v>
      </c>
      <c r="E6" s="34" t="s">
        <v>26</v>
      </c>
      <c r="F6" s="35">
        <f>I59</f>
        <v>1000</v>
      </c>
      <c r="H6" s="98" t="s">
        <v>40</v>
      </c>
      <c r="I6" s="99"/>
    </row>
    <row r="7" spans="2:12" ht="29" x14ac:dyDescent="0.35">
      <c r="B7" s="30" t="s">
        <v>6</v>
      </c>
      <c r="C7" s="40">
        <v>28</v>
      </c>
      <c r="E7" s="34" t="s">
        <v>27</v>
      </c>
      <c r="F7" s="35">
        <f>R59</f>
        <v>0</v>
      </c>
      <c r="H7" s="7" t="s">
        <v>37</v>
      </c>
      <c r="I7" s="8">
        <f>J59</f>
        <v>50</v>
      </c>
      <c r="L7" s="61"/>
    </row>
    <row r="8" spans="2:12" ht="29.5" thickBot="1" x14ac:dyDescent="0.4">
      <c r="B8" s="31" t="s">
        <v>7</v>
      </c>
      <c r="C8" s="41">
        <f>C6+C3</f>
        <v>45010</v>
      </c>
      <c r="E8" s="34" t="s">
        <v>28</v>
      </c>
      <c r="F8" s="35">
        <f>SUM(I7:I8)</f>
        <v>50</v>
      </c>
      <c r="H8" s="49" t="s">
        <v>38</v>
      </c>
      <c r="I8" s="50">
        <f>S59</f>
        <v>0</v>
      </c>
      <c r="L8" s="61"/>
    </row>
    <row r="9" spans="2:12" ht="29.5" customHeight="1" thickBot="1" x14ac:dyDescent="0.4">
      <c r="B9"/>
      <c r="C9" s="3"/>
      <c r="E9" s="34" t="s">
        <v>29</v>
      </c>
      <c r="F9" s="35">
        <f>SUM(I15:I16)</f>
        <v>25.295977724163961</v>
      </c>
      <c r="L9" s="61"/>
    </row>
    <row r="10" spans="2:12" ht="15" thickBot="1" x14ac:dyDescent="0.4">
      <c r="B10" s="29" t="s">
        <v>12</v>
      </c>
      <c r="C10" s="38">
        <v>44986</v>
      </c>
      <c r="E10" s="4"/>
      <c r="F10" s="6"/>
      <c r="H10" s="116" t="s">
        <v>41</v>
      </c>
      <c r="I10" s="117"/>
      <c r="J10" s="118"/>
    </row>
    <row r="11" spans="2:12" ht="14.5" customHeight="1" x14ac:dyDescent="0.35">
      <c r="B11" s="30" t="s">
        <v>13</v>
      </c>
      <c r="C11" s="39">
        <f>C10+C12-1</f>
        <v>45016</v>
      </c>
      <c r="E11" s="55" t="s">
        <v>30</v>
      </c>
      <c r="F11" s="56">
        <f>F4+F6+F7+F8+F9-F5</f>
        <v>2100.295977724164</v>
      </c>
      <c r="H11" s="72" t="s">
        <v>42</v>
      </c>
      <c r="I11" s="73">
        <f>SUM(F59:G59)</f>
        <v>0</v>
      </c>
      <c r="J11" s="94" t="s">
        <v>73</v>
      </c>
      <c r="K11" s="115"/>
    </row>
    <row r="12" spans="2:12" ht="15" thickBot="1" x14ac:dyDescent="0.4">
      <c r="B12" s="30" t="s">
        <v>14</v>
      </c>
      <c r="C12" s="40">
        <v>31</v>
      </c>
      <c r="E12" s="4"/>
      <c r="F12" s="6"/>
      <c r="H12" s="49" t="s">
        <v>43</v>
      </c>
      <c r="I12" s="50">
        <f>H59</f>
        <v>0</v>
      </c>
      <c r="J12" s="95"/>
      <c r="K12" s="115"/>
    </row>
    <row r="13" spans="2:12" ht="15" thickBot="1" x14ac:dyDescent="0.4">
      <c r="B13" s="31" t="s">
        <v>15</v>
      </c>
      <c r="C13" s="41">
        <v>45041</v>
      </c>
      <c r="E13" s="53" t="s">
        <v>31</v>
      </c>
      <c r="F13" s="54">
        <v>50000</v>
      </c>
    </row>
    <row r="14" spans="2:12" x14ac:dyDescent="0.35">
      <c r="E14" s="51" t="s">
        <v>32</v>
      </c>
      <c r="F14" s="52">
        <f>F13-F11</f>
        <v>47899.704022275837</v>
      </c>
      <c r="H14" s="98" t="s">
        <v>44</v>
      </c>
      <c r="I14" s="99"/>
    </row>
    <row r="15" spans="2:12" ht="29.5" thickBot="1" x14ac:dyDescent="0.4">
      <c r="B15"/>
      <c r="C15" s="3"/>
      <c r="E15" s="53" t="s">
        <v>33</v>
      </c>
      <c r="F15" s="54">
        <v>20000</v>
      </c>
      <c r="H15" s="7" t="s">
        <v>45</v>
      </c>
      <c r="I15" s="8">
        <f>K61</f>
        <v>0</v>
      </c>
    </row>
    <row r="16" spans="2:12" ht="29.5" thickBot="1" x14ac:dyDescent="0.4">
      <c r="B16" s="29" t="s">
        <v>3</v>
      </c>
      <c r="C16" s="38">
        <f>C10+C12</f>
        <v>45017</v>
      </c>
      <c r="E16" s="51" t="s">
        <v>34</v>
      </c>
      <c r="F16" s="52">
        <f>F15-F7-I16</f>
        <v>19974.704022275837</v>
      </c>
      <c r="H16" s="49" t="s">
        <v>43</v>
      </c>
      <c r="I16" s="50">
        <f>T61</f>
        <v>25.295977724163961</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98" t="s">
        <v>51</v>
      </c>
      <c r="I18" s="99"/>
    </row>
    <row r="19" spans="2:23" ht="15" thickBot="1" x14ac:dyDescent="0.4">
      <c r="B19" s="31" t="s">
        <v>16</v>
      </c>
      <c r="C19" s="41">
        <f>C17+C3</f>
        <v>45071</v>
      </c>
      <c r="H19" s="7" t="s">
        <v>42</v>
      </c>
      <c r="I19" s="8">
        <v>1050</v>
      </c>
    </row>
    <row r="20" spans="2:23" ht="15" thickBot="1" x14ac:dyDescent="0.4">
      <c r="H20" s="49" t="s">
        <v>43</v>
      </c>
      <c r="I20" s="50">
        <v>1014.06</v>
      </c>
      <c r="J20" s="5"/>
    </row>
    <row r="21" spans="2:23" x14ac:dyDescent="0.35">
      <c r="B21" s="98" t="s">
        <v>17</v>
      </c>
      <c r="C21" s="99"/>
      <c r="E21" s="98" t="s">
        <v>22</v>
      </c>
      <c r="F21" s="99"/>
      <c r="I21" s="62">
        <f>SUM(I19:I20)</f>
        <v>2064.06</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50</v>
      </c>
      <c r="M24" s="61"/>
    </row>
    <row r="25" spans="2:23" x14ac:dyDescent="0.35">
      <c r="C25" s="9"/>
      <c r="E25" s="1"/>
      <c r="F25" s="10"/>
    </row>
    <row r="26" spans="2:23" ht="15" thickBot="1" x14ac:dyDescent="0.4">
      <c r="C26" s="9"/>
      <c r="E26" s="1"/>
      <c r="F26" s="10"/>
    </row>
    <row r="27" spans="2:23" ht="15" customHeight="1" thickBot="1" x14ac:dyDescent="0.4">
      <c r="B27" s="70"/>
      <c r="C27" s="71"/>
      <c r="D27" s="112" t="s">
        <v>10</v>
      </c>
      <c r="E27" s="112"/>
      <c r="F27" s="112"/>
      <c r="G27" s="112"/>
      <c r="H27" s="112"/>
      <c r="I27" s="111" t="s">
        <v>47</v>
      </c>
      <c r="J27" s="111"/>
      <c r="K27" s="111"/>
      <c r="L27" s="111"/>
      <c r="M27" s="111"/>
      <c r="N27" s="111"/>
      <c r="O27" s="111"/>
      <c r="P27" s="111"/>
      <c r="Q27" s="111"/>
      <c r="R27" s="109" t="s">
        <v>48</v>
      </c>
      <c r="S27" s="109"/>
      <c r="T27" s="109"/>
      <c r="U27" s="109"/>
      <c r="V27" s="109"/>
      <c r="W27" s="110"/>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1014.06</v>
      </c>
      <c r="U29" s="15">
        <f>V29</f>
        <v>0.83319614794520547</v>
      </c>
      <c r="V29" s="16">
        <f>T29*$F$23</f>
        <v>0.83319614794520547</v>
      </c>
      <c r="W29" s="16">
        <f>IF(T29=0,0,$I$20+R29+S29-H29)</f>
        <v>1014.06</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8" si="3">ROUND(N29+I30+J30+O29-G30,2)</f>
        <v>0</v>
      </c>
      <c r="O30" s="13">
        <f>P30-P29</f>
        <v>0</v>
      </c>
      <c r="P30" s="13">
        <f>ROUND(P29+N30*$F$22,2)</f>
        <v>0</v>
      </c>
      <c r="Q30" s="13">
        <f>ROUND(N30+K30-M29-P29,2)</f>
        <v>0</v>
      </c>
      <c r="R30" s="17"/>
      <c r="S30" s="17"/>
      <c r="T30" s="17">
        <f>T29+U29+R30+S30-H30</f>
        <v>1014.8931961479451</v>
      </c>
      <c r="U30" s="17">
        <f t="shared" ref="U30:U58" si="4">V30-V29</f>
        <v>0.83388073842402388</v>
      </c>
      <c r="V30" s="18">
        <f>V29+T30*$F$23</f>
        <v>1.6670768863692293</v>
      </c>
      <c r="W30" s="16">
        <f>IF(T30=0,0,W29+R30+S30-H30)</f>
        <v>1014.06</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0</v>
      </c>
      <c r="L31" s="13">
        <f t="shared" ref="L31:L58" si="7">M31-M30</f>
        <v>0</v>
      </c>
      <c r="M31" s="13">
        <f t="shared" ref="M31:M58" si="8">IF(K31=0,0,M30+K31*$F$22)</f>
        <v>0</v>
      </c>
      <c r="N31" s="13">
        <f t="shared" si="3"/>
        <v>0</v>
      </c>
      <c r="O31" s="13">
        <f t="shared" ref="O31:O58" si="9">P31-P30</f>
        <v>0</v>
      </c>
      <c r="P31" s="13">
        <f t="shared" ref="P31:P56" si="10">ROUND(P30+N31*$F$22,2)</f>
        <v>0</v>
      </c>
      <c r="Q31" s="13">
        <f t="shared" ref="Q31:Q58" si="11">ROUND(N31+K31-M30-P30,2)</f>
        <v>0</v>
      </c>
      <c r="R31" s="17"/>
      <c r="S31" s="17"/>
      <c r="T31" s="17">
        <f>T30+U30+R31+S31-H31</f>
        <v>1015.7270768863691</v>
      </c>
      <c r="U31" s="17">
        <f t="shared" si="4"/>
        <v>0.83456589139238924</v>
      </c>
      <c r="V31" s="18">
        <f t="shared" ref="V31:V58" si="12">V30+T31*$F$23</f>
        <v>2.5016427777616186</v>
      </c>
      <c r="W31" s="16">
        <f t="shared" ref="W31:W58" si="13">IF(T31=0,0,W30+R31+S31-H31)</f>
        <v>1014.06</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1016.5616427777614</v>
      </c>
      <c r="U32" s="17">
        <f t="shared" si="4"/>
        <v>0.83525160731246784</v>
      </c>
      <c r="V32" s="18">
        <f t="shared" si="12"/>
        <v>3.3368943850740864</v>
      </c>
      <c r="W32" s="16">
        <f t="shared" si="13"/>
        <v>1014.06</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8" si="14">T32+U32+R33+S33-H33</f>
        <v>1017.3968943850739</v>
      </c>
      <c r="U33" s="17">
        <f t="shared" si="4"/>
        <v>0.83593788664680435</v>
      </c>
      <c r="V33" s="18">
        <f t="shared" si="12"/>
        <v>4.1728322717208908</v>
      </c>
      <c r="W33" s="16">
        <f t="shared" si="13"/>
        <v>1014.06</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1018.2328322717207</v>
      </c>
      <c r="U34" s="17">
        <f t="shared" si="4"/>
        <v>0.83662472985832625</v>
      </c>
      <c r="V34" s="18">
        <f t="shared" si="12"/>
        <v>5.009457001579217</v>
      </c>
      <c r="W34" s="16">
        <f t="shared" si="13"/>
        <v>1014.06</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1019.0694570015789</v>
      </c>
      <c r="U35" s="17">
        <f t="shared" si="4"/>
        <v>0.83731213741033894</v>
      </c>
      <c r="V35" s="18">
        <f t="shared" si="12"/>
        <v>5.846769138989556</v>
      </c>
      <c r="W35" s="16">
        <f t="shared" si="13"/>
        <v>1014.06</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1019.9067691389893</v>
      </c>
      <c r="U36" s="17">
        <f t="shared" si="4"/>
        <v>0.83800010976652839</v>
      </c>
      <c r="V36" s="18">
        <f t="shared" si="12"/>
        <v>6.6847692487560844</v>
      </c>
      <c r="W36" s="16">
        <f t="shared" si="13"/>
        <v>1014.06</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1020.7447692487558</v>
      </c>
      <c r="U37" s="17">
        <f t="shared" si="4"/>
        <v>0.83868864739096427</v>
      </c>
      <c r="V37" s="18">
        <f t="shared" si="12"/>
        <v>7.5234578961470486</v>
      </c>
      <c r="W37" s="16">
        <f t="shared" si="13"/>
        <v>1014.06</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1021.5834578961468</v>
      </c>
      <c r="U38" s="17">
        <f t="shared" si="4"/>
        <v>0.83937775074809373</v>
      </c>
      <c r="V38" s="18">
        <f t="shared" si="12"/>
        <v>8.3628356468951424</v>
      </c>
      <c r="W38" s="16">
        <f t="shared" si="13"/>
        <v>1014.06</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1022.4228356468949</v>
      </c>
      <c r="U39" s="17">
        <f t="shared" si="4"/>
        <v>0.84006742030275028</v>
      </c>
      <c r="V39" s="18">
        <f t="shared" si="12"/>
        <v>9.2029030671978926</v>
      </c>
      <c r="W39" s="16">
        <f t="shared" si="13"/>
        <v>1014.06</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1023.2629030671976</v>
      </c>
      <c r="U40" s="17">
        <f t="shared" si="4"/>
        <v>0.84075765652014489</v>
      </c>
      <c r="V40" s="18">
        <f t="shared" si="12"/>
        <v>10.043660723718038</v>
      </c>
      <c r="W40" s="16">
        <f t="shared" si="13"/>
        <v>1014.06</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1024.1036607237177</v>
      </c>
      <c r="U41" s="17">
        <f t="shared" si="4"/>
        <v>0.84144845986587136</v>
      </c>
      <c r="V41" s="18">
        <f t="shared" si="12"/>
        <v>10.885109183583909</v>
      </c>
      <c r="W41" s="16">
        <f t="shared" si="13"/>
        <v>1014.06</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1024.9451091835836</v>
      </c>
      <c r="U42" s="17">
        <f>V42-V41</f>
        <v>0.84213983080590893</v>
      </c>
      <c r="V42" s="18">
        <f t="shared" si="12"/>
        <v>11.727249014389818</v>
      </c>
      <c r="W42" s="16">
        <f t="shared" si="13"/>
        <v>1014.06</v>
      </c>
    </row>
    <row r="43" spans="2:23" s="90" customFormat="1" x14ac:dyDescent="0.35">
      <c r="B43" s="84">
        <f t="shared" si="0"/>
        <v>45030</v>
      </c>
      <c r="C43" s="85">
        <f t="shared" si="1"/>
        <v>45031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0</v>
      </c>
      <c r="L43" s="87">
        <f t="shared" si="7"/>
        <v>0</v>
      </c>
      <c r="M43" s="87">
        <f t="shared" si="8"/>
        <v>0</v>
      </c>
      <c r="N43" s="87">
        <f t="shared" si="3"/>
        <v>0</v>
      </c>
      <c r="O43" s="87">
        <f t="shared" si="9"/>
        <v>0</v>
      </c>
      <c r="P43" s="87">
        <f t="shared" si="10"/>
        <v>0</v>
      </c>
      <c r="Q43" s="87">
        <f t="shared" si="11"/>
        <v>0</v>
      </c>
      <c r="R43" s="87"/>
      <c r="S43" s="87"/>
      <c r="T43" s="87">
        <f>T42+U42+R43+S43-H43</f>
        <v>1025.7872490143895</v>
      </c>
      <c r="U43" s="87">
        <f t="shared" si="4"/>
        <v>0.842831769806617</v>
      </c>
      <c r="V43" s="88">
        <f t="shared" si="12"/>
        <v>12.570080784196435</v>
      </c>
      <c r="W43" s="89">
        <f t="shared" si="13"/>
        <v>1014.06</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1026.6300807841963</v>
      </c>
      <c r="U44" s="17">
        <f t="shared" si="4"/>
        <v>0.84352427733474045</v>
      </c>
      <c r="V44" s="18">
        <f t="shared" si="12"/>
        <v>13.413605061531175</v>
      </c>
      <c r="W44" s="16">
        <f t="shared" si="13"/>
        <v>1014.06</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1027.4736050615311</v>
      </c>
      <c r="U45" s="17">
        <f t="shared" si="4"/>
        <v>0.84421735385740604</v>
      </c>
      <c r="V45" s="18">
        <f t="shared" si="12"/>
        <v>14.257822415388581</v>
      </c>
      <c r="W45" s="16">
        <f>IF(T45=0,0,W44+R45+S45-H45)</f>
        <v>1014.06</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1028.3178224153885</v>
      </c>
      <c r="U46" s="17">
        <f t="shared" si="4"/>
        <v>0.84491099984212426</v>
      </c>
      <c r="V46" s="18">
        <f t="shared" si="12"/>
        <v>15.102733415230706</v>
      </c>
      <c r="W46" s="16">
        <f>IF(T46=0,0,W45+R46+S46-H46)</f>
        <v>1014.06</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1029.1627334152306</v>
      </c>
      <c r="U47" s="17">
        <f t="shared" si="4"/>
        <v>0.84560521575678749</v>
      </c>
      <c r="V47" s="18">
        <f t="shared" si="12"/>
        <v>15.948338630987493</v>
      </c>
      <c r="W47" s="16">
        <f t="shared" si="13"/>
        <v>1014.06</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1030.0083386309873</v>
      </c>
      <c r="U48" s="17">
        <f t="shared" si="4"/>
        <v>0.84630000206967892</v>
      </c>
      <c r="V48" s="18">
        <f t="shared" si="12"/>
        <v>16.794638633057172</v>
      </c>
      <c r="W48" s="16">
        <f t="shared" si="13"/>
        <v>1014.06</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1030.854638633057</v>
      </c>
      <c r="U49" s="17">
        <f t="shared" si="4"/>
        <v>0.8469953592494619</v>
      </c>
      <c r="V49" s="18">
        <f t="shared" si="12"/>
        <v>17.641633992306634</v>
      </c>
      <c r="W49" s="16">
        <f t="shared" si="13"/>
        <v>1014.06</v>
      </c>
    </row>
    <row r="50" spans="2:23" ht="13" customHeight="1"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1031.7016339923064</v>
      </c>
      <c r="U50" s="17">
        <f t="shared" si="4"/>
        <v>0.84769128776518698</v>
      </c>
      <c r="V50" s="18">
        <f t="shared" si="12"/>
        <v>18.489325280071821</v>
      </c>
      <c r="W50" s="16">
        <f t="shared" si="13"/>
        <v>1014.06</v>
      </c>
    </row>
    <row r="51" spans="2:23" s="90" customFormat="1" x14ac:dyDescent="0.35">
      <c r="B51" s="84">
        <f t="shared" si="0"/>
        <v>45038</v>
      </c>
      <c r="C51" s="85">
        <f t="shared" si="1"/>
        <v>45039</v>
      </c>
      <c r="D51" s="86"/>
      <c r="E51" s="87">
        <f>IF(SUM(E$29:E50)=$I$24,0,IF((D51&lt;=$I$24-SUM(E$29:E50)),D51,$I$24-SUM(E$29:E50)))</f>
        <v>0</v>
      </c>
      <c r="F51" s="87">
        <f>IF($I$19&gt;0,IF(SUM(F$29:F50)&lt;$I$19,IF((D51-E51)&gt;0,IF($I$20=0,IF($I$19-SUM(F$29:F50)&gt;D51,D51,$I$19-SUM(F$29:F50)),E51),D51),0)+IF($I$20&gt;0,IF(D51-$I$20-SUM($H$29:H50)-IF($I$19=0,0,E51)&gt;0,IF(D51-$I$20-SUM($H$29:H50)-IF($I$19=0,0,E51)&gt;$I$19,$I$19-SUM(F$29:F50)-E51,D51-$I$20-SUM($H$29:H50)-IF($I$19=0,0,E51)),0),0),0)</f>
        <v>0</v>
      </c>
      <c r="G51" s="87">
        <f t="shared" si="2"/>
        <v>0</v>
      </c>
      <c r="H51" s="87">
        <f t="shared" si="5"/>
        <v>0</v>
      </c>
      <c r="I51" s="87"/>
      <c r="J51" s="87"/>
      <c r="K51" s="87">
        <f>IF(SUM($F$29:$F$53)&gt;=$I$19,0,ROUND(K50+L50-F51,2))</f>
        <v>0</v>
      </c>
      <c r="L51" s="87">
        <f t="shared" si="7"/>
        <v>0</v>
      </c>
      <c r="M51" s="87">
        <f t="shared" si="8"/>
        <v>0</v>
      </c>
      <c r="N51" s="87">
        <f t="shared" si="3"/>
        <v>0</v>
      </c>
      <c r="O51" s="87">
        <f t="shared" si="9"/>
        <v>0</v>
      </c>
      <c r="P51" s="87">
        <f t="shared" si="10"/>
        <v>0</v>
      </c>
      <c r="Q51" s="87">
        <f t="shared" si="11"/>
        <v>0</v>
      </c>
      <c r="R51" s="87"/>
      <c r="S51" s="87"/>
      <c r="T51" s="87">
        <f t="shared" si="14"/>
        <v>1032.5493252800716</v>
      </c>
      <c r="U51" s="87">
        <f t="shared" si="4"/>
        <v>0.8483877880862849</v>
      </c>
      <c r="V51" s="88">
        <f t="shared" si="12"/>
        <v>19.337713068158106</v>
      </c>
      <c r="W51" s="89">
        <f t="shared" si="13"/>
        <v>1014.06</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0</v>
      </c>
      <c r="O52" s="13">
        <f t="shared" si="9"/>
        <v>0</v>
      </c>
      <c r="P52" s="13">
        <f t="shared" si="10"/>
        <v>0</v>
      </c>
      <c r="Q52" s="13">
        <f t="shared" si="11"/>
        <v>0</v>
      </c>
      <c r="R52" s="17"/>
      <c r="S52" s="17"/>
      <c r="T52" s="17">
        <f t="shared" si="14"/>
        <v>1033.3977130681578</v>
      </c>
      <c r="U52" s="17">
        <f t="shared" si="4"/>
        <v>0.84908486068257716</v>
      </c>
      <c r="V52" s="18">
        <f t="shared" si="12"/>
        <v>20.186797928840683</v>
      </c>
      <c r="W52" s="16">
        <f t="shared" si="13"/>
        <v>1014.06</v>
      </c>
    </row>
    <row r="53" spans="2:23" s="90" customFormat="1" x14ac:dyDescent="0.35">
      <c r="B53" s="84">
        <f t="shared" si="0"/>
        <v>45040</v>
      </c>
      <c r="C53" s="85">
        <f t="shared" si="1"/>
        <v>45041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v>1000</v>
      </c>
      <c r="J53" s="87">
        <v>50</v>
      </c>
      <c r="K53" s="87">
        <f t="shared" si="6"/>
        <v>0</v>
      </c>
      <c r="L53" s="87">
        <f t="shared" si="7"/>
        <v>0</v>
      </c>
      <c r="M53" s="87">
        <f t="shared" si="8"/>
        <v>0</v>
      </c>
      <c r="N53" s="87">
        <f t="shared" si="3"/>
        <v>1050</v>
      </c>
      <c r="O53" s="87">
        <f t="shared" si="9"/>
        <v>0.65</v>
      </c>
      <c r="P53" s="87">
        <f t="shared" si="10"/>
        <v>0.65</v>
      </c>
      <c r="Q53" s="87">
        <f t="shared" si="11"/>
        <v>1050</v>
      </c>
      <c r="R53" s="87"/>
      <c r="S53" s="87"/>
      <c r="T53" s="87">
        <f t="shared" si="14"/>
        <v>1034.2467979288404</v>
      </c>
      <c r="U53" s="87">
        <f t="shared" si="4"/>
        <v>0.84978250602427252</v>
      </c>
      <c r="V53" s="88">
        <f t="shared" si="12"/>
        <v>21.036580434864955</v>
      </c>
      <c r="W53" s="89">
        <f t="shared" si="13"/>
        <v>1014.06</v>
      </c>
    </row>
    <row r="54" spans="2:23" s="90" customFormat="1" x14ac:dyDescent="0.35">
      <c r="B54" s="84">
        <f t="shared" si="0"/>
        <v>45041</v>
      </c>
      <c r="C54" s="85">
        <f t="shared" si="1"/>
        <v>45042</v>
      </c>
      <c r="D54" s="86"/>
      <c r="E54" s="87">
        <f>IF(SUM(E$29:E53)=$I$24,0,IF((D54&lt;=$I$24-SUM(E$29:E53)),D54,$I$24-SUM(E$29:E53)))</f>
        <v>0</v>
      </c>
      <c r="F54" s="87">
        <f>IF($I$19&gt;0,IF(SUM(F$29:F53)&lt;$I$19,IF((D54-E54)&gt;0,IF($I$20=0,IF($I$19-SUM(F$29:F53)&gt;D54,D54,$I$19-SUM(F$29:F53)),E54),D54),0)+IF($I$20&gt;0,IF(D54-$I$20-SUM($H$29:H53)-IF($I$19=0,0,E54)&gt;0,IF(D54-$I$20-SUM($H$29:H53)-IF($I$19=0,0,E54)&gt;$I$19,$I$19-SUM(F$29:F53)-E54,D54-$I$20-SUM($H$29:H53)-IF($I$19=0,0,E54)),0),0),0)</f>
        <v>0</v>
      </c>
      <c r="G54" s="87">
        <f t="shared" si="2"/>
        <v>0</v>
      </c>
      <c r="H54" s="87">
        <f t="shared" si="5"/>
        <v>0</v>
      </c>
      <c r="I54" s="87"/>
      <c r="J54" s="87"/>
      <c r="K54" s="87">
        <f t="shared" si="6"/>
        <v>0</v>
      </c>
      <c r="L54" s="87">
        <f t="shared" si="7"/>
        <v>0</v>
      </c>
      <c r="M54" s="87">
        <f t="shared" si="8"/>
        <v>0</v>
      </c>
      <c r="N54" s="87">
        <f t="shared" si="3"/>
        <v>1050.6500000000001</v>
      </c>
      <c r="O54" s="87">
        <f t="shared" si="9"/>
        <v>0.65</v>
      </c>
      <c r="P54" s="87">
        <f>ROUND(P53+N54*$F$22,2)</f>
        <v>1.3</v>
      </c>
      <c r="Q54" s="87">
        <f t="shared" si="11"/>
        <v>1050</v>
      </c>
      <c r="R54" s="87"/>
      <c r="S54" s="87"/>
      <c r="T54" s="87">
        <f t="shared" si="14"/>
        <v>1035.0965804348646</v>
      </c>
      <c r="U54" s="87">
        <f t="shared" si="4"/>
        <v>0.85048072458195989</v>
      </c>
      <c r="V54" s="88">
        <f t="shared" si="12"/>
        <v>21.887061159446915</v>
      </c>
      <c r="W54" s="89">
        <f t="shared" si="13"/>
        <v>1014.06</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1051.3</v>
      </c>
      <c r="O55" s="13">
        <f t="shared" si="9"/>
        <v>0.64999999999999991</v>
      </c>
      <c r="P55" s="13">
        <f t="shared" si="10"/>
        <v>1.95</v>
      </c>
      <c r="Q55" s="13">
        <f t="shared" si="11"/>
        <v>1050</v>
      </c>
      <c r="R55" s="17"/>
      <c r="S55" s="17"/>
      <c r="T55" s="17">
        <f t="shared" si="14"/>
        <v>1035.9470611594465</v>
      </c>
      <c r="U55" s="17">
        <f t="shared" si="4"/>
        <v>0.85117951682662607</v>
      </c>
      <c r="V55" s="18">
        <f t="shared" si="12"/>
        <v>22.738240676273541</v>
      </c>
      <c r="W55" s="16">
        <f t="shared" si="13"/>
        <v>1014.06</v>
      </c>
    </row>
    <row r="56" spans="2:23" s="90" customFormat="1" x14ac:dyDescent="0.35">
      <c r="B56" s="84">
        <f t="shared" si="0"/>
        <v>45043</v>
      </c>
      <c r="C56" s="85">
        <f t="shared" si="1"/>
        <v>45044</v>
      </c>
      <c r="D56" s="86"/>
      <c r="E56" s="93">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0</v>
      </c>
      <c r="L56" s="87">
        <f t="shared" si="7"/>
        <v>0</v>
      </c>
      <c r="M56" s="87">
        <f t="shared" si="8"/>
        <v>0</v>
      </c>
      <c r="N56" s="87">
        <f t="shared" si="3"/>
        <v>1051.95</v>
      </c>
      <c r="O56" s="87">
        <f t="shared" si="9"/>
        <v>0.65000000000000013</v>
      </c>
      <c r="P56" s="87">
        <f t="shared" si="10"/>
        <v>2.6</v>
      </c>
      <c r="Q56" s="87">
        <f t="shared" si="11"/>
        <v>1050</v>
      </c>
      <c r="R56" s="87"/>
      <c r="S56" s="87"/>
      <c r="T56" s="87">
        <f t="shared" si="14"/>
        <v>1036.7982406762733</v>
      </c>
      <c r="U56" s="87">
        <f t="shared" si="4"/>
        <v>0.85187888322962735</v>
      </c>
      <c r="V56" s="88">
        <f t="shared" si="12"/>
        <v>23.590119559503169</v>
      </c>
      <c r="W56" s="89">
        <f t="shared" si="13"/>
        <v>1014.06</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1052.5999999999999</v>
      </c>
      <c r="O57" s="13">
        <f t="shared" si="9"/>
        <v>0.64999999999999991</v>
      </c>
      <c r="P57" s="13">
        <f>ROUND(P56+N57*$F$22,2)</f>
        <v>3.25</v>
      </c>
      <c r="Q57" s="13">
        <f t="shared" si="11"/>
        <v>1050</v>
      </c>
      <c r="R57" s="17"/>
      <c r="S57" s="17"/>
      <c r="T57" s="17">
        <f t="shared" si="14"/>
        <v>1037.6501195595029</v>
      </c>
      <c r="U57" s="17">
        <f t="shared" si="4"/>
        <v>0.85257882426272502</v>
      </c>
      <c r="V57" s="18">
        <f t="shared" si="12"/>
        <v>24.442698383765894</v>
      </c>
      <c r="W57" s="16">
        <f t="shared" si="13"/>
        <v>1014.06</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1053.25</v>
      </c>
      <c r="O58" s="13">
        <f t="shared" si="9"/>
        <v>0.64999999999999991</v>
      </c>
      <c r="P58" s="13">
        <f>ROUND(P57+N58*$F$22,2)</f>
        <v>3.9</v>
      </c>
      <c r="Q58" s="13">
        <f t="shared" si="11"/>
        <v>1050</v>
      </c>
      <c r="R58" s="17"/>
      <c r="S58" s="17"/>
      <c r="T58" s="17">
        <f t="shared" si="14"/>
        <v>1038.5026983837656</v>
      </c>
      <c r="U58" s="17">
        <f t="shared" si="4"/>
        <v>0.85327934039805697</v>
      </c>
      <c r="V58" s="18">
        <f t="shared" si="12"/>
        <v>25.295977724163951</v>
      </c>
      <c r="W58" s="16">
        <f t="shared" si="13"/>
        <v>1014.06</v>
      </c>
    </row>
    <row r="59" spans="2:23" ht="15" thickBot="1" x14ac:dyDescent="0.4">
      <c r="B59" s="113" t="s">
        <v>49</v>
      </c>
      <c r="C59" s="114"/>
      <c r="D59" s="67">
        <f t="shared" ref="D59:L59" si="15">SUM(D29:D58)</f>
        <v>0</v>
      </c>
      <c r="E59" s="21">
        <f t="shared" si="15"/>
        <v>0</v>
      </c>
      <c r="F59" s="21">
        <f t="shared" si="15"/>
        <v>0</v>
      </c>
      <c r="G59" s="21">
        <f t="shared" si="15"/>
        <v>0</v>
      </c>
      <c r="H59" s="22">
        <f t="shared" si="15"/>
        <v>0</v>
      </c>
      <c r="I59" s="20">
        <f t="shared" si="15"/>
        <v>1000</v>
      </c>
      <c r="J59" s="21">
        <f t="shared" si="15"/>
        <v>50</v>
      </c>
      <c r="K59" s="21">
        <f t="shared" si="15"/>
        <v>0</v>
      </c>
      <c r="L59" s="74">
        <f t="shared" si="15"/>
        <v>0</v>
      </c>
      <c r="M59" s="20"/>
      <c r="N59" s="21">
        <f>SUM(N29:N58)</f>
        <v>6309.75</v>
      </c>
      <c r="O59" s="21">
        <f>SUM(O29:O58)</f>
        <v>3.9</v>
      </c>
      <c r="P59" s="20"/>
      <c r="Q59" s="20"/>
      <c r="R59" s="22">
        <f>SUM(R29:R58)</f>
        <v>0</v>
      </c>
      <c r="S59" s="22">
        <f>SUM(S29:S58)</f>
        <v>0</v>
      </c>
      <c r="T59" s="22">
        <f>SUM(T29:T58)</f>
        <v>30787.035242813756</v>
      </c>
      <c r="U59" s="22">
        <f>SUM(U29:U58)</f>
        <v>25.295977724163951</v>
      </c>
      <c r="V59" s="23"/>
      <c r="W59" s="23"/>
    </row>
    <row r="60" spans="2:23" ht="15" thickBot="1" x14ac:dyDescent="0.4">
      <c r="G60" s="61"/>
      <c r="J60" s="82" t="s">
        <v>71</v>
      </c>
      <c r="K60" s="82">
        <f>K59/$C$18</f>
        <v>0</v>
      </c>
      <c r="M60" s="82" t="s">
        <v>69</v>
      </c>
      <c r="N60" s="82">
        <f>N59/$C$18</f>
        <v>210.32499999999999</v>
      </c>
      <c r="O60" s="61"/>
      <c r="S60" s="82" t="s">
        <v>65</v>
      </c>
      <c r="T60" s="82">
        <f>T59/$C$18</f>
        <v>1026.2345080937919</v>
      </c>
    </row>
    <row r="61" spans="2:23" ht="15" thickBot="1" x14ac:dyDescent="0.4">
      <c r="H61" s="2"/>
      <c r="J61" s="82" t="s">
        <v>72</v>
      </c>
      <c r="K61" s="82">
        <f>M58</f>
        <v>0</v>
      </c>
      <c r="M61" s="82" t="s">
        <v>70</v>
      </c>
      <c r="N61" s="120">
        <f>IF(ROUND(N58,2)=0,0,N60*$F$22*$C$18)</f>
        <v>3.8878432191780816</v>
      </c>
      <c r="S61" s="82" t="s">
        <v>64</v>
      </c>
      <c r="T61" s="82">
        <f>T60*$F$23*$C$18</f>
        <v>25.295977724163961</v>
      </c>
    </row>
    <row r="62" spans="2:23" x14ac:dyDescent="0.35">
      <c r="M62" s="61"/>
      <c r="N62" s="61"/>
    </row>
    <row r="67" spans="10:13" x14ac:dyDescent="0.35">
      <c r="J67" s="61">
        <f>SUM(K29:K54)</f>
        <v>0</v>
      </c>
      <c r="M67" s="61">
        <f>SUM(N43:N54)</f>
        <v>2100.65</v>
      </c>
    </row>
    <row r="68" spans="10:13" x14ac:dyDescent="0.35">
      <c r="J68" s="61">
        <f>J67/C18</f>
        <v>0</v>
      </c>
      <c r="M68" s="61">
        <f>M67/F18</f>
        <v>70.021666666666675</v>
      </c>
    </row>
    <row r="69" spans="10:13" x14ac:dyDescent="0.35">
      <c r="J69" s="61">
        <f>J68*$F$22*$C$18</f>
        <v>0</v>
      </c>
      <c r="M69" s="61">
        <f>M68*$F$22*$C$18</f>
        <v>1.2943457123287672</v>
      </c>
    </row>
    <row r="70" spans="10:13" x14ac:dyDescent="0.35">
      <c r="L70" s="61">
        <f>J69+M69</f>
        <v>1.2943457123287672</v>
      </c>
    </row>
    <row r="73" spans="10:13" x14ac:dyDescent="0.35">
      <c r="M73" s="61">
        <f>SUM(N43:N57)</f>
        <v>5256.5</v>
      </c>
    </row>
    <row r="74" spans="10:13" x14ac:dyDescent="0.35">
      <c r="J74" s="61">
        <f>SUM(K29:K57)</f>
        <v>0</v>
      </c>
      <c r="L74" s="61">
        <f>J76+M75</f>
        <v>3.238868082191781</v>
      </c>
      <c r="M74" s="61">
        <f>M73/C18</f>
        <v>175.21666666666667</v>
      </c>
    </row>
    <row r="75" spans="10:13" x14ac:dyDescent="0.35">
      <c r="J75" s="61">
        <f>J74/C18</f>
        <v>0</v>
      </c>
      <c r="M75" s="61">
        <f>M74*$F$22*$C$18</f>
        <v>3.238868082191781</v>
      </c>
    </row>
    <row r="76" spans="10:13" x14ac:dyDescent="0.35">
      <c r="J76" s="61">
        <f>J75*$F$22*$C$18</f>
        <v>0</v>
      </c>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AA80"/>
  <sheetViews>
    <sheetView topLeftCell="F41" zoomScale="53" zoomScaleNormal="53" workbookViewId="0">
      <selection activeCell="N66" sqref="N66:N68"/>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 min="27" max="27" width="15.7265625" customWidth="1"/>
  </cols>
  <sheetData>
    <row r="1" spans="2:12" ht="15" thickBot="1" x14ac:dyDescent="0.4"/>
    <row r="2" spans="2:12" ht="15" thickBot="1" x14ac:dyDescent="0.4">
      <c r="B2" s="27" t="s">
        <v>23</v>
      </c>
      <c r="C2" s="36"/>
      <c r="E2" s="96" t="s">
        <v>50</v>
      </c>
      <c r="F2" s="97"/>
    </row>
    <row r="3" spans="2:12" ht="15" thickBot="1" x14ac:dyDescent="0.4">
      <c r="B3" s="28" t="s">
        <v>1</v>
      </c>
      <c r="C3" s="37">
        <v>25</v>
      </c>
      <c r="E3" s="45" t="s">
        <v>24</v>
      </c>
      <c r="F3" s="46">
        <f>C17</f>
        <v>45077</v>
      </c>
    </row>
    <row r="4" spans="2:12" ht="15" thickBot="1" x14ac:dyDescent="0.4">
      <c r="B4"/>
      <c r="C4"/>
      <c r="E4" s="62" t="s">
        <v>25</v>
      </c>
      <c r="F4" s="62">
        <f>'Feb Statement'!F11</f>
        <v>1025</v>
      </c>
    </row>
    <row r="5" spans="2:12" ht="15" thickBot="1" x14ac:dyDescent="0.4">
      <c r="B5" s="29" t="s">
        <v>5</v>
      </c>
      <c r="C5" s="38">
        <v>44986</v>
      </c>
      <c r="E5" s="32" t="s">
        <v>10</v>
      </c>
      <c r="F5" s="33">
        <f>SUM(I11:I12)</f>
        <v>0</v>
      </c>
    </row>
    <row r="6" spans="2:12" x14ac:dyDescent="0.35">
      <c r="B6" s="30" t="s">
        <v>8</v>
      </c>
      <c r="C6" s="39">
        <v>45016</v>
      </c>
      <c r="E6" s="34" t="s">
        <v>26</v>
      </c>
      <c r="F6" s="35">
        <f>I60</f>
        <v>0</v>
      </c>
      <c r="H6" s="98" t="s">
        <v>40</v>
      </c>
      <c r="I6" s="99"/>
    </row>
    <row r="7" spans="2:12" ht="29" x14ac:dyDescent="0.35">
      <c r="B7" s="30" t="s">
        <v>6</v>
      </c>
      <c r="C7" s="40">
        <v>31</v>
      </c>
      <c r="E7" s="34" t="s">
        <v>27</v>
      </c>
      <c r="F7" s="35">
        <f>R60</f>
        <v>0</v>
      </c>
      <c r="H7" s="7" t="s">
        <v>37</v>
      </c>
      <c r="I7" s="8">
        <f>J60</f>
        <v>0</v>
      </c>
      <c r="L7" s="61"/>
    </row>
    <row r="8" spans="2:12" ht="29.5" thickBot="1" x14ac:dyDescent="0.4">
      <c r="B8" s="31" t="s">
        <v>7</v>
      </c>
      <c r="C8" s="41">
        <f>C6+C3</f>
        <v>45041</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16" t="s">
        <v>41</v>
      </c>
      <c r="I10" s="117"/>
      <c r="J10" s="118"/>
    </row>
    <row r="11" spans="2:12" ht="14.5" customHeight="1" x14ac:dyDescent="0.35">
      <c r="B11" s="30" t="s">
        <v>13</v>
      </c>
      <c r="C11" s="39">
        <f>C10+C12-1</f>
        <v>45046</v>
      </c>
      <c r="E11" s="55" t="s">
        <v>30</v>
      </c>
      <c r="F11" s="56">
        <f>F4+F6+F7+F8+F9-F5</f>
        <v>1025</v>
      </c>
      <c r="H11" s="72" t="s">
        <v>42</v>
      </c>
      <c r="I11" s="73">
        <f>SUM(F60:G60)</f>
        <v>0</v>
      </c>
      <c r="J11" s="94" t="s">
        <v>73</v>
      </c>
      <c r="K11" s="115"/>
    </row>
    <row r="12" spans="2:12" ht="15" thickBot="1" x14ac:dyDescent="0.4">
      <c r="B12" s="30" t="s">
        <v>14</v>
      </c>
      <c r="C12" s="40">
        <v>30</v>
      </c>
      <c r="E12" s="4"/>
      <c r="F12" s="6"/>
      <c r="H12" s="49" t="s">
        <v>43</v>
      </c>
      <c r="I12" s="50">
        <f>H60</f>
        <v>0</v>
      </c>
      <c r="J12" s="95"/>
      <c r="K12" s="115"/>
    </row>
    <row r="13" spans="2:12" ht="15" thickBot="1" x14ac:dyDescent="0.4">
      <c r="B13" s="31" t="s">
        <v>15</v>
      </c>
      <c r="C13" s="41">
        <v>45071</v>
      </c>
      <c r="E13" s="53" t="s">
        <v>31</v>
      </c>
      <c r="F13" s="54">
        <v>48960</v>
      </c>
    </row>
    <row r="14" spans="2:12" x14ac:dyDescent="0.35">
      <c r="E14" s="51" t="s">
        <v>32</v>
      </c>
      <c r="F14" s="52">
        <f>F13-F11</f>
        <v>47935</v>
      </c>
      <c r="H14" s="98" t="s">
        <v>44</v>
      </c>
      <c r="I14" s="99"/>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7" ht="15" thickBot="1" x14ac:dyDescent="0.4">
      <c r="B17" s="30" t="s">
        <v>9</v>
      </c>
      <c r="C17" s="39">
        <f>C16+C18-1</f>
        <v>45077</v>
      </c>
      <c r="E17" s="42" t="s">
        <v>0</v>
      </c>
      <c r="F17" s="39">
        <f>C17</f>
        <v>45077</v>
      </c>
    </row>
    <row r="18" spans="2:27" ht="15" thickBot="1" x14ac:dyDescent="0.4">
      <c r="B18" s="30" t="s">
        <v>4</v>
      </c>
      <c r="C18" s="40">
        <v>31</v>
      </c>
      <c r="E18" s="43" t="s">
        <v>2</v>
      </c>
      <c r="F18" s="44">
        <f>C18</f>
        <v>31</v>
      </c>
      <c r="H18" s="98" t="s">
        <v>51</v>
      </c>
      <c r="I18" s="99"/>
    </row>
    <row r="19" spans="2:27" ht="15" thickBot="1" x14ac:dyDescent="0.4">
      <c r="B19" s="31" t="s">
        <v>16</v>
      </c>
      <c r="C19" s="41">
        <f>C17+C3</f>
        <v>45102</v>
      </c>
      <c r="H19" s="7" t="s">
        <v>42</v>
      </c>
      <c r="I19" s="8">
        <f>'April Statement'!I19+'April Statement'!F6+'April Statement'!I7+'April Statement'!I15-'April Statement'!I11</f>
        <v>2100</v>
      </c>
    </row>
    <row r="20" spans="2:27" ht="15" thickBot="1" x14ac:dyDescent="0.4">
      <c r="H20" s="49" t="s">
        <v>43</v>
      </c>
      <c r="I20" s="50">
        <f>'Feb Statement'!I20+'Feb Statement'!F7+'Feb Statement'!I8+'Feb Statement'!I16-'Feb Statement'!I12</f>
        <v>0</v>
      </c>
      <c r="J20" s="5"/>
    </row>
    <row r="21" spans="2:27" x14ac:dyDescent="0.35">
      <c r="B21" s="98" t="s">
        <v>17</v>
      </c>
      <c r="C21" s="99"/>
      <c r="E21" s="98" t="s">
        <v>22</v>
      </c>
      <c r="F21" s="99"/>
      <c r="I21" s="62">
        <f>SUM(I19:I20)</f>
        <v>2100</v>
      </c>
      <c r="J21" s="5"/>
    </row>
    <row r="22" spans="2:27" x14ac:dyDescent="0.35">
      <c r="B22" s="7" t="s">
        <v>18</v>
      </c>
      <c r="C22" s="57">
        <v>0.22489999999999999</v>
      </c>
      <c r="E22" s="7" t="s">
        <v>18</v>
      </c>
      <c r="F22" s="59">
        <f>C22/365</f>
        <v>6.1616438356164381E-4</v>
      </c>
      <c r="M22" s="61"/>
    </row>
    <row r="23" spans="2:27" ht="15" thickBot="1" x14ac:dyDescent="0.4">
      <c r="B23" s="49" t="s">
        <v>19</v>
      </c>
      <c r="C23" s="58">
        <v>0.2999</v>
      </c>
      <c r="E23" s="49" t="s">
        <v>19</v>
      </c>
      <c r="F23" s="60">
        <f>C23/365</f>
        <v>8.216438356164384E-4</v>
      </c>
      <c r="J23" s="61"/>
    </row>
    <row r="24" spans="2:27" ht="15" thickBot="1" x14ac:dyDescent="0.4">
      <c r="C24" s="9"/>
      <c r="E24" s="1"/>
      <c r="F24" s="10"/>
      <c r="H24" s="63" t="s">
        <v>56</v>
      </c>
      <c r="I24" s="64">
        <v>0</v>
      </c>
      <c r="M24" s="61"/>
    </row>
    <row r="25" spans="2:27" x14ac:dyDescent="0.35">
      <c r="C25" s="9"/>
      <c r="E25" s="1"/>
      <c r="F25" s="10"/>
    </row>
    <row r="26" spans="2:27" ht="15" thickBot="1" x14ac:dyDescent="0.4">
      <c r="C26" s="9"/>
      <c r="E26" s="1"/>
      <c r="F26" s="10"/>
    </row>
    <row r="27" spans="2:27" ht="15" customHeight="1" thickBot="1" x14ac:dyDescent="0.4">
      <c r="B27" s="70"/>
      <c r="C27" s="71"/>
      <c r="D27" s="112" t="s">
        <v>10</v>
      </c>
      <c r="E27" s="112"/>
      <c r="F27" s="112"/>
      <c r="G27" s="112"/>
      <c r="H27" s="112"/>
      <c r="I27" s="111" t="s">
        <v>47</v>
      </c>
      <c r="J27" s="111"/>
      <c r="K27" s="111"/>
      <c r="L27" s="111"/>
      <c r="M27" s="111"/>
      <c r="N27" s="111"/>
      <c r="O27" s="111"/>
      <c r="P27" s="111"/>
      <c r="Q27" s="111"/>
      <c r="R27" s="109" t="s">
        <v>48</v>
      </c>
      <c r="S27" s="109"/>
      <c r="T27" s="109"/>
      <c r="U27" s="109"/>
      <c r="V27" s="109"/>
      <c r="W27" s="110"/>
    </row>
    <row r="28" spans="2:27"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7"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v>
      </c>
      <c r="M29" s="12">
        <f>ROUND(K29*$F$22,2)</f>
        <v>0.64</v>
      </c>
      <c r="N29" s="12">
        <f>I29+J29-G29</f>
        <v>0</v>
      </c>
      <c r="O29" s="12">
        <f>P29</f>
        <v>0</v>
      </c>
      <c r="P29" s="12">
        <f>N29*$F$22</f>
        <v>0</v>
      </c>
      <c r="Q29" s="12">
        <f>K29+N29</f>
        <v>1044</v>
      </c>
      <c r="R29" s="15"/>
      <c r="S29" s="15"/>
      <c r="T29" s="15">
        <f>$I$20+R29+S29-H29</f>
        <v>0</v>
      </c>
      <c r="U29" s="15">
        <f>V29</f>
        <v>0</v>
      </c>
      <c r="V29" s="16">
        <f>T29*$F$23</f>
        <v>0</v>
      </c>
      <c r="W29" s="16">
        <f>IF(T29=0,0,$I$20+R29+S29-H29)</f>
        <v>0</v>
      </c>
      <c r="AA29" s="13">
        <v>1044</v>
      </c>
    </row>
    <row r="30" spans="2:27"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v>
      </c>
      <c r="M30" s="13">
        <f>IF(K30=0,0,M29+ROUND(K30*$F$22,2))</f>
        <v>1.28</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c r="AA30" s="13">
        <v>1044</v>
      </c>
    </row>
    <row r="31" spans="2:27"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1045.28</v>
      </c>
      <c r="L31" s="13">
        <f t="shared" ref="L31:L58" si="7">M31-M30</f>
        <v>0.6399999999999999</v>
      </c>
      <c r="M31" s="13">
        <f t="shared" ref="M31:M59" si="8">IF(K31=0,0,M30+ROUND(K31*$F$22,2))</f>
        <v>1.92</v>
      </c>
      <c r="N31" s="13">
        <f t="shared" si="3"/>
        <v>0</v>
      </c>
      <c r="O31" s="13">
        <f t="shared" ref="O31:O58" si="9">P31-P30</f>
        <v>0</v>
      </c>
      <c r="P31" s="13">
        <f t="shared" ref="P31:P58" si="10">ROUND(P30+N31*$F$22,2)</f>
        <v>0</v>
      </c>
      <c r="Q31" s="13">
        <f t="shared" ref="Q31:Q58" si="11">ROUND(N31+K31-M30-P30,2)</f>
        <v>1044</v>
      </c>
      <c r="R31" s="17"/>
      <c r="S31" s="17"/>
      <c r="T31" s="17">
        <f>T30+U30+R31+S31-H31</f>
        <v>0</v>
      </c>
      <c r="U31" s="17">
        <f t="shared" si="4"/>
        <v>0</v>
      </c>
      <c r="V31" s="18">
        <f t="shared" ref="V31:V58" si="12">V30+T31*$F$23</f>
        <v>0</v>
      </c>
      <c r="W31" s="16">
        <f t="shared" ref="W31:W58" si="13">IF(T31=0,0,W30+R31+S31-H31)</f>
        <v>0</v>
      </c>
      <c r="AA31" s="13">
        <v>1044</v>
      </c>
    </row>
    <row r="32" spans="2:27"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0.64000000000000012</v>
      </c>
      <c r="M32" s="13">
        <f t="shared" si="8"/>
        <v>2.56</v>
      </c>
      <c r="N32" s="13">
        <f t="shared" si="3"/>
        <v>0</v>
      </c>
      <c r="O32" s="13">
        <f t="shared" si="9"/>
        <v>0</v>
      </c>
      <c r="P32" s="13">
        <f t="shared" si="10"/>
        <v>0</v>
      </c>
      <c r="Q32" s="13">
        <f t="shared" si="11"/>
        <v>1044</v>
      </c>
      <c r="R32" s="17"/>
      <c r="S32" s="17"/>
      <c r="T32" s="17">
        <f>T31+U31+R32+S32-H32</f>
        <v>0</v>
      </c>
      <c r="U32" s="17">
        <f t="shared" si="4"/>
        <v>0</v>
      </c>
      <c r="V32" s="18">
        <f t="shared" si="12"/>
        <v>0</v>
      </c>
      <c r="W32" s="16">
        <f t="shared" si="13"/>
        <v>0</v>
      </c>
      <c r="AA32" s="13">
        <v>1044</v>
      </c>
    </row>
    <row r="33" spans="2:27"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0.64000000000000012</v>
      </c>
      <c r="M33" s="13">
        <f t="shared" si="8"/>
        <v>3.2</v>
      </c>
      <c r="N33" s="13">
        <f t="shared" si="3"/>
        <v>0</v>
      </c>
      <c r="O33" s="13">
        <f t="shared" si="9"/>
        <v>0</v>
      </c>
      <c r="P33" s="13">
        <f t="shared" si="10"/>
        <v>0</v>
      </c>
      <c r="Q33" s="13">
        <f t="shared" si="11"/>
        <v>1044</v>
      </c>
      <c r="R33" s="17"/>
      <c r="S33" s="17"/>
      <c r="T33" s="17">
        <f t="shared" ref="T33:T58" si="14">T32+U32+R33+S33-H33</f>
        <v>0</v>
      </c>
      <c r="U33" s="17">
        <f t="shared" si="4"/>
        <v>0</v>
      </c>
      <c r="V33" s="18">
        <f t="shared" si="12"/>
        <v>0</v>
      </c>
      <c r="W33" s="16">
        <f t="shared" si="13"/>
        <v>0</v>
      </c>
      <c r="AA33" s="13">
        <v>1044</v>
      </c>
    </row>
    <row r="34" spans="2:27"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0.64999999999999991</v>
      </c>
      <c r="M34" s="13">
        <f t="shared" si="8"/>
        <v>3.85</v>
      </c>
      <c r="N34" s="13">
        <f t="shared" si="3"/>
        <v>0</v>
      </c>
      <c r="O34" s="13">
        <f t="shared" si="9"/>
        <v>0</v>
      </c>
      <c r="P34" s="13">
        <f t="shared" si="10"/>
        <v>0</v>
      </c>
      <c r="Q34" s="13">
        <f t="shared" si="11"/>
        <v>1044</v>
      </c>
      <c r="R34" s="17"/>
      <c r="S34" s="17"/>
      <c r="T34" s="17">
        <f t="shared" si="14"/>
        <v>0</v>
      </c>
      <c r="U34" s="17">
        <f t="shared" si="4"/>
        <v>0</v>
      </c>
      <c r="V34" s="18">
        <f t="shared" si="12"/>
        <v>0</v>
      </c>
      <c r="W34" s="16">
        <f t="shared" si="13"/>
        <v>0</v>
      </c>
      <c r="AA34" s="13">
        <v>1044</v>
      </c>
    </row>
    <row r="35" spans="2:27"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0.64999999999999991</v>
      </c>
      <c r="M35" s="13">
        <f t="shared" si="8"/>
        <v>4.5</v>
      </c>
      <c r="N35" s="13">
        <f t="shared" si="3"/>
        <v>0</v>
      </c>
      <c r="O35" s="13">
        <f t="shared" si="9"/>
        <v>0</v>
      </c>
      <c r="P35" s="13">
        <f t="shared" si="10"/>
        <v>0</v>
      </c>
      <c r="Q35" s="13">
        <f t="shared" si="11"/>
        <v>1044</v>
      </c>
      <c r="R35" s="17"/>
      <c r="S35" s="17"/>
      <c r="T35" s="17">
        <f>T34+U34+R35+S35-H35</f>
        <v>0</v>
      </c>
      <c r="U35" s="17">
        <f t="shared" si="4"/>
        <v>0</v>
      </c>
      <c r="V35" s="18">
        <f t="shared" si="12"/>
        <v>0</v>
      </c>
      <c r="W35" s="16">
        <f t="shared" si="13"/>
        <v>0</v>
      </c>
      <c r="AA35" s="13">
        <v>1044</v>
      </c>
    </row>
    <row r="36" spans="2:27"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0.65000000000000036</v>
      </c>
      <c r="M36" s="13">
        <f t="shared" si="8"/>
        <v>5.15</v>
      </c>
      <c r="N36" s="13">
        <f t="shared" si="3"/>
        <v>0</v>
      </c>
      <c r="O36" s="13">
        <f t="shared" si="9"/>
        <v>0</v>
      </c>
      <c r="P36" s="13">
        <f t="shared" si="10"/>
        <v>0</v>
      </c>
      <c r="Q36" s="13">
        <f t="shared" si="11"/>
        <v>1044</v>
      </c>
      <c r="R36" s="17"/>
      <c r="S36" s="17"/>
      <c r="T36" s="17">
        <f t="shared" si="14"/>
        <v>0</v>
      </c>
      <c r="U36" s="17">
        <f t="shared" si="4"/>
        <v>0</v>
      </c>
      <c r="V36" s="18">
        <f t="shared" si="12"/>
        <v>0</v>
      </c>
      <c r="W36" s="16">
        <f t="shared" si="13"/>
        <v>0</v>
      </c>
      <c r="AA36" s="13">
        <v>1044</v>
      </c>
    </row>
    <row r="37" spans="2:27"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0.65000000000000036</v>
      </c>
      <c r="M37" s="13">
        <f t="shared" si="8"/>
        <v>5.8000000000000007</v>
      </c>
      <c r="N37" s="13">
        <f t="shared" si="3"/>
        <v>0</v>
      </c>
      <c r="O37" s="13">
        <f t="shared" si="9"/>
        <v>0</v>
      </c>
      <c r="P37" s="13">
        <f t="shared" si="10"/>
        <v>0</v>
      </c>
      <c r="Q37" s="13">
        <f t="shared" si="11"/>
        <v>1044</v>
      </c>
      <c r="R37" s="17"/>
      <c r="S37" s="17"/>
      <c r="T37" s="17">
        <f t="shared" si="14"/>
        <v>0</v>
      </c>
      <c r="U37" s="17">
        <f t="shared" si="4"/>
        <v>0</v>
      </c>
      <c r="V37" s="18">
        <f t="shared" si="12"/>
        <v>0</v>
      </c>
      <c r="W37" s="16">
        <f t="shared" si="13"/>
        <v>0</v>
      </c>
      <c r="AA37" s="13">
        <v>1044</v>
      </c>
    </row>
    <row r="38" spans="2:27"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0.65000000000000036</v>
      </c>
      <c r="M38" s="13">
        <f t="shared" si="8"/>
        <v>6.4500000000000011</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c r="AA38" s="13">
        <v>1044</v>
      </c>
    </row>
    <row r="39" spans="2:27"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0.65000000000000036</v>
      </c>
      <c r="M39" s="13">
        <f t="shared" si="8"/>
        <v>7.1000000000000014</v>
      </c>
      <c r="N39" s="13">
        <f t="shared" si="3"/>
        <v>0</v>
      </c>
      <c r="O39" s="13">
        <f>P39-P38</f>
        <v>0</v>
      </c>
      <c r="P39" s="13">
        <f t="shared" si="10"/>
        <v>0</v>
      </c>
      <c r="Q39" s="13">
        <f t="shared" si="11"/>
        <v>1044</v>
      </c>
      <c r="R39" s="17"/>
      <c r="S39" s="17"/>
      <c r="T39" s="17">
        <f t="shared" si="14"/>
        <v>0</v>
      </c>
      <c r="U39" s="17">
        <f t="shared" si="4"/>
        <v>0</v>
      </c>
      <c r="V39" s="18">
        <f t="shared" si="12"/>
        <v>0</v>
      </c>
      <c r="W39" s="16">
        <f t="shared" si="13"/>
        <v>0</v>
      </c>
      <c r="AA39" s="13">
        <v>1044</v>
      </c>
    </row>
    <row r="40" spans="2:27"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0.65000000000000036</v>
      </c>
      <c r="M40" s="13">
        <f t="shared" si="8"/>
        <v>7.7500000000000018</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c r="AA40" s="13">
        <v>1044</v>
      </c>
    </row>
    <row r="41" spans="2:27"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0.65000000000000036</v>
      </c>
      <c r="M41" s="13">
        <f t="shared" si="8"/>
        <v>8.4000000000000021</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c r="AA41" s="13">
        <v>1044</v>
      </c>
    </row>
    <row r="42" spans="2:27"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0.65000000000000036</v>
      </c>
      <c r="M42" s="13">
        <f t="shared" si="8"/>
        <v>9.0500000000000025</v>
      </c>
      <c r="N42" s="13">
        <f t="shared" si="3"/>
        <v>0</v>
      </c>
      <c r="O42" s="13">
        <f t="shared" si="9"/>
        <v>0</v>
      </c>
      <c r="P42" s="13">
        <f t="shared" si="10"/>
        <v>0</v>
      </c>
      <c r="Q42" s="13">
        <f t="shared" si="11"/>
        <v>1044</v>
      </c>
      <c r="R42" s="17"/>
      <c r="S42" s="17"/>
      <c r="T42" s="17">
        <f>T41+U41+R42+S42-H42</f>
        <v>0</v>
      </c>
      <c r="U42" s="17">
        <f>V42-V41</f>
        <v>0</v>
      </c>
      <c r="V42" s="18">
        <f t="shared" si="12"/>
        <v>0</v>
      </c>
      <c r="W42" s="16">
        <f t="shared" si="13"/>
        <v>0</v>
      </c>
      <c r="AA42" s="13">
        <v>1044</v>
      </c>
    </row>
    <row r="43" spans="2:27"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1053.05</v>
      </c>
      <c r="L43" s="87">
        <f t="shared" si="7"/>
        <v>0.65000000000000036</v>
      </c>
      <c r="M43" s="87">
        <f t="shared" si="8"/>
        <v>9.7000000000000028</v>
      </c>
      <c r="N43" s="87">
        <f>ROUND(N42+I43+J43+O42-G43,2)</f>
        <v>0</v>
      </c>
      <c r="O43" s="87">
        <f t="shared" si="9"/>
        <v>0</v>
      </c>
      <c r="P43" s="87">
        <f t="shared" si="10"/>
        <v>0</v>
      </c>
      <c r="Q43" s="87">
        <f t="shared" si="11"/>
        <v>1044</v>
      </c>
      <c r="R43" s="87"/>
      <c r="S43" s="87"/>
      <c r="T43" s="87">
        <f>T42+U42+R43+S43-H43</f>
        <v>0</v>
      </c>
      <c r="U43" s="87">
        <f t="shared" si="4"/>
        <v>0</v>
      </c>
      <c r="V43" s="88">
        <f t="shared" si="12"/>
        <v>0</v>
      </c>
      <c r="W43" s="89">
        <f t="shared" si="13"/>
        <v>0</v>
      </c>
      <c r="AA43" s="13">
        <v>1044</v>
      </c>
    </row>
    <row r="44" spans="2:27"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0.65000000000000036</v>
      </c>
      <c r="M44" s="13">
        <f t="shared" si="8"/>
        <v>10.350000000000003</v>
      </c>
      <c r="N44" s="13">
        <f t="shared" si="3"/>
        <v>0</v>
      </c>
      <c r="O44" s="13">
        <f t="shared" si="9"/>
        <v>0</v>
      </c>
      <c r="P44" s="13">
        <f t="shared" si="10"/>
        <v>0</v>
      </c>
      <c r="Q44" s="13">
        <f t="shared" si="11"/>
        <v>1044</v>
      </c>
      <c r="R44" s="17"/>
      <c r="S44" s="17"/>
      <c r="T44" s="17">
        <f t="shared" si="14"/>
        <v>0</v>
      </c>
      <c r="U44" s="17">
        <f t="shared" si="4"/>
        <v>0</v>
      </c>
      <c r="V44" s="18">
        <f t="shared" si="12"/>
        <v>0</v>
      </c>
      <c r="W44" s="16">
        <f t="shared" si="13"/>
        <v>0</v>
      </c>
      <c r="AA44" s="13">
        <v>1044</v>
      </c>
    </row>
    <row r="45" spans="2:27"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0.65000000000000036</v>
      </c>
      <c r="M45" s="13">
        <f t="shared" si="8"/>
        <v>11.000000000000004</v>
      </c>
      <c r="N45" s="13">
        <f t="shared" si="3"/>
        <v>0</v>
      </c>
      <c r="O45" s="13">
        <f t="shared" si="9"/>
        <v>0</v>
      </c>
      <c r="P45" s="13">
        <f t="shared" si="10"/>
        <v>0</v>
      </c>
      <c r="Q45" s="13">
        <f t="shared" si="11"/>
        <v>1044</v>
      </c>
      <c r="R45" s="17"/>
      <c r="S45" s="17"/>
      <c r="T45" s="17">
        <f t="shared" si="14"/>
        <v>0</v>
      </c>
      <c r="U45" s="17">
        <f t="shared" si="4"/>
        <v>0</v>
      </c>
      <c r="V45" s="18">
        <f t="shared" si="12"/>
        <v>0</v>
      </c>
      <c r="W45" s="16">
        <f>IF(T45=0,0,W44+R45+S45-H45)</f>
        <v>0</v>
      </c>
      <c r="AA45" s="13">
        <v>1044</v>
      </c>
    </row>
    <row r="46" spans="2:27"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0.65000000000000036</v>
      </c>
      <c r="M46" s="13">
        <f t="shared" si="8"/>
        <v>11.650000000000004</v>
      </c>
      <c r="N46" s="13">
        <f t="shared" si="3"/>
        <v>0</v>
      </c>
      <c r="O46" s="13">
        <f t="shared" si="9"/>
        <v>0</v>
      </c>
      <c r="P46" s="13">
        <f t="shared" si="10"/>
        <v>0</v>
      </c>
      <c r="Q46" s="13">
        <f t="shared" si="11"/>
        <v>1044</v>
      </c>
      <c r="R46" s="17"/>
      <c r="S46" s="17"/>
      <c r="T46" s="17">
        <f t="shared" si="14"/>
        <v>0</v>
      </c>
      <c r="U46" s="17">
        <f t="shared" si="4"/>
        <v>0</v>
      </c>
      <c r="V46" s="18">
        <f t="shared" si="12"/>
        <v>0</v>
      </c>
      <c r="W46" s="16">
        <f>IF(T46=0,0,W45+R46+S46-H46)</f>
        <v>0</v>
      </c>
      <c r="AA46" s="13">
        <v>1044</v>
      </c>
    </row>
    <row r="47" spans="2:27"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1055.6500000000001</v>
      </c>
      <c r="L47" s="87">
        <f t="shared" si="7"/>
        <v>0.65000000000000036</v>
      </c>
      <c r="M47" s="13">
        <f t="shared" si="8"/>
        <v>12.300000000000004</v>
      </c>
      <c r="N47" s="87">
        <f t="shared" si="3"/>
        <v>0</v>
      </c>
      <c r="O47" s="87">
        <f t="shared" si="9"/>
        <v>0</v>
      </c>
      <c r="P47" s="87">
        <f t="shared" si="10"/>
        <v>0</v>
      </c>
      <c r="Q47" s="87">
        <f t="shared" si="11"/>
        <v>1044</v>
      </c>
      <c r="R47" s="87"/>
      <c r="S47" s="87"/>
      <c r="T47" s="87">
        <f t="shared" si="14"/>
        <v>0</v>
      </c>
      <c r="U47" s="87">
        <f t="shared" si="4"/>
        <v>0</v>
      </c>
      <c r="V47" s="88">
        <f t="shared" si="12"/>
        <v>0</v>
      </c>
      <c r="W47" s="89">
        <f t="shared" si="13"/>
        <v>0</v>
      </c>
      <c r="AA47" s="13">
        <v>1044</v>
      </c>
    </row>
    <row r="48" spans="2:27" x14ac:dyDescent="0.35">
      <c r="B48" s="47">
        <f t="shared" si="0"/>
        <v>45065</v>
      </c>
      <c r="C48" s="48">
        <f t="shared" si="1"/>
        <v>45066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0.65000000000000036</v>
      </c>
      <c r="M48" s="13">
        <f t="shared" si="8"/>
        <v>12.950000000000005</v>
      </c>
      <c r="N48" s="13">
        <f t="shared" si="3"/>
        <v>0</v>
      </c>
      <c r="O48" s="13">
        <f t="shared" si="9"/>
        <v>0</v>
      </c>
      <c r="P48" s="13">
        <f t="shared" si="10"/>
        <v>0</v>
      </c>
      <c r="Q48" s="13">
        <f t="shared" si="11"/>
        <v>1044</v>
      </c>
      <c r="R48" s="17"/>
      <c r="S48" s="17"/>
      <c r="T48" s="17">
        <f t="shared" si="14"/>
        <v>0</v>
      </c>
      <c r="U48" s="17">
        <f t="shared" si="4"/>
        <v>0</v>
      </c>
      <c r="V48" s="18">
        <f t="shared" si="12"/>
        <v>0</v>
      </c>
      <c r="W48" s="16">
        <f t="shared" si="13"/>
        <v>0</v>
      </c>
      <c r="AA48" s="13">
        <v>1044</v>
      </c>
    </row>
    <row r="49" spans="2:27"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0.65000000000000036</v>
      </c>
      <c r="M49" s="13">
        <f t="shared" si="8"/>
        <v>13.600000000000005</v>
      </c>
      <c r="N49" s="13">
        <f t="shared" si="3"/>
        <v>0</v>
      </c>
      <c r="O49" s="13">
        <f t="shared" si="9"/>
        <v>0</v>
      </c>
      <c r="P49" s="13">
        <f t="shared" si="10"/>
        <v>0</v>
      </c>
      <c r="Q49" s="13">
        <f t="shared" si="11"/>
        <v>1044</v>
      </c>
      <c r="R49" s="17"/>
      <c r="S49" s="17"/>
      <c r="T49" s="17">
        <f t="shared" si="14"/>
        <v>0</v>
      </c>
      <c r="U49" s="17">
        <f t="shared" si="4"/>
        <v>0</v>
      </c>
      <c r="V49" s="18">
        <f t="shared" si="12"/>
        <v>0</v>
      </c>
      <c r="W49" s="16">
        <f t="shared" si="13"/>
        <v>0</v>
      </c>
      <c r="AA49" s="13">
        <v>1044</v>
      </c>
    </row>
    <row r="50" spans="2:27"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0.65000000000000036</v>
      </c>
      <c r="M50" s="13">
        <f t="shared" si="8"/>
        <v>14.250000000000005</v>
      </c>
      <c r="N50" s="13">
        <f t="shared" si="3"/>
        <v>0</v>
      </c>
      <c r="O50" s="13">
        <f t="shared" si="9"/>
        <v>0</v>
      </c>
      <c r="P50" s="13">
        <f t="shared" si="10"/>
        <v>0</v>
      </c>
      <c r="Q50" s="13">
        <f t="shared" si="11"/>
        <v>1044</v>
      </c>
      <c r="R50" s="17"/>
      <c r="S50" s="17"/>
      <c r="T50" s="17">
        <f t="shared" si="14"/>
        <v>0</v>
      </c>
      <c r="U50" s="17">
        <f t="shared" si="4"/>
        <v>0</v>
      </c>
      <c r="V50" s="18">
        <f t="shared" si="12"/>
        <v>0</v>
      </c>
      <c r="W50" s="16">
        <f t="shared" si="13"/>
        <v>0</v>
      </c>
      <c r="AA50" s="13">
        <v>1044</v>
      </c>
    </row>
    <row r="51" spans="2:27" x14ac:dyDescent="0.35">
      <c r="B51" s="47">
        <f t="shared" si="0"/>
        <v>45068</v>
      </c>
      <c r="C51" s="48">
        <f t="shared" si="1"/>
        <v>45069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1058.25</v>
      </c>
      <c r="L51" s="13">
        <f t="shared" si="7"/>
        <v>0.65000000000000036</v>
      </c>
      <c r="M51" s="13">
        <f t="shared" si="8"/>
        <v>14.900000000000006</v>
      </c>
      <c r="N51" s="13">
        <f t="shared" si="3"/>
        <v>0</v>
      </c>
      <c r="O51" s="13">
        <f t="shared" si="9"/>
        <v>0</v>
      </c>
      <c r="P51" s="13">
        <f t="shared" si="10"/>
        <v>0</v>
      </c>
      <c r="Q51" s="13">
        <f t="shared" si="11"/>
        <v>1044</v>
      </c>
      <c r="R51" s="17"/>
      <c r="S51" s="17"/>
      <c r="T51" s="17">
        <f t="shared" si="14"/>
        <v>0</v>
      </c>
      <c r="U51" s="17">
        <f t="shared" si="4"/>
        <v>0</v>
      </c>
      <c r="V51" s="18">
        <f t="shared" si="12"/>
        <v>0</v>
      </c>
      <c r="W51" s="16">
        <f t="shared" si="13"/>
        <v>0</v>
      </c>
      <c r="AA51" s="13">
        <v>1044</v>
      </c>
    </row>
    <row r="52" spans="2:27"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0.65000000000000036</v>
      </c>
      <c r="M52" s="13">
        <f t="shared" si="8"/>
        <v>15.550000000000006</v>
      </c>
      <c r="N52" s="13">
        <f t="shared" si="3"/>
        <v>0</v>
      </c>
      <c r="O52" s="13">
        <f t="shared" si="9"/>
        <v>0</v>
      </c>
      <c r="P52" s="13">
        <f t="shared" si="10"/>
        <v>0</v>
      </c>
      <c r="Q52" s="13">
        <f t="shared" si="11"/>
        <v>1044</v>
      </c>
      <c r="R52" s="17"/>
      <c r="S52" s="17"/>
      <c r="T52" s="17">
        <f t="shared" si="14"/>
        <v>0</v>
      </c>
      <c r="U52" s="17">
        <f t="shared" si="4"/>
        <v>0</v>
      </c>
      <c r="V52" s="18">
        <f t="shared" si="12"/>
        <v>0</v>
      </c>
      <c r="W52" s="16">
        <f t="shared" si="13"/>
        <v>0</v>
      </c>
      <c r="AA52" s="13">
        <v>1044</v>
      </c>
    </row>
    <row r="53" spans="2:27"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1059.55</v>
      </c>
      <c r="L53" s="87">
        <f t="shared" si="7"/>
        <v>0.65000000000000036</v>
      </c>
      <c r="M53" s="87">
        <f t="shared" si="8"/>
        <v>16.200000000000006</v>
      </c>
      <c r="N53" s="87">
        <f t="shared" si="3"/>
        <v>0</v>
      </c>
      <c r="O53" s="87">
        <f t="shared" si="9"/>
        <v>0</v>
      </c>
      <c r="P53" s="87">
        <f t="shared" si="10"/>
        <v>0</v>
      </c>
      <c r="Q53" s="87">
        <f t="shared" si="11"/>
        <v>1044</v>
      </c>
      <c r="R53" s="87"/>
      <c r="S53" s="87"/>
      <c r="T53" s="87">
        <f t="shared" si="14"/>
        <v>0</v>
      </c>
      <c r="U53" s="87">
        <f t="shared" si="4"/>
        <v>0</v>
      </c>
      <c r="V53" s="88">
        <f t="shared" si="12"/>
        <v>0</v>
      </c>
      <c r="W53" s="89">
        <f t="shared" si="13"/>
        <v>0</v>
      </c>
      <c r="AA53" s="92">
        <f>SUM(AA29:AA52)</f>
        <v>25056</v>
      </c>
    </row>
    <row r="54" spans="2:27"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0.64999999999999858</v>
      </c>
      <c r="M54" s="13">
        <f t="shared" si="8"/>
        <v>16.850000000000005</v>
      </c>
      <c r="N54" s="13">
        <f t="shared" si="3"/>
        <v>0</v>
      </c>
      <c r="O54" s="13">
        <f t="shared" si="9"/>
        <v>0</v>
      </c>
      <c r="P54" s="13">
        <f t="shared" si="10"/>
        <v>0</v>
      </c>
      <c r="Q54" s="13">
        <f t="shared" si="11"/>
        <v>1044</v>
      </c>
      <c r="R54" s="17"/>
      <c r="S54" s="17"/>
      <c r="T54" s="17">
        <f t="shared" si="14"/>
        <v>0</v>
      </c>
      <c r="U54" s="17">
        <f t="shared" si="4"/>
        <v>0</v>
      </c>
      <c r="V54" s="18">
        <f t="shared" si="12"/>
        <v>0</v>
      </c>
      <c r="W54" s="16">
        <f t="shared" si="13"/>
        <v>0</v>
      </c>
      <c r="AA54" s="61">
        <f>AA53/31</f>
        <v>808.25806451612902</v>
      </c>
    </row>
    <row r="55" spans="2:27" s="90" customFormat="1" x14ac:dyDescent="0.35">
      <c r="B55" s="84">
        <f t="shared" si="0"/>
        <v>45072</v>
      </c>
      <c r="C55" s="85">
        <f t="shared" si="1"/>
        <v>45073</v>
      </c>
      <c r="D55" s="86"/>
      <c r="E55" s="87">
        <f>IF(SUM(E$29:E54)=$I$24,0,IF((D55&lt;=$I$24-SUM(E$29:E54)),D55,$I$24-SUM(E$29:E54)))</f>
        <v>0</v>
      </c>
      <c r="F55" s="87">
        <f>IF($I$19&gt;0,IF(SUM(F$29:F54)&lt;$I$19,IF((D55-E55)&gt;0,IF($I$20=0,IF($I$19-SUM(F$29:F54)&gt;D55,D55,$I$19-SUM(F$29:F54)),E55),D55),0)+IF($I$20&gt;0,IF(D55-$I$20-SUM($H$29:H54)-IF($I$19=0,0,E55)&gt;0,IF(D55-$I$20-SUM($H$29:H54)-IF($I$19=0,0,E55)&gt;$I$19,$I$19-SUM(F$29:F54)-E55,D55-$I$20-SUM($H$29:H54)-IF($I$19=0,0,E55)),0),0),0)</f>
        <v>0</v>
      </c>
      <c r="G55" s="87">
        <f t="shared" si="2"/>
        <v>0</v>
      </c>
      <c r="H55" s="87">
        <f t="shared" si="5"/>
        <v>0</v>
      </c>
      <c r="I55" s="87"/>
      <c r="J55" s="87"/>
      <c r="K55" s="87">
        <f t="shared" si="6"/>
        <v>1060.8499999999999</v>
      </c>
      <c r="L55" s="87">
        <f t="shared" si="7"/>
        <v>0.64999999999999858</v>
      </c>
      <c r="M55" s="87">
        <f t="shared" si="8"/>
        <v>17.500000000000004</v>
      </c>
      <c r="N55" s="87">
        <f t="shared" si="3"/>
        <v>0</v>
      </c>
      <c r="O55" s="87">
        <f t="shared" si="9"/>
        <v>0</v>
      </c>
      <c r="P55" s="87">
        <f t="shared" si="10"/>
        <v>0</v>
      </c>
      <c r="Q55" s="87">
        <f t="shared" si="11"/>
        <v>1044</v>
      </c>
      <c r="R55" s="87"/>
      <c r="S55" s="87"/>
      <c r="T55" s="87">
        <f t="shared" si="14"/>
        <v>0</v>
      </c>
      <c r="U55" s="87">
        <f t="shared" si="4"/>
        <v>0</v>
      </c>
      <c r="V55" s="88">
        <f t="shared" si="12"/>
        <v>0</v>
      </c>
      <c r="W55" s="89">
        <f t="shared" si="13"/>
        <v>0</v>
      </c>
      <c r="AA55" s="92">
        <f>AA54*F22*C18</f>
        <v>15.438614794520547</v>
      </c>
    </row>
    <row r="56" spans="2:27" x14ac:dyDescent="0.35">
      <c r="B56" s="47">
        <f t="shared" si="0"/>
        <v>45073</v>
      </c>
      <c r="C56" s="48">
        <f t="shared" si="1"/>
        <v>45074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0.64999999999999858</v>
      </c>
      <c r="M56" s="13">
        <f t="shared" si="8"/>
        <v>18.150000000000002</v>
      </c>
      <c r="N56" s="13">
        <f t="shared" si="3"/>
        <v>0</v>
      </c>
      <c r="O56" s="13">
        <f t="shared" si="9"/>
        <v>0</v>
      </c>
      <c r="P56" s="13">
        <f t="shared" si="10"/>
        <v>0</v>
      </c>
      <c r="Q56" s="13">
        <f t="shared" si="11"/>
        <v>1044</v>
      </c>
      <c r="R56" s="17"/>
      <c r="S56" s="17"/>
      <c r="T56" s="17">
        <f t="shared" si="14"/>
        <v>0</v>
      </c>
      <c r="U56" s="17">
        <f t="shared" si="4"/>
        <v>0</v>
      </c>
      <c r="V56" s="18">
        <f t="shared" si="12"/>
        <v>0</v>
      </c>
      <c r="W56" s="16">
        <f t="shared" si="13"/>
        <v>0</v>
      </c>
    </row>
    <row r="57" spans="2:27"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0.64999999999999858</v>
      </c>
      <c r="M57" s="13">
        <f t="shared" si="8"/>
        <v>18.8</v>
      </c>
      <c r="N57" s="13">
        <f t="shared" si="3"/>
        <v>0</v>
      </c>
      <c r="O57" s="13">
        <f t="shared" si="9"/>
        <v>0</v>
      </c>
      <c r="P57" s="13">
        <f t="shared" si="10"/>
        <v>0</v>
      </c>
      <c r="Q57" s="13">
        <f t="shared" si="11"/>
        <v>1044</v>
      </c>
      <c r="R57" s="17"/>
      <c r="S57" s="17"/>
      <c r="T57" s="17">
        <f t="shared" si="14"/>
        <v>0</v>
      </c>
      <c r="U57" s="17">
        <f t="shared" si="4"/>
        <v>0</v>
      </c>
      <c r="V57" s="18">
        <f t="shared" si="12"/>
        <v>0</v>
      </c>
      <c r="W57" s="16">
        <f t="shared" si="13"/>
        <v>0</v>
      </c>
    </row>
    <row r="58" spans="2:27"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1062.8</v>
      </c>
      <c r="L58" s="13">
        <f t="shared" si="7"/>
        <v>0.64999999999999858</v>
      </c>
      <c r="M58" s="13">
        <f t="shared" si="8"/>
        <v>19.45</v>
      </c>
      <c r="N58" s="13">
        <f t="shared" si="3"/>
        <v>0</v>
      </c>
      <c r="O58" s="13">
        <f t="shared" si="9"/>
        <v>0</v>
      </c>
      <c r="P58" s="13">
        <f t="shared" si="10"/>
        <v>0</v>
      </c>
      <c r="Q58" s="13">
        <f t="shared" si="11"/>
        <v>1044</v>
      </c>
      <c r="R58" s="17"/>
      <c r="S58" s="17"/>
      <c r="T58" s="17">
        <f t="shared" si="14"/>
        <v>0</v>
      </c>
      <c r="U58" s="17">
        <f t="shared" si="4"/>
        <v>0</v>
      </c>
      <c r="V58" s="18">
        <f t="shared" si="12"/>
        <v>0</v>
      </c>
      <c r="W58" s="16">
        <f t="shared" si="13"/>
        <v>0</v>
      </c>
    </row>
    <row r="59" spans="2:27"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1063.45</v>
      </c>
      <c r="L59" s="13">
        <f t="shared" ref="L59" si="18">M59-M58</f>
        <v>0.66000000000000014</v>
      </c>
      <c r="M59" s="13">
        <f t="shared" si="8"/>
        <v>20.11</v>
      </c>
      <c r="N59" s="13">
        <f t="shared" ref="N59" si="19">ROUND(N58+I59+J59+O58-G59,2)</f>
        <v>0</v>
      </c>
      <c r="O59" s="13">
        <f t="shared" ref="O59" si="20">P59-P58</f>
        <v>0</v>
      </c>
      <c r="P59" s="13">
        <f>ROUND(P58+N59*$F$22,2)</f>
        <v>0</v>
      </c>
      <c r="Q59" s="13">
        <f t="shared" ref="Q59" si="21">ROUND(N59+K59-M58-P58,2)</f>
        <v>1044</v>
      </c>
      <c r="R59" s="17"/>
      <c r="S59" s="17"/>
      <c r="T59" s="17">
        <f t="shared" ref="T59" si="22">T58+U58+R59+S59-H59</f>
        <v>0</v>
      </c>
      <c r="U59" s="17">
        <f t="shared" ref="U59" si="23">V59-V58</f>
        <v>0</v>
      </c>
      <c r="V59" s="18">
        <f t="shared" ref="V59" si="24">V58+T59*$F$23</f>
        <v>0</v>
      </c>
      <c r="W59" s="16">
        <f t="shared" ref="W59" si="25">IF(T59=0,0,W58+R59+S59-H59)</f>
        <v>0</v>
      </c>
    </row>
    <row r="60" spans="2:27" ht="15" thickBot="1" x14ac:dyDescent="0.4">
      <c r="B60" s="113" t="s">
        <v>49</v>
      </c>
      <c r="C60" s="114"/>
      <c r="D60" s="67">
        <f t="shared" ref="D60:L60" si="26">SUM(D29:D59)</f>
        <v>0</v>
      </c>
      <c r="E60" s="21">
        <f t="shared" si="26"/>
        <v>0</v>
      </c>
      <c r="F60" s="21">
        <f t="shared" si="26"/>
        <v>0</v>
      </c>
      <c r="G60" s="21">
        <f t="shared" si="26"/>
        <v>0</v>
      </c>
      <c r="H60" s="22">
        <f t="shared" si="26"/>
        <v>0</v>
      </c>
      <c r="I60" s="20">
        <f t="shared" si="26"/>
        <v>0</v>
      </c>
      <c r="J60" s="21">
        <f t="shared" si="26"/>
        <v>0</v>
      </c>
      <c r="K60" s="21">
        <f t="shared" si="26"/>
        <v>32664.85</v>
      </c>
      <c r="L60" s="74">
        <f t="shared" si="26"/>
        <v>20.11</v>
      </c>
      <c r="M60" s="20"/>
      <c r="N60" s="21">
        <f>SUM(N29:N59)</f>
        <v>0</v>
      </c>
      <c r="O60" s="21">
        <f>SUM(O29:O59)</f>
        <v>0</v>
      </c>
      <c r="P60" s="20"/>
      <c r="Q60" s="20"/>
      <c r="R60" s="22">
        <f>SUM(R29:R59)</f>
        <v>0</v>
      </c>
      <c r="S60" s="22">
        <f>SUM(S29:S59)</f>
        <v>0</v>
      </c>
      <c r="T60" s="22">
        <f>SUM(T29:T59)</f>
        <v>0</v>
      </c>
      <c r="U60" s="22">
        <f>SUM(U29:U59)</f>
        <v>0</v>
      </c>
      <c r="V60" s="23"/>
      <c r="W60" s="23"/>
    </row>
    <row r="61" spans="2:27" ht="15" thickBot="1" x14ac:dyDescent="0.4">
      <c r="G61" s="61"/>
      <c r="J61" s="82" t="s">
        <v>71</v>
      </c>
      <c r="K61" s="82">
        <f>K60/$C$18</f>
        <v>1053.7048387096775</v>
      </c>
      <c r="M61" s="82" t="s">
        <v>69</v>
      </c>
      <c r="N61" s="82">
        <f>N60/$C$18</f>
        <v>0</v>
      </c>
      <c r="O61" s="61"/>
      <c r="S61" s="82" t="s">
        <v>65</v>
      </c>
      <c r="T61" s="82">
        <f>T60/$C$18</f>
        <v>0</v>
      </c>
    </row>
    <row r="62" spans="2:27" ht="15" thickBot="1" x14ac:dyDescent="0.4">
      <c r="H62" s="2"/>
      <c r="J62" s="82" t="s">
        <v>72</v>
      </c>
      <c r="K62" s="82">
        <f>ROUND(K61*$F$22*$C$18,2)</f>
        <v>20.13</v>
      </c>
      <c r="M62" s="82" t="s">
        <v>70</v>
      </c>
      <c r="N62" s="82">
        <f>IF(ROUND(N59,2)=0,0,N61*$F$22*$C$18)</f>
        <v>0</v>
      </c>
      <c r="S62" s="82" t="s">
        <v>64</v>
      </c>
      <c r="T62" s="82">
        <f>T61*$F$23*$C$18</f>
        <v>0</v>
      </c>
    </row>
    <row r="63" spans="2:27" x14ac:dyDescent="0.35">
      <c r="M63" s="61"/>
      <c r="N63" s="61"/>
    </row>
    <row r="64" spans="2:27" ht="15" thickBot="1" x14ac:dyDescent="0.4"/>
    <row r="65" spans="11:19" ht="15" thickBot="1" x14ac:dyDescent="0.4">
      <c r="M65" s="82">
        <f>K62+N62</f>
        <v>20.13</v>
      </c>
      <c r="P65" s="61">
        <f>N62-N68</f>
        <v>0</v>
      </c>
    </row>
    <row r="66" spans="11:19" ht="15" thickBot="1" x14ac:dyDescent="0.4">
      <c r="K66" s="61">
        <f>SUM(K29:K55)</f>
        <v>28414.949999999997</v>
      </c>
      <c r="N66" s="61">
        <f>SUM(N29:N55)</f>
        <v>0</v>
      </c>
      <c r="P66" s="61">
        <f>SUM(O56:O59)</f>
        <v>0</v>
      </c>
    </row>
    <row r="67" spans="11:19" ht="15" thickBot="1" x14ac:dyDescent="0.4">
      <c r="K67" s="82">
        <f>K66/$C$18</f>
        <v>916.61129032258054</v>
      </c>
      <c r="N67" s="82">
        <f>N66/$C$18</f>
        <v>0</v>
      </c>
      <c r="O67" s="61">
        <f>SUM(O43:O55)</f>
        <v>0</v>
      </c>
    </row>
    <row r="68" spans="11:19" ht="15" thickBot="1" x14ac:dyDescent="0.4">
      <c r="K68" s="82">
        <f>ROUND(K67*$F$22*$C$18,2)</f>
        <v>17.510000000000002</v>
      </c>
      <c r="M68">
        <v>25.48</v>
      </c>
      <c r="N68" s="82">
        <f>ROUND(N67*$F$22*$C$18,2)</f>
        <v>0</v>
      </c>
      <c r="O68">
        <v>17.440000000000001</v>
      </c>
    </row>
    <row r="69" spans="11:19" x14ac:dyDescent="0.35">
      <c r="M69" s="61"/>
      <c r="O69" s="61">
        <f>SUM(O67,O68)</f>
        <v>17.440000000000001</v>
      </c>
    </row>
    <row r="70" spans="11:19" x14ac:dyDescent="0.35">
      <c r="M70" s="61">
        <f>K68+N68</f>
        <v>17.510000000000002</v>
      </c>
      <c r="S70" s="61">
        <f>N62+L60</f>
        <v>20.11</v>
      </c>
    </row>
    <row r="72" spans="11:19" x14ac:dyDescent="0.35">
      <c r="M72" s="61">
        <f>M65-M68</f>
        <v>-5.3500000000000014</v>
      </c>
    </row>
    <row r="74" spans="11:19" x14ac:dyDescent="0.35">
      <c r="N74" s="61">
        <f>(K68+N68)-(SUM(L56:L59)+SUM(O56:O59))</f>
        <v>14.900000000000006</v>
      </c>
    </row>
    <row r="79" spans="11:19" x14ac:dyDescent="0.35">
      <c r="M79" s="61">
        <f>K29-D48</f>
        <v>1044</v>
      </c>
    </row>
    <row r="80" spans="11:19" x14ac:dyDescent="0.35">
      <c r="M80">
        <f>M79</f>
        <v>1044</v>
      </c>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6" t="s">
        <v>50</v>
      </c>
      <c r="F2" s="97"/>
    </row>
    <row r="3" spans="2:12" ht="15" thickBot="1" x14ac:dyDescent="0.4">
      <c r="B3" s="28" t="s">
        <v>1</v>
      </c>
      <c r="C3" s="37">
        <v>25</v>
      </c>
      <c r="E3" s="45" t="s">
        <v>24</v>
      </c>
      <c r="F3" s="46">
        <f>C17</f>
        <v>45107</v>
      </c>
    </row>
    <row r="4" spans="2:12" ht="15" thickBot="1" x14ac:dyDescent="0.4">
      <c r="B4"/>
      <c r="C4"/>
      <c r="E4" s="62" t="s">
        <v>25</v>
      </c>
      <c r="F4" s="62">
        <f>'May Statement'!F11</f>
        <v>1025</v>
      </c>
    </row>
    <row r="5" spans="2:12" ht="15" thickBot="1" x14ac:dyDescent="0.4">
      <c r="B5" s="29" t="s">
        <v>5</v>
      </c>
      <c r="C5" s="38">
        <v>45017</v>
      </c>
      <c r="E5" s="32" t="s">
        <v>10</v>
      </c>
      <c r="F5" s="33">
        <f>SUM(I11:I12)</f>
        <v>0</v>
      </c>
    </row>
    <row r="6" spans="2:12" x14ac:dyDescent="0.35">
      <c r="B6" s="30" t="s">
        <v>8</v>
      </c>
      <c r="C6" s="39">
        <v>45046</v>
      </c>
      <c r="E6" s="34" t="s">
        <v>26</v>
      </c>
      <c r="F6" s="35">
        <f>I59</f>
        <v>0</v>
      </c>
      <c r="H6" s="98" t="s">
        <v>40</v>
      </c>
      <c r="I6" s="99"/>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39.167203791780807</v>
      </c>
      <c r="L9" s="61"/>
    </row>
    <row r="10" spans="2:12" ht="15" thickBot="1" x14ac:dyDescent="0.4">
      <c r="B10" s="29" t="s">
        <v>12</v>
      </c>
      <c r="C10" s="38">
        <v>45047</v>
      </c>
      <c r="E10" s="4"/>
      <c r="F10" s="6"/>
      <c r="H10" s="116" t="s">
        <v>41</v>
      </c>
      <c r="I10" s="117"/>
      <c r="J10" s="118"/>
    </row>
    <row r="11" spans="2:12" ht="14.5" customHeight="1" x14ac:dyDescent="0.35">
      <c r="B11" s="30" t="s">
        <v>13</v>
      </c>
      <c r="C11" s="39">
        <f>C10+C12-1</f>
        <v>45077</v>
      </c>
      <c r="E11" s="55" t="s">
        <v>30</v>
      </c>
      <c r="F11" s="56">
        <f>F4+F6+F7+F8+F9-F5</f>
        <v>1064.1672037917808</v>
      </c>
      <c r="H11" s="72" t="s">
        <v>42</v>
      </c>
      <c r="I11" s="73">
        <f>SUM(F59:G59)</f>
        <v>0</v>
      </c>
      <c r="J11" s="94" t="s">
        <v>73</v>
      </c>
      <c r="K11" s="115"/>
    </row>
    <row r="12" spans="2:12" ht="15" thickBot="1" x14ac:dyDescent="0.4">
      <c r="B12" s="30" t="s">
        <v>14</v>
      </c>
      <c r="C12" s="40">
        <v>31</v>
      </c>
      <c r="E12" s="4"/>
      <c r="F12" s="6"/>
      <c r="H12" s="49" t="s">
        <v>43</v>
      </c>
      <c r="I12" s="50">
        <f>H59</f>
        <v>0</v>
      </c>
      <c r="J12" s="95"/>
      <c r="K12" s="115"/>
    </row>
    <row r="13" spans="2:12" ht="15" thickBot="1" x14ac:dyDescent="0.4">
      <c r="B13" s="31" t="s">
        <v>15</v>
      </c>
      <c r="C13" s="41">
        <v>45102</v>
      </c>
      <c r="E13" s="53" t="s">
        <v>31</v>
      </c>
      <c r="F13" s="54">
        <v>18000</v>
      </c>
    </row>
    <row r="14" spans="2:12" x14ac:dyDescent="0.35">
      <c r="E14" s="51" t="s">
        <v>32</v>
      </c>
      <c r="F14" s="52">
        <f>F13-F11</f>
        <v>16935.832796208218</v>
      </c>
      <c r="H14" s="98" t="s">
        <v>44</v>
      </c>
      <c r="I14" s="99"/>
    </row>
    <row r="15" spans="2:12" ht="29.5" thickBot="1" x14ac:dyDescent="0.4">
      <c r="B15"/>
      <c r="C15" s="3"/>
      <c r="E15" s="53" t="s">
        <v>33</v>
      </c>
      <c r="F15" s="54">
        <v>1200</v>
      </c>
      <c r="H15" s="7" t="s">
        <v>45</v>
      </c>
      <c r="I15" s="8">
        <f>K61</f>
        <v>39.167203791780807</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98" t="s">
        <v>51</v>
      </c>
      <c r="I18" s="99"/>
    </row>
    <row r="19" spans="2:23" ht="15" thickBot="1" x14ac:dyDescent="0.4">
      <c r="B19" s="31" t="s">
        <v>16</v>
      </c>
      <c r="C19" s="41">
        <f>C17+C3</f>
        <v>45132</v>
      </c>
      <c r="H19" s="7" t="s">
        <v>42</v>
      </c>
      <c r="I19" s="8">
        <f>'May Statement'!I19+'May Statement'!F6+'May Statement'!I7+'May Statement'!I15-'May Statement'!I11</f>
        <v>2100</v>
      </c>
    </row>
    <row r="20" spans="2:23" ht="15" thickBot="1" x14ac:dyDescent="0.4">
      <c r="H20" s="49" t="s">
        <v>43</v>
      </c>
      <c r="I20" s="50">
        <f>'May Statement'!I20+'May Statement'!F7+'May Statement'!I8+'May Statement'!I16-'May Statement'!I12</f>
        <v>0</v>
      </c>
      <c r="J20" s="5"/>
    </row>
    <row r="21" spans="2:23" x14ac:dyDescent="0.35">
      <c r="B21" s="98" t="s">
        <v>17</v>
      </c>
      <c r="C21" s="99"/>
      <c r="E21" s="98" t="s">
        <v>22</v>
      </c>
      <c r="F21" s="99"/>
      <c r="I21" s="62">
        <f>SUM(I19:I20)</f>
        <v>2100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2" t="s">
        <v>10</v>
      </c>
      <c r="E27" s="112"/>
      <c r="F27" s="112"/>
      <c r="G27" s="112"/>
      <c r="H27" s="112"/>
      <c r="I27" s="111" t="s">
        <v>47</v>
      </c>
      <c r="J27" s="111"/>
      <c r="K27" s="111"/>
      <c r="L27" s="111"/>
      <c r="M27" s="111"/>
      <c r="N27" s="111"/>
      <c r="O27" s="111"/>
      <c r="P27" s="111"/>
      <c r="Q27" s="111"/>
      <c r="R27" s="109" t="s">
        <v>48</v>
      </c>
      <c r="S27" s="109"/>
      <c r="T27" s="109"/>
      <c r="U27" s="109"/>
      <c r="V27" s="109"/>
      <c r="W27" s="110"/>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2100</v>
      </c>
      <c r="L29" s="12">
        <f>M29</f>
        <v>1.293945205479452</v>
      </c>
      <c r="M29" s="12">
        <f>K29*$F$22</f>
        <v>1.293945205479452</v>
      </c>
      <c r="N29" s="12">
        <f>I29+J29-G29</f>
        <v>0</v>
      </c>
      <c r="O29" s="12">
        <f>P29</f>
        <v>0</v>
      </c>
      <c r="P29" s="12">
        <f>N29*$F$22</f>
        <v>0</v>
      </c>
      <c r="Q29" s="12">
        <f>K29+N29</f>
        <v>2100</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2101.29</v>
      </c>
      <c r="L30" s="13">
        <f>M30-M29</f>
        <v>1.2947400575342467</v>
      </c>
      <c r="M30" s="13">
        <f>IF(K30=0,0,M29+K30*$F$22)</f>
        <v>2.5886852630136987</v>
      </c>
      <c r="N30" s="13">
        <f t="shared" ref="N30:N57" si="3">ROUND(N29+I30+J30+O29-G30,2)</f>
        <v>0</v>
      </c>
      <c r="O30" s="13">
        <f>P30-P29</f>
        <v>0</v>
      </c>
      <c r="P30" s="13">
        <f>ROUND(P29+N30*$F$22,2)</f>
        <v>0</v>
      </c>
      <c r="Q30" s="13">
        <f>ROUND(N30+K30-M29-P29,2)</f>
        <v>2100</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2102.58</v>
      </c>
      <c r="L31" s="13">
        <f t="shared" ref="L31:L57" si="7">M31-M30</f>
        <v>1.2955349095890409</v>
      </c>
      <c r="M31" s="13">
        <f t="shared" ref="M31:M57" si="8">IF(K31=0,0,M30+K31*$F$22)</f>
        <v>3.8842201726027397</v>
      </c>
      <c r="N31" s="13">
        <f t="shared" si="3"/>
        <v>0</v>
      </c>
      <c r="O31" s="13">
        <f t="shared" ref="O31:O57" si="9">P31-P30</f>
        <v>0</v>
      </c>
      <c r="P31" s="13">
        <f t="shared" ref="P31:P56" si="10">ROUND(P30+N31*$F$22,2)</f>
        <v>0</v>
      </c>
      <c r="Q31" s="13">
        <f t="shared" ref="Q31:Q57" si="11">ROUND(N31+K31-M30-P30,2)</f>
        <v>2099.9899999999998</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2103.88</v>
      </c>
      <c r="L32" s="13">
        <f t="shared" si="7"/>
        <v>1.2963359232876717</v>
      </c>
      <c r="M32" s="13">
        <f t="shared" si="8"/>
        <v>5.1805560958904113</v>
      </c>
      <c r="N32" s="13">
        <f t="shared" si="3"/>
        <v>0</v>
      </c>
      <c r="O32" s="13">
        <f t="shared" si="9"/>
        <v>0</v>
      </c>
      <c r="P32" s="13">
        <f t="shared" si="10"/>
        <v>0</v>
      </c>
      <c r="Q32" s="13">
        <f t="shared" si="11"/>
        <v>2100</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2105.1799999999998</v>
      </c>
      <c r="L33" s="13">
        <f t="shared" si="7"/>
        <v>1.2971369369863011</v>
      </c>
      <c r="M33" s="13">
        <f t="shared" si="8"/>
        <v>6.4776930328767124</v>
      </c>
      <c r="N33" s="13">
        <f t="shared" si="3"/>
        <v>0</v>
      </c>
      <c r="O33" s="13">
        <f t="shared" si="9"/>
        <v>0</v>
      </c>
      <c r="P33" s="13">
        <f t="shared" si="10"/>
        <v>0</v>
      </c>
      <c r="Q33" s="13">
        <f t="shared" si="11"/>
        <v>2100</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2106.48</v>
      </c>
      <c r="L34" s="13">
        <f t="shared" si="7"/>
        <v>1.2979379506849318</v>
      </c>
      <c r="M34" s="13">
        <f t="shared" si="8"/>
        <v>7.7756309835616442</v>
      </c>
      <c r="N34" s="13">
        <f t="shared" si="3"/>
        <v>0</v>
      </c>
      <c r="O34" s="13">
        <f t="shared" si="9"/>
        <v>0</v>
      </c>
      <c r="P34" s="13">
        <f t="shared" si="10"/>
        <v>0</v>
      </c>
      <c r="Q34" s="13">
        <f t="shared" si="11"/>
        <v>2100</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2107.7800000000002</v>
      </c>
      <c r="L35" s="13">
        <f t="shared" si="7"/>
        <v>1.2987389643835616</v>
      </c>
      <c r="M35" s="13">
        <f t="shared" si="8"/>
        <v>9.0743699479452058</v>
      </c>
      <c r="N35" s="13">
        <f t="shared" si="3"/>
        <v>0</v>
      </c>
      <c r="O35" s="13">
        <f t="shared" si="9"/>
        <v>0</v>
      </c>
      <c r="P35" s="13">
        <f t="shared" si="10"/>
        <v>0</v>
      </c>
      <c r="Q35" s="13">
        <f t="shared" si="11"/>
        <v>2100</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2109.08</v>
      </c>
      <c r="L36" s="13">
        <f t="shared" si="7"/>
        <v>1.2995399780821923</v>
      </c>
      <c r="M36" s="13">
        <f t="shared" si="8"/>
        <v>10.373909926027398</v>
      </c>
      <c r="N36" s="13">
        <f t="shared" si="3"/>
        <v>0</v>
      </c>
      <c r="O36" s="13">
        <f t="shared" si="9"/>
        <v>0</v>
      </c>
      <c r="P36" s="13">
        <f t="shared" si="10"/>
        <v>0</v>
      </c>
      <c r="Q36" s="13">
        <f t="shared" si="11"/>
        <v>2100.0100000000002</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2110.38</v>
      </c>
      <c r="L37" s="13">
        <f t="shared" si="7"/>
        <v>1.3003409917808213</v>
      </c>
      <c r="M37" s="13">
        <f t="shared" si="8"/>
        <v>11.674250917808219</v>
      </c>
      <c r="N37" s="13">
        <f t="shared" si="3"/>
        <v>0</v>
      </c>
      <c r="O37" s="13">
        <f t="shared" si="9"/>
        <v>0</v>
      </c>
      <c r="P37" s="13">
        <f t="shared" si="10"/>
        <v>0</v>
      </c>
      <c r="Q37" s="13">
        <f t="shared" si="11"/>
        <v>2100.0100000000002</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2111.6799999999998</v>
      </c>
      <c r="L38" s="13">
        <f t="shared" si="7"/>
        <v>1.301142005479452</v>
      </c>
      <c r="M38" s="13">
        <f t="shared" si="8"/>
        <v>12.975392923287671</v>
      </c>
      <c r="N38" s="13">
        <f t="shared" si="3"/>
        <v>0</v>
      </c>
      <c r="O38" s="13">
        <f t="shared" si="9"/>
        <v>0</v>
      </c>
      <c r="P38" s="13">
        <f t="shared" si="10"/>
        <v>0</v>
      </c>
      <c r="Q38" s="13">
        <f t="shared" si="11"/>
        <v>2100.0100000000002</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2112.98</v>
      </c>
      <c r="L39" s="13">
        <f t="shared" si="7"/>
        <v>1.3019430191780827</v>
      </c>
      <c r="M39" s="13">
        <f t="shared" si="8"/>
        <v>14.277335942465754</v>
      </c>
      <c r="N39" s="13">
        <f t="shared" si="3"/>
        <v>0</v>
      </c>
      <c r="O39" s="13">
        <f>P39-P38</f>
        <v>0</v>
      </c>
      <c r="P39" s="13">
        <f t="shared" si="10"/>
        <v>0</v>
      </c>
      <c r="Q39" s="13">
        <f t="shared" si="11"/>
        <v>2100</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2114.2800000000002</v>
      </c>
      <c r="L40" s="13">
        <f t="shared" si="7"/>
        <v>1.3027440328767117</v>
      </c>
      <c r="M40" s="13">
        <f t="shared" si="8"/>
        <v>15.580079975342466</v>
      </c>
      <c r="N40" s="13">
        <f t="shared" si="3"/>
        <v>0</v>
      </c>
      <c r="O40" s="13">
        <f t="shared" si="9"/>
        <v>0</v>
      </c>
      <c r="P40" s="13">
        <f t="shared" si="10"/>
        <v>0</v>
      </c>
      <c r="Q40" s="13">
        <f t="shared" si="11"/>
        <v>2100</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2115.58</v>
      </c>
      <c r="L41" s="13">
        <f t="shared" si="7"/>
        <v>1.3035450465753424</v>
      </c>
      <c r="M41" s="13">
        <f t="shared" si="8"/>
        <v>16.883625021917808</v>
      </c>
      <c r="N41" s="13">
        <f t="shared" si="3"/>
        <v>0</v>
      </c>
      <c r="O41" s="13">
        <f t="shared" si="9"/>
        <v>0</v>
      </c>
      <c r="P41" s="13">
        <f t="shared" si="10"/>
        <v>0</v>
      </c>
      <c r="Q41" s="13">
        <f t="shared" si="11"/>
        <v>2100</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2116.88</v>
      </c>
      <c r="L42" s="13">
        <f t="shared" si="7"/>
        <v>1.3043460602739714</v>
      </c>
      <c r="M42" s="13">
        <f t="shared" si="8"/>
        <v>18.18797108219178</v>
      </c>
      <c r="N42" s="13">
        <f t="shared" si="3"/>
        <v>0</v>
      </c>
      <c r="O42" s="13">
        <f t="shared" si="9"/>
        <v>0</v>
      </c>
      <c r="P42" s="13">
        <f t="shared" si="10"/>
        <v>0</v>
      </c>
      <c r="Q42" s="13">
        <f t="shared" si="11"/>
        <v>2100</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2118.1799999999998</v>
      </c>
      <c r="L43" s="13">
        <f t="shared" si="7"/>
        <v>1.3051470739726021</v>
      </c>
      <c r="M43" s="13">
        <f t="shared" si="8"/>
        <v>19.493118156164382</v>
      </c>
      <c r="N43" s="13">
        <f t="shared" si="3"/>
        <v>0</v>
      </c>
      <c r="O43" s="13">
        <f t="shared" si="9"/>
        <v>0</v>
      </c>
      <c r="P43" s="13">
        <f t="shared" si="10"/>
        <v>0</v>
      </c>
      <c r="Q43" s="13">
        <f t="shared" si="11"/>
        <v>2099.9899999999998</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2119.4899999999998</v>
      </c>
      <c r="L44" s="13">
        <f t="shared" si="7"/>
        <v>1.305954249315068</v>
      </c>
      <c r="M44" s="13">
        <f t="shared" si="8"/>
        <v>20.79907240547945</v>
      </c>
      <c r="N44" s="13">
        <f t="shared" si="3"/>
        <v>0</v>
      </c>
      <c r="O44" s="13">
        <f t="shared" si="9"/>
        <v>0</v>
      </c>
      <c r="P44" s="13">
        <f t="shared" si="10"/>
        <v>0</v>
      </c>
      <c r="Q44" s="13">
        <f t="shared" si="11"/>
        <v>2100</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2120.8000000000002</v>
      </c>
      <c r="L45" s="13">
        <f t="shared" si="7"/>
        <v>1.3067614246575339</v>
      </c>
      <c r="M45" s="13">
        <f t="shared" si="8"/>
        <v>22.105833830136984</v>
      </c>
      <c r="N45" s="13">
        <f t="shared" si="3"/>
        <v>0</v>
      </c>
      <c r="O45" s="13">
        <f t="shared" si="9"/>
        <v>0</v>
      </c>
      <c r="P45" s="13">
        <f t="shared" si="10"/>
        <v>0</v>
      </c>
      <c r="Q45" s="13">
        <f t="shared" si="11"/>
        <v>2100</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2122.11</v>
      </c>
      <c r="L46" s="13">
        <f t="shared" si="7"/>
        <v>1.3075685999999997</v>
      </c>
      <c r="M46" s="13">
        <f t="shared" si="8"/>
        <v>23.413402430136983</v>
      </c>
      <c r="N46" s="13">
        <f t="shared" si="3"/>
        <v>0</v>
      </c>
      <c r="O46" s="13">
        <f t="shared" si="9"/>
        <v>0</v>
      </c>
      <c r="P46" s="13">
        <f t="shared" si="10"/>
        <v>0</v>
      </c>
      <c r="Q46" s="13">
        <f t="shared" si="11"/>
        <v>2100</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2123.42</v>
      </c>
      <c r="L47" s="13">
        <f t="shared" si="7"/>
        <v>1.3083757753424656</v>
      </c>
      <c r="M47" s="13">
        <f t="shared" si="8"/>
        <v>24.721778205479449</v>
      </c>
      <c r="N47" s="13">
        <f t="shared" si="3"/>
        <v>0</v>
      </c>
      <c r="O47" s="13">
        <f t="shared" si="9"/>
        <v>0</v>
      </c>
      <c r="P47" s="13">
        <f t="shared" si="10"/>
        <v>0</v>
      </c>
      <c r="Q47" s="13">
        <f t="shared" si="11"/>
        <v>2100.0100000000002</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2124.73</v>
      </c>
      <c r="L48" s="13">
        <f t="shared" si="7"/>
        <v>1.3091829506849315</v>
      </c>
      <c r="M48" s="13">
        <f t="shared" si="8"/>
        <v>26.030961156164381</v>
      </c>
      <c r="N48" s="13">
        <f t="shared" si="3"/>
        <v>0</v>
      </c>
      <c r="O48" s="13">
        <f t="shared" si="9"/>
        <v>0</v>
      </c>
      <c r="P48" s="13">
        <f t="shared" si="10"/>
        <v>0</v>
      </c>
      <c r="Q48" s="13">
        <f t="shared" si="11"/>
        <v>2100.0100000000002</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2126.04</v>
      </c>
      <c r="L49" s="13">
        <f t="shared" si="7"/>
        <v>1.3099901260273974</v>
      </c>
      <c r="M49" s="13">
        <f t="shared" si="8"/>
        <v>27.340951282191778</v>
      </c>
      <c r="N49" s="13">
        <f t="shared" si="3"/>
        <v>0</v>
      </c>
      <c r="O49" s="13">
        <f t="shared" si="9"/>
        <v>0</v>
      </c>
      <c r="P49" s="13">
        <f t="shared" si="10"/>
        <v>0</v>
      </c>
      <c r="Q49" s="13">
        <f t="shared" si="11"/>
        <v>2100.0100000000002</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2127.35</v>
      </c>
      <c r="L50" s="13">
        <f t="shared" si="7"/>
        <v>1.3107973013698633</v>
      </c>
      <c r="M50" s="13">
        <f t="shared" si="8"/>
        <v>28.651748583561641</v>
      </c>
      <c r="N50" s="13">
        <f t="shared" si="3"/>
        <v>0</v>
      </c>
      <c r="O50" s="13">
        <f t="shared" si="9"/>
        <v>0</v>
      </c>
      <c r="P50" s="13">
        <f t="shared" si="10"/>
        <v>0</v>
      </c>
      <c r="Q50" s="13">
        <f t="shared" si="11"/>
        <v>2100.0100000000002</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2128.66</v>
      </c>
      <c r="L51" s="13">
        <f t="shared" si="7"/>
        <v>1.3116044767123292</v>
      </c>
      <c r="M51" s="13">
        <f t="shared" si="8"/>
        <v>29.96335306027397</v>
      </c>
      <c r="N51" s="13">
        <f t="shared" si="3"/>
        <v>0</v>
      </c>
      <c r="O51" s="13">
        <f t="shared" si="9"/>
        <v>0</v>
      </c>
      <c r="P51" s="13">
        <f t="shared" si="10"/>
        <v>0</v>
      </c>
      <c r="Q51" s="13">
        <f t="shared" si="11"/>
        <v>2100.0100000000002</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2129.9699999999998</v>
      </c>
      <c r="L52" s="13">
        <f t="shared" si="7"/>
        <v>1.312411652054795</v>
      </c>
      <c r="M52" s="13">
        <f t="shared" si="8"/>
        <v>31.275764712328765</v>
      </c>
      <c r="N52" s="13">
        <f>ROUND(N51+I52+J52+O51-G52,2)</f>
        <v>0</v>
      </c>
      <c r="O52" s="13">
        <f t="shared" si="9"/>
        <v>0</v>
      </c>
      <c r="P52" s="13">
        <f t="shared" si="10"/>
        <v>0</v>
      </c>
      <c r="Q52" s="13">
        <f t="shared" si="11"/>
        <v>2100.0100000000002</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2131.2800000000002</v>
      </c>
      <c r="L53" s="13">
        <f t="shared" si="7"/>
        <v>1.3132188273972574</v>
      </c>
      <c r="M53" s="13">
        <f t="shared" si="8"/>
        <v>32.588983539726023</v>
      </c>
      <c r="N53" s="13">
        <f t="shared" si="3"/>
        <v>0</v>
      </c>
      <c r="O53" s="13">
        <f t="shared" si="9"/>
        <v>0</v>
      </c>
      <c r="P53" s="13">
        <f t="shared" si="10"/>
        <v>0</v>
      </c>
      <c r="Q53" s="13">
        <f t="shared" si="11"/>
        <v>2100</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2132.59</v>
      </c>
      <c r="L54" s="13">
        <f t="shared" si="7"/>
        <v>1.3140260027397233</v>
      </c>
      <c r="M54" s="13">
        <f t="shared" si="8"/>
        <v>33.903009542465746</v>
      </c>
      <c r="N54" s="13">
        <f t="shared" si="3"/>
        <v>0</v>
      </c>
      <c r="O54" s="13">
        <f t="shared" si="9"/>
        <v>0</v>
      </c>
      <c r="P54" s="13">
        <f>ROUND(P53+N54*$F$22,2)</f>
        <v>0</v>
      </c>
      <c r="Q54" s="13">
        <f t="shared" si="11"/>
        <v>2100</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2133.9</v>
      </c>
      <c r="L55" s="13">
        <f t="shared" si="7"/>
        <v>1.3148331780821891</v>
      </c>
      <c r="M55" s="13">
        <f t="shared" si="8"/>
        <v>35.217842720547935</v>
      </c>
      <c r="N55" s="13">
        <f t="shared" si="3"/>
        <v>0</v>
      </c>
      <c r="O55" s="13">
        <f t="shared" si="9"/>
        <v>0</v>
      </c>
      <c r="P55" s="13">
        <f t="shared" si="10"/>
        <v>0</v>
      </c>
      <c r="Q55" s="13">
        <f t="shared" si="11"/>
        <v>2100</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2135.21</v>
      </c>
      <c r="L56" s="13">
        <f t="shared" si="7"/>
        <v>1.315640353424655</v>
      </c>
      <c r="M56" s="13">
        <f t="shared" si="8"/>
        <v>36.53348307397259</v>
      </c>
      <c r="N56" s="13">
        <f t="shared" si="3"/>
        <v>0</v>
      </c>
      <c r="O56" s="13">
        <f t="shared" si="9"/>
        <v>0</v>
      </c>
      <c r="P56" s="13">
        <f t="shared" si="10"/>
        <v>0</v>
      </c>
      <c r="Q56" s="13">
        <f t="shared" si="11"/>
        <v>2099.9899999999998</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2136.5300000000002</v>
      </c>
      <c r="L57" s="13">
        <f t="shared" si="7"/>
        <v>1.3164536904109596</v>
      </c>
      <c r="M57" s="13">
        <f t="shared" si="8"/>
        <v>37.84993676438355</v>
      </c>
      <c r="N57" s="13">
        <f t="shared" si="3"/>
        <v>0</v>
      </c>
      <c r="O57" s="13">
        <f t="shared" si="9"/>
        <v>0</v>
      </c>
      <c r="P57" s="13">
        <f>ROUND(P56+N57*$F$22,2)</f>
        <v>0</v>
      </c>
      <c r="Q57" s="13">
        <f t="shared" si="11"/>
        <v>2100</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2137.85</v>
      </c>
      <c r="L58" s="13">
        <f t="shared" ref="L58" si="18">M58-M57</f>
        <v>1.3172670273972571</v>
      </c>
      <c r="M58" s="13">
        <f t="shared" ref="M58" si="19">IF(K58=0,0,M57+K58*$F$22)</f>
        <v>39.167203791780807</v>
      </c>
      <c r="N58" s="13">
        <f t="shared" ref="N58" si="20">ROUND(N57+I58+J58+O57-G58,2)</f>
        <v>0</v>
      </c>
      <c r="O58" s="13">
        <f t="shared" ref="O58" si="21">P58-P57</f>
        <v>0</v>
      </c>
      <c r="P58" s="13">
        <f>ROUND(P57+N58*$F$22,2)</f>
        <v>0</v>
      </c>
      <c r="Q58" s="13">
        <f t="shared" ref="Q58" si="22">ROUND(N58+K58-M57-P57,2)</f>
        <v>2100</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13" t="s">
        <v>49</v>
      </c>
      <c r="C59" s="114"/>
      <c r="D59" s="67">
        <f t="shared" ref="D59:L59" si="27">SUM(D29:D58)</f>
        <v>0</v>
      </c>
      <c r="E59" s="21">
        <f t="shared" si="27"/>
        <v>0</v>
      </c>
      <c r="F59" s="21">
        <f t="shared" si="27"/>
        <v>0</v>
      </c>
      <c r="G59" s="21">
        <f t="shared" si="27"/>
        <v>0</v>
      </c>
      <c r="H59" s="22">
        <f t="shared" si="27"/>
        <v>0</v>
      </c>
      <c r="I59" s="20">
        <f t="shared" si="27"/>
        <v>0</v>
      </c>
      <c r="J59" s="21">
        <f t="shared" si="27"/>
        <v>0</v>
      </c>
      <c r="K59" s="21">
        <f t="shared" si="27"/>
        <v>63566.159999999996</v>
      </c>
      <c r="L59" s="74">
        <f t="shared" si="27"/>
        <v>39.167203791780807</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2118.8719999999998</v>
      </c>
      <c r="M60" s="82" t="s">
        <v>69</v>
      </c>
      <c r="N60" s="82">
        <f>N59/$C$18</f>
        <v>0</v>
      </c>
      <c r="O60" s="61"/>
      <c r="S60" s="82" t="s">
        <v>65</v>
      </c>
      <c r="T60" s="82">
        <f>T59/$C$18</f>
        <v>0</v>
      </c>
    </row>
    <row r="61" spans="2:23" ht="15" thickBot="1" x14ac:dyDescent="0.4">
      <c r="H61" s="2"/>
      <c r="J61" s="82" t="s">
        <v>72</v>
      </c>
      <c r="K61" s="82">
        <f>M58</f>
        <v>39.167203791780807</v>
      </c>
      <c r="M61" s="82" t="s">
        <v>70</v>
      </c>
      <c r="N61" s="82">
        <f>IF(ROUND(N58,2)=0,0,N60*$F$22*$C$18)</f>
        <v>0</v>
      </c>
      <c r="S61" s="82" t="s">
        <v>64</v>
      </c>
      <c r="T61" s="82">
        <f>T60*$F$23*$C$18</f>
        <v>0</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2025-03-03T05:49:23Z</dcterms:modified>
</cp:coreProperties>
</file>