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2A261A91-D239-454D-AEBB-9F5C9117938F}"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 i="13" l="1"/>
  <c r="M80" i="13" s="1"/>
  <c r="M29" i="13"/>
  <c r="L29" i="13" s="1"/>
  <c r="F4" i="15"/>
  <c r="I19" i="15"/>
  <c r="C10" i="13"/>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P52" i="16" l="1"/>
  <c r="K29" i="16"/>
  <c r="U52" i="16"/>
  <c r="W52" i="13"/>
  <c r="V52" i="13"/>
  <c r="Q29" i="16" l="1"/>
  <c r="M29" i="16"/>
  <c r="L29" i="16" s="1"/>
  <c r="K30" i="16" s="1"/>
  <c r="M30" i="16" s="1"/>
  <c r="L30" i="16" s="1"/>
  <c r="O52" i="16"/>
  <c r="H53" i="16"/>
  <c r="T53" i="16" s="1"/>
  <c r="U52" i="13"/>
  <c r="Q30" i="16" l="1"/>
  <c r="K31" i="16"/>
  <c r="Q31" i="16" s="1"/>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H29" i="15" l="1"/>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F32" i="15"/>
  <c r="G32" i="15" s="1"/>
  <c r="H31" i="14"/>
  <c r="G29" i="15"/>
  <c r="G30" i="15" l="1"/>
  <c r="F33" i="15"/>
  <c r="N29" i="15"/>
  <c r="T31" i="14"/>
  <c r="W31" i="14" l="1"/>
  <c r="V31" i="14"/>
  <c r="F34" i="15"/>
  <c r="F35" i="15" s="1"/>
  <c r="G35" i="15" s="1"/>
  <c r="G33" i="15"/>
  <c r="P29" i="15"/>
  <c r="O29" i="15" l="1"/>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K29" i="15" s="1"/>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Q31" i="15"/>
  <c r="K32" i="15"/>
  <c r="O38" i="15"/>
  <c r="N39" i="15" s="1"/>
  <c r="G56" i="15"/>
  <c r="F57" i="15"/>
  <c r="M32" i="15" l="1"/>
  <c r="L32" i="15" s="1"/>
  <c r="Q32" i="15"/>
  <c r="K33"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Q36" i="15"/>
  <c r="K37" i="15"/>
  <c r="O41" i="15"/>
  <c r="N42" i="15" s="1"/>
  <c r="T39" i="14"/>
  <c r="P42" i="15" l="1"/>
  <c r="M37" i="15"/>
  <c r="L37" i="15" s="1"/>
  <c r="K38" i="15" s="1"/>
  <c r="Q37" i="15"/>
  <c r="W39" i="14"/>
  <c r="V39" i="14"/>
  <c r="O42" i="15" l="1"/>
  <c r="N43" i="15" s="1"/>
  <c r="P43" i="15" s="1"/>
  <c r="U39" i="14"/>
  <c r="M38" i="15"/>
  <c r="L38" i="15" s="1"/>
  <c r="K39" i="15"/>
  <c r="Q38" i="15"/>
  <c r="H40" i="14" l="1"/>
  <c r="O43" i="15"/>
  <c r="N44" i="15" s="1"/>
  <c r="M39" i="15"/>
  <c r="L39" i="15" s="1"/>
  <c r="K40" i="15"/>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c r="Q43" i="15"/>
  <c r="P46" i="15"/>
  <c r="H41" i="14"/>
  <c r="T41" i="14" l="1"/>
  <c r="V41" i="14" s="1"/>
  <c r="O46" i="15"/>
  <c r="N47" i="15" s="1"/>
  <c r="M44" i="15"/>
  <c r="L44" i="15" s="1"/>
  <c r="K45" i="15"/>
  <c r="Q44" i="15"/>
  <c r="W41" i="14" l="1"/>
  <c r="M45" i="15"/>
  <c r="L45" i="15" s="1"/>
  <c r="K46" i="15"/>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c r="O51" i="15"/>
  <c r="N52" i="15" s="1"/>
  <c r="P52" i="15" s="1"/>
  <c r="W44" i="14" l="1"/>
  <c r="O52" i="15"/>
  <c r="N53" i="15" s="1"/>
  <c r="M54" i="15"/>
  <c r="L54" i="15" s="1"/>
  <c r="K55" i="15" s="1"/>
  <c r="Q52" i="15"/>
  <c r="U44" i="14"/>
  <c r="M55" i="15" l="1"/>
  <c r="L55" i="15" s="1"/>
  <c r="K56" i="15" s="1"/>
  <c r="H45" i="14"/>
  <c r="Q53" i="15"/>
  <c r="P53" i="15"/>
  <c r="M56" i="15" l="1"/>
  <c r="L56" i="15" s="1"/>
  <c r="K57" i="15"/>
  <c r="T45" i="14"/>
  <c r="O53" i="15"/>
  <c r="N54" i="15" s="1"/>
  <c r="Q54" i="15" l="1"/>
  <c r="P54" i="15"/>
  <c r="W45" i="14"/>
  <c r="V45" i="14"/>
  <c r="M57" i="15"/>
  <c r="L57" i="15" s="1"/>
  <c r="K58" i="15" s="1"/>
  <c r="M58" i="15" l="1"/>
  <c r="K59" i="15"/>
  <c r="K60" i="15" s="1"/>
  <c r="U45" i="14"/>
  <c r="O54" i="15"/>
  <c r="N55" i="15" s="1"/>
  <c r="Q55" i="15" l="1"/>
  <c r="H46" i="14"/>
  <c r="K61" i="15"/>
  <c r="I15" i="15" s="1"/>
  <c r="L58" i="15"/>
  <c r="L59" i="15" s="1"/>
  <c r="P55" i="15"/>
  <c r="F9" i="15" l="1"/>
  <c r="I19" i="13"/>
  <c r="T46" i="14"/>
  <c r="O55" i="15"/>
  <c r="N56" i="15" s="1"/>
  <c r="P56" i="15" s="1"/>
  <c r="F29" i="13" l="1"/>
  <c r="I21" i="13"/>
  <c r="W46" i="14"/>
  <c r="V46" i="14"/>
  <c r="O56" i="15"/>
  <c r="N57" i="15" s="1"/>
  <c r="Q56" i="15"/>
  <c r="F30" i="13" l="1"/>
  <c r="G30" i="13" s="1"/>
  <c r="G29" i="13"/>
  <c r="N29" i="13" s="1"/>
  <c r="Q57" i="15"/>
  <c r="P57" i="15"/>
  <c r="U46" i="14"/>
  <c r="F31" i="13" l="1"/>
  <c r="G31" i="13" s="1"/>
  <c r="P29" i="13"/>
  <c r="H47" i="14"/>
  <c r="T47" i="14" s="1"/>
  <c r="O57" i="15"/>
  <c r="N58" i="15" s="1"/>
  <c r="P58" i="15" s="1"/>
  <c r="O58" i="15" s="1"/>
  <c r="O59" i="15" s="1"/>
  <c r="F32" i="13" l="1"/>
  <c r="G32" i="13" s="1"/>
  <c r="O29" i="13"/>
  <c r="N30" i="13" s="1"/>
  <c r="P30" i="13" s="1"/>
  <c r="O30" i="13" s="1"/>
  <c r="W47" i="14"/>
  <c r="V47" i="14"/>
  <c r="Q58" i="15"/>
  <c r="N59" i="15"/>
  <c r="N60" i="15" s="1"/>
  <c r="N61" i="15" s="1"/>
  <c r="F33" i="13" l="1"/>
  <c r="G33" i="13" s="1"/>
  <c r="F34" i="13"/>
  <c r="G34" i="13" s="1"/>
  <c r="N31" i="13"/>
  <c r="U47" i="14"/>
  <c r="F35" i="13" l="1"/>
  <c r="P31" i="13"/>
  <c r="H48" i="14"/>
  <c r="G35" i="13" l="1"/>
  <c r="F36" i="13"/>
  <c r="G36" i="13" s="1"/>
  <c r="O31" i="13"/>
  <c r="N32" i="13" s="1"/>
  <c r="P32" i="13" s="1"/>
  <c r="O32" i="13" s="1"/>
  <c r="T48" i="14"/>
  <c r="F37" i="13" l="1"/>
  <c r="G37" i="13" s="1"/>
  <c r="N33" i="13"/>
  <c r="W48" i="14"/>
  <c r="V48" i="14"/>
  <c r="F38" i="13" l="1"/>
  <c r="G38" i="13" s="1"/>
  <c r="P33" i="13"/>
  <c r="U48" i="14"/>
  <c r="F39" i="13" l="1"/>
  <c r="G39" i="13" s="1"/>
  <c r="O33" i="13"/>
  <c r="N34" i="13" s="1"/>
  <c r="P34" i="13" s="1"/>
  <c r="H49" i="14"/>
  <c r="F40" i="13" l="1"/>
  <c r="F41" i="13" s="1"/>
  <c r="G41" i="13" s="1"/>
  <c r="O34" i="13"/>
  <c r="N35" i="13" s="1"/>
  <c r="T49" i="14"/>
  <c r="G40" i="13" l="1"/>
  <c r="F42" i="13"/>
  <c r="F43" i="13" s="1"/>
  <c r="F44" i="13" s="1"/>
  <c r="G44" i="13" s="1"/>
  <c r="P35" i="13"/>
  <c r="W49" i="14"/>
  <c r="V49" i="14"/>
  <c r="G42" i="13" l="1"/>
  <c r="G43" i="13"/>
  <c r="F45" i="13"/>
  <c r="G45" i="13" s="1"/>
  <c r="O35" i="13"/>
  <c r="N36" i="13" s="1"/>
  <c r="U49" i="14"/>
  <c r="F46" i="13" l="1"/>
  <c r="P36" i="13"/>
  <c r="H50" i="14"/>
  <c r="G46" i="13" l="1"/>
  <c r="F47" i="13"/>
  <c r="G47" i="13" s="1"/>
  <c r="O36" i="13"/>
  <c r="N37" i="13" s="1"/>
  <c r="P37" i="13" s="1"/>
  <c r="T50" i="14"/>
  <c r="F48" i="13" l="1"/>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M33" i="13" s="1"/>
  <c r="U52" i="14"/>
  <c r="F58" i="13" l="1"/>
  <c r="L33" i="13"/>
  <c r="K34" i="13" s="1"/>
  <c r="M34" i="13" s="1"/>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N66" i="13" s="1"/>
  <c r="N67" i="13" s="1"/>
  <c r="N68" i="13" s="1"/>
  <c r="L51" i="13"/>
  <c r="K52" i="13" s="1"/>
  <c r="M52" i="13" s="1"/>
  <c r="Q51" i="13"/>
  <c r="H58" i="14"/>
  <c r="L52" i="13" l="1"/>
  <c r="K53" i="13" s="1"/>
  <c r="M53" i="13" s="1"/>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L55" i="13" s="1"/>
  <c r="K56" i="13" s="1"/>
  <c r="M56" i="13" s="1"/>
  <c r="K66" i="13"/>
  <c r="K67" i="13" s="1"/>
  <c r="K68" i="13" s="1"/>
  <c r="M70" i="13" s="1"/>
  <c r="N57" i="13"/>
  <c r="P57" i="13" s="1"/>
  <c r="Q55" i="13"/>
  <c r="O57" i="13" l="1"/>
  <c r="Q56" i="13"/>
  <c r="N58" i="13" l="1"/>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<sst xmlns="http://schemas.openxmlformats.org/spreadsheetml/2006/main" count="486" uniqueCount="74">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</sst>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17">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94" t="s">
        <v>50</v>
      </c>
      <c r="F2" s="95"/>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96" t="s">
        <v>40</v>
      </c>
      <c r="I6" s="97"/>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6" t="s">
        <v>41</v>
      </c>
      <c r="I10" s="97"/>
    </row>
    <row r="11" spans="2:12" x14ac:dyDescent="0.35">
      <c r="B11" s="30" t="s">
        <v>13</v>
      </c>
      <c r="C11" s="39">
        <v>44926</v>
      </c>
      <c r="E11" s="55" t="s">
        <v>30</v>
      </c>
      <c r="F11" s="56">
        <f>F4+F6+F7+F8+F9-F5</f>
        <v>0</v>
      </c>
      <c r="G11" s="61"/>
      <c r="H11" s="7" t="s">
        <v>42</v>
      </c>
      <c r="I11" s="8">
        <f>SUM(F60:G60)</f>
        <v>0</v>
      </c>
      <c r="J11" s="92" t="s">
        <v>73</v>
      </c>
    </row>
    <row r="12" spans="2:12" ht="15" thickBot="1" x14ac:dyDescent="0.4">
      <c r="B12" s="30" t="s">
        <v>14</v>
      </c>
      <c r="C12" s="40">
        <v>31</v>
      </c>
      <c r="E12" s="4"/>
      <c r="F12" s="6"/>
      <c r="H12" s="49" t="s">
        <v>43</v>
      </c>
      <c r="I12" s="50">
        <f>H60</f>
        <v>0</v>
      </c>
      <c r="J12" s="93"/>
    </row>
    <row r="13" spans="2:12" ht="15" thickBot="1" x14ac:dyDescent="0.4">
      <c r="B13" s="31" t="s">
        <v>15</v>
      </c>
      <c r="C13" s="41">
        <v>44951</v>
      </c>
      <c r="E13" s="53" t="s">
        <v>31</v>
      </c>
      <c r="F13" s="54">
        <v>5000</v>
      </c>
    </row>
    <row r="14" spans="2:12" x14ac:dyDescent="0.35">
      <c r="E14" s="51" t="s">
        <v>32</v>
      </c>
      <c r="F14" s="52">
        <f>F13-F11</f>
        <v>5000</v>
      </c>
      <c r="H14" s="96" t="s">
        <v>44</v>
      </c>
      <c r="I14" s="97"/>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6" t="s">
        <v>51</v>
      </c>
      <c r="I18" s="97"/>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6" t="s">
        <v>17</v>
      </c>
      <c r="C21" s="97"/>
      <c r="E21" s="96" t="s">
        <v>22</v>
      </c>
      <c r="F21" s="97"/>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98" t="s">
        <v>10</v>
      </c>
      <c r="E27" s="99"/>
      <c r="F27" s="99"/>
      <c r="G27" s="99"/>
      <c r="H27" s="100"/>
      <c r="I27" s="104" t="s">
        <v>47</v>
      </c>
      <c r="J27" s="105"/>
      <c r="K27" s="105"/>
      <c r="L27" s="105"/>
      <c r="M27" s="105"/>
      <c r="N27" s="105"/>
      <c r="O27" s="105"/>
      <c r="P27" s="105"/>
      <c r="Q27" s="106"/>
      <c r="R27" s="101" t="s">
        <v>48</v>
      </c>
      <c r="S27" s="102"/>
      <c r="T27" s="102"/>
      <c r="U27" s="102"/>
      <c r="V27" s="102"/>
      <c r="W27" s="103"/>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94" t="s">
        <v>50</v>
      </c>
      <c r="F2" s="95"/>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96" t="s">
        <v>40</v>
      </c>
      <c r="I6" s="97"/>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14" t="s">
        <v>41</v>
      </c>
      <c r="I10" s="115"/>
      <c r="J10" s="116"/>
    </row>
    <row r="11" spans="2:13" ht="14.5" customHeight="1" x14ac:dyDescent="0.35">
      <c r="B11" s="30" t="s">
        <v>13</v>
      </c>
      <c r="C11" s="39">
        <f>C10+C12-1</f>
        <v>44957</v>
      </c>
      <c r="E11" s="55" t="s">
        <v>30</v>
      </c>
      <c r="F11" s="56">
        <f>F4+F6+F7+F8+F9-F5</f>
        <v>0</v>
      </c>
      <c r="H11" s="72" t="s">
        <v>42</v>
      </c>
      <c r="I11" s="73">
        <f>SUM(F57:G57)</f>
        <v>0</v>
      </c>
      <c r="J11" s="92" t="s">
        <v>73</v>
      </c>
      <c r="K11" s="113"/>
    </row>
    <row r="12" spans="2:13" ht="15" thickBot="1" x14ac:dyDescent="0.4">
      <c r="B12" s="30" t="s">
        <v>14</v>
      </c>
      <c r="C12" s="40">
        <v>31</v>
      </c>
      <c r="E12" s="4"/>
      <c r="F12" s="6"/>
      <c r="H12" s="49" t="s">
        <v>43</v>
      </c>
      <c r="I12" s="50">
        <f>H57</f>
        <v>0</v>
      </c>
      <c r="J12" s="93"/>
      <c r="K12" s="113"/>
    </row>
    <row r="13" spans="2:13" ht="15" thickBot="1" x14ac:dyDescent="0.4">
      <c r="B13" s="31" t="s">
        <v>15</v>
      </c>
      <c r="C13" s="41">
        <f>C11+C3</f>
        <v>44982</v>
      </c>
      <c r="E13" s="53" t="s">
        <v>31</v>
      </c>
      <c r="F13" s="91">
        <v>2895.94</v>
      </c>
    </row>
    <row r="14" spans="2:13" x14ac:dyDescent="0.35">
      <c r="E14" s="51" t="s">
        <v>32</v>
      </c>
      <c r="F14" s="52">
        <f>F13-F11</f>
        <v>2895.94</v>
      </c>
      <c r="H14" s="96" t="s">
        <v>44</v>
      </c>
      <c r="I14" s="97"/>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6" t="s">
        <v>51</v>
      </c>
      <c r="I18" s="97"/>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11" t="s">
        <v>49</v>
      </c>
      <c r="C57" s="112"/>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A27"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96" t="s">
        <v>40</v>
      </c>
      <c r="I6" s="97"/>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14" t="s">
        <v>41</v>
      </c>
      <c r="I10" s="115"/>
      <c r="J10" s="116"/>
    </row>
    <row r="11" spans="2:12" ht="14.5" customHeight="1" x14ac:dyDescent="0.35">
      <c r="B11" s="30" t="s">
        <v>13</v>
      </c>
      <c r="C11" s="39">
        <f>C10+C12-1</f>
        <v>44985</v>
      </c>
      <c r="E11" s="55" t="s">
        <v>30</v>
      </c>
      <c r="F11" s="56">
        <f>F4+F6+F7+F8+F9-F5</f>
        <v>0</v>
      </c>
      <c r="H11" s="72" t="s">
        <v>42</v>
      </c>
      <c r="I11" s="73">
        <f>SUM(F60:G60)</f>
        <v>0</v>
      </c>
      <c r="J11" s="92" t="s">
        <v>73</v>
      </c>
      <c r="K11" s="113"/>
    </row>
    <row r="12" spans="2:12" ht="15" thickBot="1" x14ac:dyDescent="0.4">
      <c r="B12" s="30" t="s">
        <v>14</v>
      </c>
      <c r="C12" s="40">
        <v>28</v>
      </c>
      <c r="E12" s="4"/>
      <c r="F12" s="6"/>
      <c r="H12" s="49" t="s">
        <v>43</v>
      </c>
      <c r="I12" s="50">
        <f>H60</f>
        <v>0</v>
      </c>
      <c r="J12" s="93"/>
      <c r="K12" s="113"/>
    </row>
    <row r="13" spans="2:12" ht="15" thickBot="1" x14ac:dyDescent="0.4">
      <c r="B13" s="31" t="s">
        <v>15</v>
      </c>
      <c r="C13" s="41">
        <v>45010</v>
      </c>
      <c r="E13" s="53" t="s">
        <v>31</v>
      </c>
      <c r="F13" s="54">
        <v>0</v>
      </c>
    </row>
    <row r="14" spans="2:12" x14ac:dyDescent="0.35">
      <c r="E14" s="51" t="s">
        <v>32</v>
      </c>
      <c r="F14" s="52">
        <f>F13-F11</f>
        <v>0</v>
      </c>
      <c r="H14" s="96" t="s">
        <v>44</v>
      </c>
      <c r="I14" s="97"/>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6" t="s">
        <v>51</v>
      </c>
      <c r="I18" s="97"/>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11" t="s">
        <v>49</v>
      </c>
      <c r="C60" s="112"/>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2"/>
  <sheetViews>
    <sheetView topLeftCell="C5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96" t="s">
        <v>40</v>
      </c>
      <c r="I6" s="97"/>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44986</v>
      </c>
      <c r="E10" s="4"/>
      <c r="F10" s="6"/>
      <c r="H10" s="114" t="s">
        <v>41</v>
      </c>
      <c r="I10" s="115"/>
      <c r="J10" s="116"/>
    </row>
    <row r="11" spans="2:12" ht="14.5" customHeight="1" x14ac:dyDescent="0.35">
      <c r="B11" s="30" t="s">
        <v>13</v>
      </c>
      <c r="C11" s="39">
        <f>C10+C12-1</f>
        <v>45016</v>
      </c>
      <c r="E11" s="55" t="s">
        <v>30</v>
      </c>
      <c r="F11" s="56">
        <f>F4+F6+F7+F8+F9-F5</f>
        <v>1044</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45041</v>
      </c>
      <c r="E13" s="53" t="s">
        <v>31</v>
      </c>
      <c r="F13" s="54">
        <v>50000</v>
      </c>
    </row>
    <row r="14" spans="2:12" x14ac:dyDescent="0.35">
      <c r="E14" s="51" t="s">
        <v>32</v>
      </c>
      <c r="F14" s="52">
        <f>F13-F11</f>
        <v>48956</v>
      </c>
      <c r="H14" s="96" t="s">
        <v>44</v>
      </c>
      <c r="I14" s="97"/>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96" t="s">
        <v>51</v>
      </c>
      <c r="I18" s="97"/>
    </row>
    <row r="19" spans="2:23" ht="15" thickBot="1" x14ac:dyDescent="0.4">
      <c r="B19" s="31" t="s">
        <v>16</v>
      </c>
      <c r="C19" s="41">
        <f>C17+C3</f>
        <v>45071</v>
      </c>
      <c r="H19" s="7" t="s">
        <v>42</v>
      </c>
      <c r="I19" s="8">
        <f>'March Statement'!I19+'March Statement'!F6+'March Statement'!I7+'March Statement'!I15-'March Statement'!I11</f>
        <v>0</v>
      </c>
    </row>
    <row r="20" spans="2:23" ht="15" thickBot="1" x14ac:dyDescent="0.4">
      <c r="H20" s="49" t="s">
        <v>43</v>
      </c>
      <c r="I20" s="50">
        <f>'May Statement'!I20+'May Statement'!F7+'May Statement'!I8+'May Statement'!I16-'May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IF(SUM($F$29:$F$53)&gt;=$I$19,0,$I$19+'March Statement'!N60-$F$29)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40.049999999999997</v>
      </c>
      <c r="O31" s="13">
        <f t="shared" ref="O31:O58" si="9">P31-P30</f>
        <v>2.0000000000000004E-2</v>
      </c>
      <c r="P31" s="13">
        <f t="shared" ref="P31:P56" si="10">ROUND(P30+N31*$F$22,2)</f>
        <v>7.0000000000000007E-2</v>
      </c>
      <c r="Q31" s="13">
        <f t="shared" ref="Q31:Q58" si="11">ROUND(N31+K31-M30-P30,2)</f>
        <v>40</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0</v>
      </c>
      <c r="L43" s="13">
        <f t="shared" si="7"/>
        <v>0</v>
      </c>
      <c r="M43" s="13">
        <f t="shared" si="8"/>
        <v>0</v>
      </c>
      <c r="N43" s="13">
        <f t="shared" si="3"/>
        <v>1044.29</v>
      </c>
      <c r="O43" s="13">
        <f t="shared" si="9"/>
        <v>0.64000000000000012</v>
      </c>
      <c r="P43" s="13">
        <f t="shared" si="10"/>
        <v>0.93</v>
      </c>
      <c r="Q43" s="13">
        <f t="shared" si="11"/>
        <v>1044</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ROUND(P53+N54*$F$22,2)</f>
        <v>8.0500000000000007</v>
      </c>
      <c r="Q54" s="13">
        <f t="shared" si="11"/>
        <v>1044</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ROUND(P56+N57*$F$22,2)</f>
        <v>10</v>
      </c>
      <c r="Q57" s="13">
        <f t="shared" si="11"/>
        <v>1044</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ROUND(P57+N58*$F$22,2)</f>
        <v>10.65</v>
      </c>
      <c r="Q58" s="13">
        <f t="shared" si="11"/>
        <v>1044</v>
      </c>
      <c r="R58" s="17"/>
      <c r="S58" s="17"/>
      <c r="T58" s="17">
        <f t="shared" si="14"/>
        <v>0</v>
      </c>
      <c r="U58" s="17">
        <f t="shared" si="4"/>
        <v>0</v>
      </c>
      <c r="V58" s="18">
        <f t="shared" si="12"/>
        <v>0</v>
      </c>
      <c r="W58" s="16">
        <f t="shared" si="13"/>
        <v>0</v>
      </c>
    </row>
    <row r="59" spans="2:23" ht="15" thickBot="1" x14ac:dyDescent="0.4">
      <c r="B59" s="111" t="s">
        <v>49</v>
      </c>
      <c r="C59" s="112"/>
      <c r="D59" s="67">
        <f t="shared" ref="D59:L59" si="15">SUM(D29:D58)</f>
        <v>0</v>
      </c>
      <c r="E59" s="21">
        <f t="shared" si="15"/>
        <v>0</v>
      </c>
      <c r="F59" s="21">
        <f t="shared" si="15"/>
        <v>0</v>
      </c>
      <c r="G59" s="21">
        <f t="shared" si="15"/>
        <v>0</v>
      </c>
      <c r="H59" s="22">
        <f t="shared" si="15"/>
        <v>0</v>
      </c>
      <c r="I59" s="20">
        <f t="shared" si="15"/>
        <v>1000</v>
      </c>
      <c r="J59" s="21">
        <f t="shared" si="15"/>
        <v>44</v>
      </c>
      <c r="K59" s="21">
        <f t="shared" si="15"/>
        <v>0</v>
      </c>
      <c r="L59" s="74">
        <f t="shared" si="15"/>
        <v>0</v>
      </c>
      <c r="M59" s="20"/>
      <c r="N59" s="21">
        <f>SUM(N29:N58)</f>
        <v>17348.04</v>
      </c>
      <c r="O59" s="21">
        <f>SUM(O29:O58)</f>
        <v>10.65</v>
      </c>
      <c r="P59" s="20"/>
      <c r="Q59" s="20"/>
      <c r="R59" s="22">
        <f>SUM(R29:R58)</f>
        <v>0</v>
      </c>
      <c r="S59" s="22">
        <f>SUM(S29:S58)</f>
        <v>0</v>
      </c>
      <c r="T59" s="22">
        <f>SUM(T29:T58)</f>
        <v>0</v>
      </c>
      <c r="U59" s="22">
        <f>SUM(U29:U58)</f>
        <v>0</v>
      </c>
      <c r="V59" s="23"/>
      <c r="W59" s="23"/>
    </row>
    <row r="60" spans="2:23" ht="15" thickBot="1" x14ac:dyDescent="0.4">
      <c r="G60" s="61"/>
      <c r="J60" s="82" t="s">
        <v>71</v>
      </c>
      <c r="K60" s="82">
        <f>K59/$C$18</f>
        <v>0</v>
      </c>
      <c r="M60" s="82" t="s">
        <v>69</v>
      </c>
      <c r="N60" s="82">
        <f>N59/$C$18</f>
        <v>578.26800000000003</v>
      </c>
      <c r="O60" s="61"/>
      <c r="S60" s="82" t="s">
        <v>65</v>
      </c>
      <c r="T60" s="82">
        <f>T59/$C$18</f>
        <v>0</v>
      </c>
    </row>
    <row r="61" spans="2:23" ht="15" thickBot="1" x14ac:dyDescent="0.4">
      <c r="H61" s="2"/>
      <c r="J61" s="82" t="s">
        <v>72</v>
      </c>
      <c r="K61" s="82">
        <f>M58</f>
        <v>0</v>
      </c>
      <c r="M61" s="82" t="s">
        <v>70</v>
      </c>
      <c r="N61" s="82">
        <f>IF(ROUND(N58,2)=0,0,N60*$F$22*$C$18)</f>
        <v>10.68924437260274</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A32" zoomScale="53" zoomScaleNormal="53" workbookViewId="0">
      <selection activeCell="M57" sqref="M57"/>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1000</v>
      </c>
      <c r="H6" s="96" t="s">
        <v>40</v>
      </c>
      <c r="I6" s="97"/>
    </row>
    <row r="7" spans="2:12" ht="29" x14ac:dyDescent="0.35">
      <c r="B7" s="30" t="s">
        <v>6</v>
      </c>
      <c r="C7" s="40">
        <v>31</v>
      </c>
      <c r="E7" s="34" t="s">
        <v>27</v>
      </c>
      <c r="F7" s="35">
        <f>R60</f>
        <v>0</v>
      </c>
      <c r="H7" s="7" t="s">
        <v>37</v>
      </c>
      <c r="I7" s="8">
        <f>J60</f>
        <v>44</v>
      </c>
      <c r="L7" s="61"/>
    </row>
    <row r="8" spans="2:12" ht="29.5" thickBot="1" x14ac:dyDescent="0.4">
      <c r="B8" s="31" t="s">
        <v>7</v>
      </c>
      <c r="C8" s="41">
        <f>C6+C3</f>
        <v>45041</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14" t="s">
        <v>41</v>
      </c>
      <c r="I10" s="115"/>
      <c r="J10" s="116"/>
    </row>
    <row r="11" spans="2:12" ht="14.5" customHeight="1" x14ac:dyDescent="0.35">
      <c r="B11" s="30" t="s">
        <v>13</v>
      </c>
      <c r="C11" s="39">
        <f>C10+C12-1</f>
        <v>45046</v>
      </c>
      <c r="E11" s="55" t="s">
        <v>30</v>
      </c>
      <c r="F11" s="56">
        <f>F4+F6+F7+F8+F9-F5</f>
        <v>1044</v>
      </c>
      <c r="H11" s="72" t="s">
        <v>42</v>
      </c>
      <c r="I11" s="73">
        <f>SUM(F60:G60)</f>
        <v>0</v>
      </c>
      <c r="J11" s="92" t="s">
        <v>73</v>
      </c>
      <c r="K11" s="113"/>
    </row>
    <row r="12" spans="2:12" ht="15" thickBot="1" x14ac:dyDescent="0.4">
      <c r="B12" s="30" t="s">
        <v>14</v>
      </c>
      <c r="C12" s="40">
        <v>30</v>
      </c>
      <c r="E12" s="4"/>
      <c r="F12" s="6"/>
      <c r="H12" s="49" t="s">
        <v>43</v>
      </c>
      <c r="I12" s="50">
        <f>H60</f>
        <v>0</v>
      </c>
      <c r="J12" s="93"/>
      <c r="K12" s="113"/>
    </row>
    <row r="13" spans="2:12" ht="15" thickBot="1" x14ac:dyDescent="0.4">
      <c r="B13" s="31" t="s">
        <v>15</v>
      </c>
      <c r="C13" s="41">
        <v>45071</v>
      </c>
      <c r="E13" s="53" t="s">
        <v>31</v>
      </c>
      <c r="F13" s="54">
        <v>48960</v>
      </c>
    </row>
    <row r="14" spans="2:12" x14ac:dyDescent="0.35">
      <c r="E14" s="51" t="s">
        <v>32</v>
      </c>
      <c r="F14" s="52">
        <f>F13-F11</f>
        <v>47916</v>
      </c>
      <c r="H14" s="96" t="s">
        <v>44</v>
      </c>
      <c r="I14" s="97"/>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96" t="s">
        <v>51</v>
      </c>
      <c r="I18" s="97"/>
    </row>
    <row r="19" spans="2:23" ht="15" thickBot="1" x14ac:dyDescent="0.4">
      <c r="B19" s="31" t="s">
        <v>16</v>
      </c>
      <c r="C19" s="41">
        <f>C17+C3</f>
        <v>45102</v>
      </c>
      <c r="H19" s="7" t="s">
        <v>42</v>
      </c>
      <c r="I19" s="8">
        <f>'April Statement'!I19+'April Statement'!F6+'April Statement'!I7+'April Statement'!I15-'April Statement'!I11</f>
        <v>1044</v>
      </c>
    </row>
    <row r="20" spans="2:23" ht="15" thickBot="1" x14ac:dyDescent="0.4">
      <c r="H20" s="49" t="s">
        <v>43</v>
      </c>
      <c r="I20" s="50">
        <f>'Feb Statement'!I20+'Feb Statement'!F7+'Feb Statement'!I8+'Feb Statement'!I16-'Feb Statement'!I12</f>
        <v>0</v>
      </c>
      <c r="J20" s="5"/>
    </row>
    <row r="21" spans="2:23" x14ac:dyDescent="0.35">
      <c r="B21" s="96" t="s">
        <v>17</v>
      </c>
      <c r="C21" s="97"/>
      <c r="E21" s="96" t="s">
        <v>22</v>
      </c>
      <c r="F21" s="97"/>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v>
      </c>
      <c r="M29" s="12">
        <f>ROUND(K29*$F$22,2)</f>
        <v>0.64</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v>
      </c>
      <c r="M30" s="13">
        <f>IF(K30=0,0,M29+ROUND(K30*$F$22,2))</f>
        <v>1.28</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1045.28</v>
      </c>
      <c r="L31" s="13">
        <f t="shared" ref="L31:L58" si="7">M31-M30</f>
        <v>0.6399999999999999</v>
      </c>
      <c r="M31" s="13">
        <f t="shared" ref="M31:M59" si="8">IF(K31=0,0,M30+ROUND(K31*$F$22,2))</f>
        <v>1.92</v>
      </c>
      <c r="N31" s="13">
        <f t="shared" si="3"/>
        <v>0</v>
      </c>
      <c r="O31" s="13">
        <f t="shared" ref="O31:O58" si="9">P31-P30</f>
        <v>0</v>
      </c>
      <c r="P31" s="13">
        <f t="shared" ref="P31:P58" si="10">ROUND(P30+N31*$F$22,2)</f>
        <v>0</v>
      </c>
      <c r="Q31" s="13">
        <f t="shared" ref="Q31:Q58" si="11">ROUND(N31+K31-M30-P30,2)</f>
        <v>1044</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0.64000000000000012</v>
      </c>
      <c r="M32" s="13">
        <f t="shared" si="8"/>
        <v>2.56</v>
      </c>
      <c r="N32" s="13">
        <f t="shared" si="3"/>
        <v>0</v>
      </c>
      <c r="O32" s="13">
        <f t="shared" si="9"/>
        <v>0</v>
      </c>
      <c r="P32" s="13">
        <f t="shared" si="10"/>
        <v>0</v>
      </c>
      <c r="Q32" s="13">
        <f t="shared" si="11"/>
        <v>1044</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0.64000000000000012</v>
      </c>
      <c r="M33" s="13">
        <f t="shared" si="8"/>
        <v>3.2</v>
      </c>
      <c r="N33" s="13">
        <f t="shared" si="3"/>
        <v>0</v>
      </c>
      <c r="O33" s="13">
        <f t="shared" si="9"/>
        <v>0</v>
      </c>
      <c r="P33" s="13">
        <f t="shared" si="10"/>
        <v>0</v>
      </c>
      <c r="Q33" s="13">
        <f t="shared" si="11"/>
        <v>1044</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0.64999999999999991</v>
      </c>
      <c r="M34" s="13">
        <f t="shared" si="8"/>
        <v>3.85</v>
      </c>
      <c r="N34" s="13">
        <f t="shared" si="3"/>
        <v>0</v>
      </c>
      <c r="O34" s="13">
        <f t="shared" si="9"/>
        <v>0</v>
      </c>
      <c r="P34" s="13">
        <f t="shared" si="10"/>
        <v>0</v>
      </c>
      <c r="Q34" s="13">
        <f t="shared" si="11"/>
        <v>1044</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0.64999999999999991</v>
      </c>
      <c r="M35" s="13">
        <f t="shared" si="8"/>
        <v>4.5</v>
      </c>
      <c r="N35" s="13">
        <f t="shared" si="3"/>
        <v>0</v>
      </c>
      <c r="O35" s="13">
        <f t="shared" si="9"/>
        <v>0</v>
      </c>
      <c r="P35" s="13">
        <f t="shared" si="10"/>
        <v>0</v>
      </c>
      <c r="Q35" s="13">
        <f t="shared" si="11"/>
        <v>1044</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0.65000000000000036</v>
      </c>
      <c r="M36" s="13">
        <f t="shared" si="8"/>
        <v>5.15</v>
      </c>
      <c r="N36" s="13">
        <f t="shared" si="3"/>
        <v>0</v>
      </c>
      <c r="O36" s="13">
        <f t="shared" si="9"/>
        <v>0</v>
      </c>
      <c r="P36" s="13">
        <f t="shared" si="10"/>
        <v>0</v>
      </c>
      <c r="Q36" s="13">
        <f t="shared" si="11"/>
        <v>1044</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0.65000000000000036</v>
      </c>
      <c r="M37" s="13">
        <f t="shared" si="8"/>
        <v>5.8000000000000007</v>
      </c>
      <c r="N37" s="13">
        <f t="shared" si="3"/>
        <v>0</v>
      </c>
      <c r="O37" s="13">
        <f t="shared" si="9"/>
        <v>0</v>
      </c>
      <c r="P37" s="13">
        <f t="shared" si="10"/>
        <v>0</v>
      </c>
      <c r="Q37" s="13">
        <f t="shared" si="11"/>
        <v>1044</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0.65000000000000036</v>
      </c>
      <c r="M38" s="13">
        <f t="shared" si="8"/>
        <v>6.4500000000000011</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0.65000000000000036</v>
      </c>
      <c r="M39" s="13">
        <f t="shared" si="8"/>
        <v>7.1000000000000014</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0.65000000000000036</v>
      </c>
      <c r="M40" s="13">
        <f t="shared" si="8"/>
        <v>7.7500000000000018</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0.65000000000000036</v>
      </c>
      <c r="M41" s="13">
        <f t="shared" si="8"/>
        <v>8.4000000000000021</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0.65000000000000036</v>
      </c>
      <c r="M42" s="13">
        <f t="shared" si="8"/>
        <v>9.0500000000000025</v>
      </c>
      <c r="N42" s="13">
        <f t="shared" si="3"/>
        <v>0</v>
      </c>
      <c r="O42" s="13">
        <f t="shared" si="9"/>
        <v>0</v>
      </c>
      <c r="P42" s="13">
        <f t="shared" si="10"/>
        <v>0</v>
      </c>
      <c r="Q42" s="13">
        <f t="shared" si="11"/>
        <v>1044</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1053.05</v>
      </c>
      <c r="L43" s="87">
        <f t="shared" si="7"/>
        <v>0.65000000000000036</v>
      </c>
      <c r="M43" s="87">
        <f t="shared" si="8"/>
        <v>9.7000000000000028</v>
      </c>
      <c r="N43" s="87">
        <f>ROUND(N42+I43+J43+O42-G43,2)</f>
        <v>0</v>
      </c>
      <c r="O43" s="87">
        <f t="shared" si="9"/>
        <v>0</v>
      </c>
      <c r="P43" s="87">
        <f t="shared" si="10"/>
        <v>0</v>
      </c>
      <c r="Q43" s="87">
        <f t="shared" si="11"/>
        <v>1044</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0.65000000000000036</v>
      </c>
      <c r="M44" s="13">
        <f t="shared" si="8"/>
        <v>10.350000000000003</v>
      </c>
      <c r="N44" s="13">
        <f t="shared" si="3"/>
        <v>0</v>
      </c>
      <c r="O44" s="13">
        <f t="shared" si="9"/>
        <v>0</v>
      </c>
      <c r="P44" s="13">
        <f t="shared" si="10"/>
        <v>0</v>
      </c>
      <c r="Q44" s="13">
        <f t="shared" si="11"/>
        <v>1044</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0.65000000000000036</v>
      </c>
      <c r="M45" s="13">
        <f t="shared" si="8"/>
        <v>11.000000000000004</v>
      </c>
      <c r="N45" s="13">
        <f t="shared" si="3"/>
        <v>0</v>
      </c>
      <c r="O45" s="13">
        <f t="shared" si="9"/>
        <v>0</v>
      </c>
      <c r="P45" s="13">
        <f t="shared" si="10"/>
        <v>0</v>
      </c>
      <c r="Q45" s="13">
        <f t="shared" si="11"/>
        <v>1044</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0.65000000000000036</v>
      </c>
      <c r="M46" s="13">
        <f t="shared" si="8"/>
        <v>11.650000000000004</v>
      </c>
      <c r="N46" s="13">
        <f t="shared" si="3"/>
        <v>0</v>
      </c>
      <c r="O46" s="13">
        <f t="shared" si="9"/>
        <v>0</v>
      </c>
      <c r="P46" s="13">
        <f t="shared" si="10"/>
        <v>0</v>
      </c>
      <c r="Q46" s="13">
        <f t="shared" si="11"/>
        <v>1044</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1055.6500000000001</v>
      </c>
      <c r="L47" s="87">
        <f t="shared" si="7"/>
        <v>0.65000000000000036</v>
      </c>
      <c r="M47" s="13">
        <f t="shared" si="8"/>
        <v>12.300000000000004</v>
      </c>
      <c r="N47" s="87">
        <f t="shared" si="3"/>
        <v>0</v>
      </c>
      <c r="O47" s="87">
        <f t="shared" si="9"/>
        <v>0</v>
      </c>
      <c r="P47" s="87">
        <f t="shared" si="10"/>
        <v>0</v>
      </c>
      <c r="Q47" s="87">
        <f t="shared" si="11"/>
        <v>1044</v>
      </c>
      <c r="R47" s="87"/>
      <c r="S47" s="87"/>
      <c r="T47" s="87">
        <f t="shared" si="14"/>
        <v>0</v>
      </c>
      <c r="U47" s="87">
        <f t="shared" si="4"/>
        <v>0</v>
      </c>
      <c r="V47" s="88">
        <f t="shared" si="12"/>
        <v>0</v>
      </c>
      <c r="W47" s="89">
        <f t="shared" si="13"/>
        <v>0</v>
      </c>
    </row>
    <row r="48" spans="2:23"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0.65000000000000036</v>
      </c>
      <c r="M48" s="13">
        <f t="shared" si="8"/>
        <v>12.950000000000005</v>
      </c>
      <c r="N48" s="13">
        <f t="shared" si="3"/>
        <v>0</v>
      </c>
      <c r="O48" s="13">
        <f t="shared" si="9"/>
        <v>0</v>
      </c>
      <c r="P48" s="13">
        <f t="shared" si="10"/>
        <v>0</v>
      </c>
      <c r="Q48" s="13">
        <f t="shared" si="11"/>
        <v>1044</v>
      </c>
      <c r="R48" s="17"/>
      <c r="S48" s="17"/>
      <c r="T48" s="17">
        <f t="shared" si="14"/>
        <v>0</v>
      </c>
      <c r="U48" s="17">
        <f t="shared" si="4"/>
        <v>0</v>
      </c>
      <c r="V48" s="18">
        <f t="shared" si="12"/>
        <v>0</v>
      </c>
      <c r="W48" s="16">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0.65000000000000036</v>
      </c>
      <c r="M49" s="13">
        <f t="shared" si="8"/>
        <v>13.600000000000005</v>
      </c>
      <c r="N49" s="13">
        <f t="shared" si="3"/>
        <v>0</v>
      </c>
      <c r="O49" s="13">
        <f t="shared" si="9"/>
        <v>0</v>
      </c>
      <c r="P49" s="13">
        <f t="shared" si="10"/>
        <v>0</v>
      </c>
      <c r="Q49" s="13">
        <f t="shared" si="11"/>
        <v>1044</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0.65000000000000036</v>
      </c>
      <c r="M50" s="13">
        <f t="shared" si="8"/>
        <v>14.250000000000005</v>
      </c>
      <c r="N50" s="13">
        <f t="shared" si="3"/>
        <v>0</v>
      </c>
      <c r="O50" s="13">
        <f t="shared" si="9"/>
        <v>0</v>
      </c>
      <c r="P50" s="13">
        <f t="shared" si="10"/>
        <v>0</v>
      </c>
      <c r="Q50" s="13">
        <f t="shared" si="11"/>
        <v>1044</v>
      </c>
      <c r="R50" s="17"/>
      <c r="S50" s="17"/>
      <c r="T50" s="17">
        <f t="shared" si="14"/>
        <v>0</v>
      </c>
      <c r="U50" s="17">
        <f t="shared" si="4"/>
        <v>0</v>
      </c>
      <c r="V50" s="18">
        <f t="shared" si="12"/>
        <v>0</v>
      </c>
      <c r="W50" s="16">
        <f t="shared" si="13"/>
        <v>0</v>
      </c>
    </row>
    <row r="51" spans="2:23"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1058.25</v>
      </c>
      <c r="L51" s="13">
        <f t="shared" si="7"/>
        <v>0.65000000000000036</v>
      </c>
      <c r="M51" s="13">
        <f t="shared" si="8"/>
        <v>14.900000000000006</v>
      </c>
      <c r="N51" s="13">
        <f t="shared" si="3"/>
        <v>0</v>
      </c>
      <c r="O51" s="13">
        <f t="shared" si="9"/>
        <v>0</v>
      </c>
      <c r="P51" s="13">
        <f t="shared" si="10"/>
        <v>0</v>
      </c>
      <c r="Q51" s="13">
        <f t="shared" si="11"/>
        <v>1044</v>
      </c>
      <c r="R51" s="17"/>
      <c r="S51" s="17"/>
      <c r="T51" s="17">
        <f t="shared" si="14"/>
        <v>0</v>
      </c>
      <c r="U51" s="17">
        <f t="shared" si="4"/>
        <v>0</v>
      </c>
      <c r="V51" s="18">
        <f t="shared" si="12"/>
        <v>0</v>
      </c>
      <c r="W51" s="16">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0.65000000000000036</v>
      </c>
      <c r="M52" s="13">
        <f t="shared" si="8"/>
        <v>15.550000000000006</v>
      </c>
      <c r="N52" s="13">
        <f t="shared" si="3"/>
        <v>0</v>
      </c>
      <c r="O52" s="13">
        <f t="shared" si="9"/>
        <v>0</v>
      </c>
      <c r="P52" s="13">
        <f t="shared" si="10"/>
        <v>0</v>
      </c>
      <c r="Q52" s="13">
        <f t="shared" si="11"/>
        <v>1044</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v>1000</v>
      </c>
      <c r="J53" s="87">
        <v>4</v>
      </c>
      <c r="K53" s="87">
        <f t="shared" si="6"/>
        <v>1059.55</v>
      </c>
      <c r="L53" s="87">
        <f t="shared" si="7"/>
        <v>0.65000000000000036</v>
      </c>
      <c r="M53" s="87">
        <f t="shared" si="8"/>
        <v>16.200000000000006</v>
      </c>
      <c r="N53" s="87">
        <f t="shared" si="3"/>
        <v>1004</v>
      </c>
      <c r="O53" s="87">
        <f t="shared" si="9"/>
        <v>0.62</v>
      </c>
      <c r="P53" s="87">
        <f t="shared" si="10"/>
        <v>0.62</v>
      </c>
      <c r="Q53" s="87">
        <f t="shared" si="11"/>
        <v>2048</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0.64999999999999858</v>
      </c>
      <c r="M54" s="13">
        <f t="shared" si="8"/>
        <v>16.850000000000005</v>
      </c>
      <c r="N54" s="13">
        <f t="shared" si="3"/>
        <v>1004.62</v>
      </c>
      <c r="O54" s="13">
        <f t="shared" si="9"/>
        <v>0.62</v>
      </c>
      <c r="P54" s="13">
        <f t="shared" si="10"/>
        <v>1.24</v>
      </c>
      <c r="Q54" s="13">
        <f t="shared" si="11"/>
        <v>2048</v>
      </c>
      <c r="R54" s="17"/>
      <c r="S54" s="17"/>
      <c r="T54" s="17">
        <f t="shared" si="14"/>
        <v>0</v>
      </c>
      <c r="U54" s="17">
        <f t="shared" si="4"/>
        <v>0</v>
      </c>
      <c r="V54" s="18">
        <f t="shared" si="12"/>
        <v>0</v>
      </c>
      <c r="W54" s="16">
        <f t="shared" si="13"/>
        <v>0</v>
      </c>
    </row>
    <row r="55" spans="2:23" s="90" customFormat="1" x14ac:dyDescent="0.35">
      <c r="B55" s="84">
        <f t="shared" si="0"/>
        <v>45072</v>
      </c>
      <c r="C55" s="85">
        <f t="shared" si="1"/>
        <v>45073</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1060.8499999999999</v>
      </c>
      <c r="L55" s="87">
        <f t="shared" si="7"/>
        <v>0.64999999999999858</v>
      </c>
      <c r="M55" s="87">
        <f t="shared" si="8"/>
        <v>17.500000000000004</v>
      </c>
      <c r="N55" s="87">
        <f t="shared" si="3"/>
        <v>1005.24</v>
      </c>
      <c r="O55" s="87">
        <f t="shared" si="9"/>
        <v>0.62000000000000011</v>
      </c>
      <c r="P55" s="87">
        <f t="shared" si="10"/>
        <v>1.86</v>
      </c>
      <c r="Q55" s="87">
        <f t="shared" si="11"/>
        <v>2048</v>
      </c>
      <c r="R55" s="87"/>
      <c r="S55" s="87"/>
      <c r="T55" s="87">
        <f t="shared" si="14"/>
        <v>0</v>
      </c>
      <c r="U55" s="87">
        <f t="shared" si="4"/>
        <v>0</v>
      </c>
      <c r="V55" s="88">
        <f t="shared" si="12"/>
        <v>0</v>
      </c>
      <c r="W55" s="89">
        <f t="shared" si="13"/>
        <v>0</v>
      </c>
    </row>
    <row r="56" spans="2:23" x14ac:dyDescent="0.35">
      <c r="B56" s="47">
        <f t="shared" si="0"/>
        <v>45073</v>
      </c>
      <c r="C56" s="48">
        <f t="shared" si="1"/>
        <v>45074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0.64999999999999858</v>
      </c>
      <c r="M56" s="13">
        <f t="shared" si="8"/>
        <v>18.150000000000002</v>
      </c>
      <c r="N56" s="13">
        <f t="shared" si="3"/>
        <v>1005.86</v>
      </c>
      <c r="O56" s="13">
        <f t="shared" si="9"/>
        <v>0.61999999999999988</v>
      </c>
      <c r="P56" s="13">
        <f t="shared" si="10"/>
        <v>2.48</v>
      </c>
      <c r="Q56" s="13">
        <f t="shared" si="11"/>
        <v>2048</v>
      </c>
      <c r="R56" s="17"/>
      <c r="S56" s="17"/>
      <c r="T56" s="17">
        <f t="shared" si="14"/>
        <v>0</v>
      </c>
      <c r="U56" s="17">
        <f t="shared" si="4"/>
        <v>0</v>
      </c>
      <c r="V56" s="18">
        <f t="shared" si="12"/>
        <v>0</v>
      </c>
      <c r="W56" s="16">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0.64999999999999858</v>
      </c>
      <c r="M57" s="13">
        <f t="shared" si="8"/>
        <v>18.8</v>
      </c>
      <c r="N57" s="13">
        <f t="shared" si="3"/>
        <v>1006.48</v>
      </c>
      <c r="O57" s="13">
        <f t="shared" si="9"/>
        <v>0.62000000000000011</v>
      </c>
      <c r="P57" s="13">
        <f t="shared" si="10"/>
        <v>3.1</v>
      </c>
      <c r="Q57" s="13">
        <f t="shared" si="11"/>
        <v>2048</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1062.8</v>
      </c>
      <c r="L58" s="13">
        <f t="shared" si="7"/>
        <v>0.64999999999999858</v>
      </c>
      <c r="M58" s="13">
        <f t="shared" si="8"/>
        <v>19.45</v>
      </c>
      <c r="N58" s="13">
        <f t="shared" si="3"/>
        <v>1007.1</v>
      </c>
      <c r="O58" s="13">
        <f t="shared" si="9"/>
        <v>0.62000000000000011</v>
      </c>
      <c r="P58" s="13">
        <f t="shared" si="10"/>
        <v>3.72</v>
      </c>
      <c r="Q58" s="13">
        <f t="shared" si="11"/>
        <v>2048</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v>40</v>
      </c>
      <c r="K59" s="13">
        <f t="shared" si="6"/>
        <v>1063.45</v>
      </c>
      <c r="L59" s="13">
        <f t="shared" ref="L59" si="18">M59-M58</f>
        <v>0.66000000000000014</v>
      </c>
      <c r="M59" s="13">
        <f t="shared" si="8"/>
        <v>20.11</v>
      </c>
      <c r="N59" s="13">
        <f t="shared" ref="N59" si="19">ROUND(N58+I59+J59+O58-G59,2)</f>
        <v>1047.72</v>
      </c>
      <c r="O59" s="13">
        <f t="shared" ref="O59" si="20">P59-P58</f>
        <v>0.64999999999999991</v>
      </c>
      <c r="P59" s="13">
        <f>ROUND(P58+N59*$F$22,2)</f>
        <v>4.37</v>
      </c>
      <c r="Q59" s="13">
        <f t="shared" ref="Q59" si="21">ROUND(N59+K59-M58-P58,2)</f>
        <v>2088</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11" t="s">
        <v>49</v>
      </c>
      <c r="C60" s="112"/>
      <c r="D60" s="67">
        <f t="shared" ref="D60:L60" si="26">SUM(D29:D59)</f>
        <v>0</v>
      </c>
      <c r="E60" s="21">
        <f t="shared" si="26"/>
        <v>0</v>
      </c>
      <c r="F60" s="21">
        <f t="shared" si="26"/>
        <v>0</v>
      </c>
      <c r="G60" s="21">
        <f t="shared" si="26"/>
        <v>0</v>
      </c>
      <c r="H60" s="22">
        <f t="shared" si="26"/>
        <v>0</v>
      </c>
      <c r="I60" s="20">
        <f t="shared" si="26"/>
        <v>1000</v>
      </c>
      <c r="J60" s="21">
        <f t="shared" si="26"/>
        <v>44</v>
      </c>
      <c r="K60" s="21">
        <f t="shared" si="26"/>
        <v>32664.85</v>
      </c>
      <c r="L60" s="74">
        <f t="shared" si="26"/>
        <v>20.11</v>
      </c>
      <c r="M60" s="20"/>
      <c r="N60" s="21">
        <f>SUM(N29:N59)</f>
        <v>7081.02</v>
      </c>
      <c r="O60" s="21">
        <f>SUM(O29:O59)</f>
        <v>4.37</v>
      </c>
      <c r="P60" s="20"/>
      <c r="Q60" s="20"/>
      <c r="R60" s="22">
        <f>SUM(R29:R59)</f>
        <v>0</v>
      </c>
      <c r="S60" s="22">
        <f>SUM(S29:S59)</f>
        <v>0</v>
      </c>
      <c r="T60" s="22">
        <f>SUM(T29:T59)</f>
        <v>0</v>
      </c>
      <c r="U60" s="22">
        <f>SUM(U29:U59)</f>
        <v>0</v>
      </c>
      <c r="V60" s="23"/>
      <c r="W60" s="23"/>
    </row>
    <row r="61" spans="2:23" ht="15" thickBot="1" x14ac:dyDescent="0.4">
      <c r="G61" s="61"/>
      <c r="J61" s="82" t="s">
        <v>71</v>
      </c>
      <c r="K61" s="82">
        <f>K60/$C$18</f>
        <v>1053.7048387096775</v>
      </c>
      <c r="M61" s="82" t="s">
        <v>69</v>
      </c>
      <c r="N61" s="82">
        <f>N60/$C$18</f>
        <v>228.42000000000002</v>
      </c>
      <c r="O61" s="61"/>
      <c r="S61" s="82" t="s">
        <v>65</v>
      </c>
      <c r="T61" s="82">
        <f>T60/$C$18</f>
        <v>0</v>
      </c>
    </row>
    <row r="62" spans="2:23" ht="15" thickBot="1" x14ac:dyDescent="0.4">
      <c r="H62" s="2"/>
      <c r="J62" s="82" t="s">
        <v>72</v>
      </c>
      <c r="K62" s="82">
        <f>ROUND(K61*$F$22*$C$18,2)</f>
        <v>20.13</v>
      </c>
      <c r="M62" s="82" t="s">
        <v>70</v>
      </c>
      <c r="N62" s="82">
        <f>IF(ROUND(N59,2)=0,0,N61*$F$22*$C$18)</f>
        <v>4.3630723232876711</v>
      </c>
      <c r="S62" s="82" t="s">
        <v>64</v>
      </c>
      <c r="T62" s="82">
        <f>T61*$F$23*$C$18</f>
        <v>0</v>
      </c>
    </row>
    <row r="63" spans="2:23" x14ac:dyDescent="0.35">
      <c r="M63" s="61"/>
      <c r="N63" s="61"/>
    </row>
    <row r="64" spans="2:23" ht="15" thickBot="1" x14ac:dyDescent="0.4"/>
    <row r="65" spans="11:19" ht="15" thickBot="1" x14ac:dyDescent="0.4">
      <c r="M65" s="82">
        <f>K62+N62</f>
        <v>24.49307232328767</v>
      </c>
      <c r="P65" s="61">
        <f>N62-N68</f>
        <v>2.5030723232876708</v>
      </c>
    </row>
    <row r="66" spans="11:19" ht="15" thickBot="1" x14ac:dyDescent="0.4">
      <c r="K66" s="61">
        <f>SUM(K29:K55)</f>
        <v>28414.949999999997</v>
      </c>
      <c r="N66" s="61">
        <f>SUM(N29:N55)</f>
        <v>3013.8599999999997</v>
      </c>
      <c r="P66" s="61">
        <f>SUM(O56:O59)</f>
        <v>2.5099999999999998</v>
      </c>
    </row>
    <row r="67" spans="11:19" ht="15" thickBot="1" x14ac:dyDescent="0.4">
      <c r="K67" s="82">
        <f>K66/$C$18</f>
        <v>916.61129032258054</v>
      </c>
      <c r="N67" s="82">
        <f>N66/$C$18</f>
        <v>97.221290322580629</v>
      </c>
      <c r="O67" s="61">
        <f>SUM(O43:O55)</f>
        <v>1.86</v>
      </c>
    </row>
    <row r="68" spans="11:19" ht="15" thickBot="1" x14ac:dyDescent="0.4">
      <c r="K68" s="82">
        <f>ROUND(K67*$F$22*$C$18,2)</f>
        <v>17.510000000000002</v>
      </c>
      <c r="M68">
        <v>25.48</v>
      </c>
      <c r="N68" s="82">
        <f>ROUND(N67*$F$22*$C$18,2)</f>
        <v>1.86</v>
      </c>
      <c r="O68">
        <v>17.440000000000001</v>
      </c>
    </row>
    <row r="69" spans="11:19" x14ac:dyDescent="0.35">
      <c r="M69" s="61"/>
      <c r="O69" s="61">
        <f>SUM(O67,O68)</f>
        <v>19.3</v>
      </c>
    </row>
    <row r="70" spans="11:19" x14ac:dyDescent="0.35">
      <c r="M70" s="61">
        <f>K68+N68</f>
        <v>19.37</v>
      </c>
      <c r="S70" s="61">
        <f>N62+L60</f>
        <v>24.473072323287671</v>
      </c>
    </row>
    <row r="72" spans="11:19" x14ac:dyDescent="0.35">
      <c r="M72" s="61">
        <f>M65-M68</f>
        <v>-0.98692767671233028</v>
      </c>
    </row>
    <row r="74" spans="11:19" x14ac:dyDescent="0.35">
      <c r="N74" s="61">
        <f>(K68+N68)-(SUM(L56:L59)+SUM(O56:O59))</f>
        <v>14.250000000000005</v>
      </c>
    </row>
    <row r="79" spans="11:19" x14ac:dyDescent="0.35">
      <c r="M79" s="61">
        <f>K29-D48</f>
        <v>1044</v>
      </c>
    </row>
    <row r="80" spans="11:19" x14ac:dyDescent="0.35">
      <c r="M80">
        <f>M79</f>
        <v>1044</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45107</v>
      </c>
    </row>
    <row r="4" spans="2:12" ht="15" thickBot="1" x14ac:dyDescent="0.4">
      <c r="B4"/>
      <c r="C4"/>
      <c r="E4" s="62" t="s">
        <v>25</v>
      </c>
      <c r="F4" s="62">
        <f>'May Statement'!F11</f>
        <v>1044</v>
      </c>
    </row>
    <row r="5" spans="2:12" ht="15" thickBot="1" x14ac:dyDescent="0.4">
      <c r="B5" s="29" t="s">
        <v>5</v>
      </c>
      <c r="C5" s="38">
        <v>45017</v>
      </c>
      <c r="E5" s="32" t="s">
        <v>10</v>
      </c>
      <c r="F5" s="33">
        <f>SUM(I11:I12)</f>
        <v>0</v>
      </c>
    </row>
    <row r="6" spans="2:12" x14ac:dyDescent="0.35">
      <c r="B6" s="30" t="s">
        <v>8</v>
      </c>
      <c r="C6" s="39">
        <v>45046</v>
      </c>
      <c r="E6" s="34" t="s">
        <v>26</v>
      </c>
      <c r="F6" s="35">
        <f>I59</f>
        <v>0</v>
      </c>
      <c r="H6" s="96" t="s">
        <v>40</v>
      </c>
      <c r="I6" s="97"/>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171.01171716164387</v>
      </c>
      <c r="L9" s="61"/>
    </row>
    <row r="10" spans="2:12" ht="15" thickBot="1" x14ac:dyDescent="0.4">
      <c r="B10" s="29" t="s">
        <v>12</v>
      </c>
      <c r="C10" s="38">
        <v>45047</v>
      </c>
      <c r="E10" s="4"/>
      <c r="F10" s="6"/>
      <c r="H10" s="114" t="s">
        <v>41</v>
      </c>
      <c r="I10" s="115"/>
      <c r="J10" s="116"/>
    </row>
    <row r="11" spans="2:12" ht="14.5" customHeight="1" x14ac:dyDescent="0.35">
      <c r="B11" s="30" t="s">
        <v>13</v>
      </c>
      <c r="C11" s="39">
        <f>C10+C12-1</f>
        <v>45077</v>
      </c>
      <c r="E11" s="55" t="s">
        <v>30</v>
      </c>
      <c r="F11" s="56">
        <f>F4+F6+F7+F8+F9-F5</f>
        <v>1215.0117171616439</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45102</v>
      </c>
      <c r="E13" s="53" t="s">
        <v>31</v>
      </c>
      <c r="F13" s="54">
        <v>18000</v>
      </c>
    </row>
    <row r="14" spans="2:12" x14ac:dyDescent="0.35">
      <c r="E14" s="51" t="s">
        <v>32</v>
      </c>
      <c r="F14" s="52">
        <f>F13-F11</f>
        <v>16784.988282838356</v>
      </c>
      <c r="H14" s="96" t="s">
        <v>44</v>
      </c>
      <c r="I14" s="97"/>
    </row>
    <row r="15" spans="2:12" ht="29.5" thickBot="1" x14ac:dyDescent="0.4">
      <c r="B15"/>
      <c r="C15" s="3"/>
      <c r="E15" s="53" t="s">
        <v>33</v>
      </c>
      <c r="F15" s="54">
        <v>1200</v>
      </c>
      <c r="H15" s="7" t="s">
        <v>45</v>
      </c>
      <c r="I15" s="8">
        <f>K61</f>
        <v>171.01171716164387</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96" t="s">
        <v>51</v>
      </c>
      <c r="I18" s="97"/>
    </row>
    <row r="19" spans="2:23" ht="15" thickBot="1" x14ac:dyDescent="0.4">
      <c r="B19" s="31" t="s">
        <v>16</v>
      </c>
      <c r="C19" s="41">
        <f>C17+C3</f>
        <v>45132</v>
      </c>
      <c r="H19" s="7" t="s">
        <v>42</v>
      </c>
      <c r="I19" s="8">
        <f>'May Statement'!I19+'May Statement'!F6+'May Statement'!I7+'May Statement'!I15-'May Statement'!I11</f>
        <v>2088</v>
      </c>
    </row>
    <row r="20" spans="2:23" ht="15" thickBot="1" x14ac:dyDescent="0.4">
      <c r="H20" s="49" t="s">
        <v>43</v>
      </c>
      <c r="I20" s="50">
        <f>'May Statement'!I20+'May Statement'!F7+'May Statement'!I8+'May Statement'!I16-'May Statement'!I12</f>
        <v>0</v>
      </c>
      <c r="J20" s="5"/>
    </row>
    <row r="21" spans="2:23" x14ac:dyDescent="0.35">
      <c r="B21" s="96" t="s">
        <v>17</v>
      </c>
      <c r="C21" s="97"/>
      <c r="E21" s="96" t="s">
        <v>22</v>
      </c>
      <c r="F21" s="97"/>
      <c r="I21" s="62">
        <f>SUM(I19:I20)</f>
        <v>2088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9169.02</v>
      </c>
      <c r="L29" s="12">
        <f>M29</f>
        <v>5.6496235561643839</v>
      </c>
      <c r="M29" s="12">
        <f>K29*$F$22</f>
        <v>5.6496235561643839</v>
      </c>
      <c r="N29" s="12">
        <f>I29+J29-G29</f>
        <v>0</v>
      </c>
      <c r="O29" s="12">
        <f>P29</f>
        <v>0</v>
      </c>
      <c r="P29" s="12">
        <f>N29*$F$22</f>
        <v>0</v>
      </c>
      <c r="Q29" s="12">
        <f>K29+N29</f>
        <v>9169.02</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9174.67</v>
      </c>
      <c r="L30" s="13">
        <f>M30-M29</f>
        <v>5.6531048849315066</v>
      </c>
      <c r="M30" s="13">
        <f>IF(K30=0,0,M29+K30*$F$22)</f>
        <v>11.302728441095891</v>
      </c>
      <c r="N30" s="13">
        <f t="shared" ref="N30:N57" si="3">ROUND(N29+I30+J30+O29-G30,2)</f>
        <v>0</v>
      </c>
      <c r="O30" s="13">
        <f>P30-P29</f>
        <v>0</v>
      </c>
      <c r="P30" s="13">
        <f>ROUND(P29+N30*$F$22,2)</f>
        <v>0</v>
      </c>
      <c r="Q30" s="13">
        <f>ROUND(N30+K30-M29-P29,2)</f>
        <v>9169.02</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9180.32</v>
      </c>
      <c r="L31" s="13">
        <f t="shared" ref="L31:L57" si="7">M31-M30</f>
        <v>5.6565862136986276</v>
      </c>
      <c r="M31" s="13">
        <f t="shared" ref="M31:M57" si="8">IF(K31=0,0,M30+K31*$F$22)</f>
        <v>16.959314654794518</v>
      </c>
      <c r="N31" s="13">
        <f t="shared" si="3"/>
        <v>0</v>
      </c>
      <c r="O31" s="13">
        <f t="shared" ref="O31:O57" si="9">P31-P30</f>
        <v>0</v>
      </c>
      <c r="P31" s="13">
        <f t="shared" ref="P31:P56" si="10">ROUND(P30+N31*$F$22,2)</f>
        <v>0</v>
      </c>
      <c r="Q31" s="13">
        <f t="shared" ref="Q31:Q57" si="11">ROUND(N31+K31-M30-P30,2)</f>
        <v>9169.02</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9185.98</v>
      </c>
      <c r="L32" s="13">
        <f t="shared" si="7"/>
        <v>5.660073704109589</v>
      </c>
      <c r="M32" s="13">
        <f t="shared" si="8"/>
        <v>22.619388358904107</v>
      </c>
      <c r="N32" s="13">
        <f t="shared" si="3"/>
        <v>0</v>
      </c>
      <c r="O32" s="13">
        <f t="shared" si="9"/>
        <v>0</v>
      </c>
      <c r="P32" s="13">
        <f t="shared" si="10"/>
        <v>0</v>
      </c>
      <c r="Q32" s="13">
        <f t="shared" si="11"/>
        <v>9169.02</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9191.64</v>
      </c>
      <c r="L33" s="13">
        <f t="shared" si="7"/>
        <v>5.6635611945205468</v>
      </c>
      <c r="M33" s="13">
        <f t="shared" si="8"/>
        <v>28.282949553424654</v>
      </c>
      <c r="N33" s="13">
        <f t="shared" si="3"/>
        <v>0</v>
      </c>
      <c r="O33" s="13">
        <f t="shared" si="9"/>
        <v>0</v>
      </c>
      <c r="P33" s="13">
        <f t="shared" si="10"/>
        <v>0</v>
      </c>
      <c r="Q33" s="13">
        <f t="shared" si="11"/>
        <v>9169.02</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9197.2999999999993</v>
      </c>
      <c r="L34" s="13">
        <f t="shared" si="7"/>
        <v>5.6670486849315047</v>
      </c>
      <c r="M34" s="13">
        <f t="shared" si="8"/>
        <v>33.949998238356159</v>
      </c>
      <c r="N34" s="13">
        <f t="shared" si="3"/>
        <v>0</v>
      </c>
      <c r="O34" s="13">
        <f t="shared" si="9"/>
        <v>0</v>
      </c>
      <c r="P34" s="13">
        <f t="shared" si="10"/>
        <v>0</v>
      </c>
      <c r="Q34" s="13">
        <f t="shared" si="11"/>
        <v>9169.02</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9202.9699999999993</v>
      </c>
      <c r="L35" s="13">
        <f t="shared" si="7"/>
        <v>5.6705423369863013</v>
      </c>
      <c r="M35" s="13">
        <f t="shared" si="8"/>
        <v>39.62054057534246</v>
      </c>
      <c r="N35" s="13">
        <f t="shared" si="3"/>
        <v>0</v>
      </c>
      <c r="O35" s="13">
        <f t="shared" si="9"/>
        <v>0</v>
      </c>
      <c r="P35" s="13">
        <f t="shared" si="10"/>
        <v>0</v>
      </c>
      <c r="Q35" s="13">
        <f t="shared" si="11"/>
        <v>9169.02</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9208.64</v>
      </c>
      <c r="L36" s="13">
        <f t="shared" si="7"/>
        <v>5.6740359890410943</v>
      </c>
      <c r="M36" s="13">
        <f t="shared" si="8"/>
        <v>45.294576564383554</v>
      </c>
      <c r="N36" s="13">
        <f t="shared" si="3"/>
        <v>0</v>
      </c>
      <c r="O36" s="13">
        <f t="shared" si="9"/>
        <v>0</v>
      </c>
      <c r="P36" s="13">
        <f t="shared" si="10"/>
        <v>0</v>
      </c>
      <c r="Q36" s="13">
        <f t="shared" si="11"/>
        <v>9169.02</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9214.31</v>
      </c>
      <c r="L37" s="13">
        <f t="shared" si="7"/>
        <v>5.6775296410958873</v>
      </c>
      <c r="M37" s="13">
        <f t="shared" si="8"/>
        <v>50.972106205479442</v>
      </c>
      <c r="N37" s="13">
        <f t="shared" si="3"/>
        <v>0</v>
      </c>
      <c r="O37" s="13">
        <f t="shared" si="9"/>
        <v>0</v>
      </c>
      <c r="P37" s="13">
        <f t="shared" si="10"/>
        <v>0</v>
      </c>
      <c r="Q37" s="13">
        <f t="shared" si="11"/>
        <v>9169.02</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9219.99</v>
      </c>
      <c r="L38" s="13">
        <f t="shared" si="7"/>
        <v>5.681029454794519</v>
      </c>
      <c r="M38" s="13">
        <f t="shared" si="8"/>
        <v>56.653135660273961</v>
      </c>
      <c r="N38" s="13">
        <f t="shared" si="3"/>
        <v>0</v>
      </c>
      <c r="O38" s="13">
        <f t="shared" si="9"/>
        <v>0</v>
      </c>
      <c r="P38" s="13">
        <f t="shared" si="10"/>
        <v>0</v>
      </c>
      <c r="Q38" s="13">
        <f t="shared" si="11"/>
        <v>9169.02</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9225.67</v>
      </c>
      <c r="L39" s="13">
        <f t="shared" si="7"/>
        <v>5.6845292684931508</v>
      </c>
      <c r="M39" s="13">
        <f t="shared" si="8"/>
        <v>62.337664928767111</v>
      </c>
      <c r="N39" s="13">
        <f t="shared" si="3"/>
        <v>0</v>
      </c>
      <c r="O39" s="13">
        <f>P39-P38</f>
        <v>0</v>
      </c>
      <c r="P39" s="13">
        <f t="shared" si="10"/>
        <v>0</v>
      </c>
      <c r="Q39" s="13">
        <f t="shared" si="11"/>
        <v>9169.02</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9231.35</v>
      </c>
      <c r="L40" s="13">
        <f t="shared" si="7"/>
        <v>5.6880290821917754</v>
      </c>
      <c r="M40" s="13">
        <f t="shared" si="8"/>
        <v>68.025694010958887</v>
      </c>
      <c r="N40" s="13">
        <f t="shared" si="3"/>
        <v>0</v>
      </c>
      <c r="O40" s="13">
        <f t="shared" si="9"/>
        <v>0</v>
      </c>
      <c r="P40" s="13">
        <f t="shared" si="10"/>
        <v>0</v>
      </c>
      <c r="Q40" s="13">
        <f t="shared" si="11"/>
        <v>9169.01</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9237.0400000000009</v>
      </c>
      <c r="L41" s="13">
        <f t="shared" si="7"/>
        <v>5.6915350575342529</v>
      </c>
      <c r="M41" s="13">
        <f t="shared" si="8"/>
        <v>73.71722906849314</v>
      </c>
      <c r="N41" s="13">
        <f t="shared" si="3"/>
        <v>0</v>
      </c>
      <c r="O41" s="13">
        <f t="shared" si="9"/>
        <v>0</v>
      </c>
      <c r="P41" s="13">
        <f t="shared" si="10"/>
        <v>0</v>
      </c>
      <c r="Q41" s="13">
        <f t="shared" si="11"/>
        <v>9169.01</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9242.73</v>
      </c>
      <c r="L42" s="13">
        <f t="shared" si="7"/>
        <v>5.6950410328767163</v>
      </c>
      <c r="M42" s="13">
        <f t="shared" si="8"/>
        <v>79.412270101369856</v>
      </c>
      <c r="N42" s="13">
        <f t="shared" si="3"/>
        <v>0</v>
      </c>
      <c r="O42" s="13">
        <f t="shared" si="9"/>
        <v>0</v>
      </c>
      <c r="P42" s="13">
        <f t="shared" si="10"/>
        <v>0</v>
      </c>
      <c r="Q42" s="13">
        <f t="shared" si="11"/>
        <v>9169.01</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9248.43</v>
      </c>
      <c r="L43" s="13">
        <f t="shared" si="7"/>
        <v>5.6985531698630183</v>
      </c>
      <c r="M43" s="13">
        <f t="shared" si="8"/>
        <v>85.110823271232874</v>
      </c>
      <c r="N43" s="13">
        <f t="shared" si="3"/>
        <v>0</v>
      </c>
      <c r="O43" s="13">
        <f t="shared" si="9"/>
        <v>0</v>
      </c>
      <c r="P43" s="13">
        <f t="shared" si="10"/>
        <v>0</v>
      </c>
      <c r="Q43" s="13">
        <f t="shared" si="11"/>
        <v>9169.02</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9254.1299999999992</v>
      </c>
      <c r="L44" s="13">
        <f t="shared" si="7"/>
        <v>5.7020653068493203</v>
      </c>
      <c r="M44" s="13">
        <f t="shared" si="8"/>
        <v>90.812888578082195</v>
      </c>
      <c r="N44" s="13">
        <f t="shared" si="3"/>
        <v>0</v>
      </c>
      <c r="O44" s="13">
        <f t="shared" si="9"/>
        <v>0</v>
      </c>
      <c r="P44" s="13">
        <f t="shared" si="10"/>
        <v>0</v>
      </c>
      <c r="Q44" s="13">
        <f t="shared" si="11"/>
        <v>9169.02</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9259.83</v>
      </c>
      <c r="L45" s="13">
        <f t="shared" si="7"/>
        <v>5.7055774438356224</v>
      </c>
      <c r="M45" s="13">
        <f t="shared" si="8"/>
        <v>96.518466021917817</v>
      </c>
      <c r="N45" s="13">
        <f t="shared" si="3"/>
        <v>0</v>
      </c>
      <c r="O45" s="13">
        <f t="shared" si="9"/>
        <v>0</v>
      </c>
      <c r="P45" s="13">
        <f t="shared" si="10"/>
        <v>0</v>
      </c>
      <c r="Q45" s="13">
        <f t="shared" si="11"/>
        <v>9169.02</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9265.5400000000009</v>
      </c>
      <c r="L46" s="13">
        <f t="shared" si="7"/>
        <v>5.7090957424657489</v>
      </c>
      <c r="M46" s="13">
        <f t="shared" si="8"/>
        <v>102.22756176438357</v>
      </c>
      <c r="N46" s="13">
        <f t="shared" si="3"/>
        <v>0</v>
      </c>
      <c r="O46" s="13">
        <f t="shared" si="9"/>
        <v>0</v>
      </c>
      <c r="P46" s="13">
        <f t="shared" si="10"/>
        <v>0</v>
      </c>
      <c r="Q46" s="13">
        <f t="shared" si="11"/>
        <v>9169.02</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9271.25</v>
      </c>
      <c r="L47" s="13">
        <f t="shared" si="7"/>
        <v>5.7126140410958897</v>
      </c>
      <c r="M47" s="13">
        <f t="shared" si="8"/>
        <v>107.94017580547946</v>
      </c>
      <c r="N47" s="13">
        <f t="shared" si="3"/>
        <v>0</v>
      </c>
      <c r="O47" s="13">
        <f t="shared" si="9"/>
        <v>0</v>
      </c>
      <c r="P47" s="13">
        <f t="shared" si="10"/>
        <v>0</v>
      </c>
      <c r="Q47" s="13">
        <f t="shared" si="11"/>
        <v>9169.02</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9276.9599999999991</v>
      </c>
      <c r="L48" s="13">
        <f t="shared" si="7"/>
        <v>5.7161323397260304</v>
      </c>
      <c r="M48" s="13">
        <f t="shared" si="8"/>
        <v>113.65630814520549</v>
      </c>
      <c r="N48" s="13">
        <f t="shared" si="3"/>
        <v>0</v>
      </c>
      <c r="O48" s="13">
        <f t="shared" si="9"/>
        <v>0</v>
      </c>
      <c r="P48" s="13">
        <f t="shared" si="10"/>
        <v>0</v>
      </c>
      <c r="Q48" s="13">
        <f t="shared" si="11"/>
        <v>9169.02</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9282.68</v>
      </c>
      <c r="L49" s="13">
        <f t="shared" si="7"/>
        <v>5.7196567999999957</v>
      </c>
      <c r="M49" s="13">
        <f t="shared" si="8"/>
        <v>119.37596494520548</v>
      </c>
      <c r="N49" s="13">
        <f t="shared" si="3"/>
        <v>0</v>
      </c>
      <c r="O49" s="13">
        <f t="shared" si="9"/>
        <v>0</v>
      </c>
      <c r="P49" s="13">
        <f t="shared" si="10"/>
        <v>0</v>
      </c>
      <c r="Q49" s="13">
        <f t="shared" si="11"/>
        <v>9169.02</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9288.4</v>
      </c>
      <c r="L50" s="13">
        <f t="shared" si="7"/>
        <v>5.7231812602739751</v>
      </c>
      <c r="M50" s="13">
        <f t="shared" si="8"/>
        <v>125.09914620547946</v>
      </c>
      <c r="N50" s="13">
        <f t="shared" si="3"/>
        <v>0</v>
      </c>
      <c r="O50" s="13">
        <f t="shared" si="9"/>
        <v>0</v>
      </c>
      <c r="P50" s="13">
        <f t="shared" si="10"/>
        <v>0</v>
      </c>
      <c r="Q50" s="13">
        <f t="shared" si="11"/>
        <v>9169.02</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9294.1200000000008</v>
      </c>
      <c r="L51" s="13">
        <f t="shared" si="7"/>
        <v>5.7267057205479546</v>
      </c>
      <c r="M51" s="13">
        <f t="shared" si="8"/>
        <v>130.82585192602741</v>
      </c>
      <c r="N51" s="13">
        <f t="shared" si="3"/>
        <v>0</v>
      </c>
      <c r="O51" s="13">
        <f t="shared" si="9"/>
        <v>0</v>
      </c>
      <c r="P51" s="13">
        <f t="shared" si="10"/>
        <v>0</v>
      </c>
      <c r="Q51" s="13">
        <f t="shared" si="11"/>
        <v>9169.02</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9299.85</v>
      </c>
      <c r="L52" s="13">
        <f t="shared" si="7"/>
        <v>5.7302363424657585</v>
      </c>
      <c r="M52" s="13">
        <f t="shared" si="8"/>
        <v>136.55608826849317</v>
      </c>
      <c r="N52" s="13">
        <f>ROUND(N51+I52+J52+O51-G52,2)</f>
        <v>0</v>
      </c>
      <c r="O52" s="13">
        <f t="shared" si="9"/>
        <v>0</v>
      </c>
      <c r="P52" s="13">
        <f t="shared" si="10"/>
        <v>0</v>
      </c>
      <c r="Q52" s="13">
        <f t="shared" si="11"/>
        <v>9169.02</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9305.58</v>
      </c>
      <c r="L53" s="13">
        <f t="shared" si="7"/>
        <v>5.7337669643835625</v>
      </c>
      <c r="M53" s="13">
        <f t="shared" si="8"/>
        <v>142.28985523287673</v>
      </c>
      <c r="N53" s="13">
        <f t="shared" si="3"/>
        <v>0</v>
      </c>
      <c r="O53" s="13">
        <f t="shared" si="9"/>
        <v>0</v>
      </c>
      <c r="P53" s="13">
        <f t="shared" si="10"/>
        <v>0</v>
      </c>
      <c r="Q53" s="13">
        <f t="shared" si="11"/>
        <v>9169.02</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9311.31</v>
      </c>
      <c r="L54" s="13">
        <f t="shared" si="7"/>
        <v>5.7372975863013664</v>
      </c>
      <c r="M54" s="13">
        <f t="shared" si="8"/>
        <v>148.0271528191781</v>
      </c>
      <c r="N54" s="13">
        <f t="shared" si="3"/>
        <v>0</v>
      </c>
      <c r="O54" s="13">
        <f t="shared" si="9"/>
        <v>0</v>
      </c>
      <c r="P54" s="13">
        <f>ROUND(P53+N54*$F$22,2)</f>
        <v>0</v>
      </c>
      <c r="Q54" s="13">
        <f t="shared" si="11"/>
        <v>9169.02</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9317.0499999999993</v>
      </c>
      <c r="L55" s="13">
        <f t="shared" si="7"/>
        <v>5.7408343698630233</v>
      </c>
      <c r="M55" s="13">
        <f t="shared" si="8"/>
        <v>153.76798718904112</v>
      </c>
      <c r="N55" s="13">
        <f t="shared" si="3"/>
        <v>0</v>
      </c>
      <c r="O55" s="13">
        <f t="shared" si="9"/>
        <v>0</v>
      </c>
      <c r="P55" s="13">
        <f t="shared" si="10"/>
        <v>0</v>
      </c>
      <c r="Q55" s="13">
        <f t="shared" si="11"/>
        <v>9169.02</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9322.7900000000009</v>
      </c>
      <c r="L56" s="13">
        <f t="shared" si="7"/>
        <v>5.7443711534246518</v>
      </c>
      <c r="M56" s="13">
        <f t="shared" si="8"/>
        <v>159.51235834246577</v>
      </c>
      <c r="N56" s="13">
        <f t="shared" si="3"/>
        <v>0</v>
      </c>
      <c r="O56" s="13">
        <f t="shared" si="9"/>
        <v>0</v>
      </c>
      <c r="P56" s="13">
        <f t="shared" si="10"/>
        <v>0</v>
      </c>
      <c r="Q56" s="13">
        <f t="shared" si="11"/>
        <v>9169.02</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9328.5300000000007</v>
      </c>
      <c r="L57" s="13">
        <f t="shared" si="7"/>
        <v>5.7479079369863086</v>
      </c>
      <c r="M57" s="13">
        <f t="shared" si="8"/>
        <v>165.26026627945208</v>
      </c>
      <c r="N57" s="13">
        <f t="shared" si="3"/>
        <v>0</v>
      </c>
      <c r="O57" s="13">
        <f t="shared" si="9"/>
        <v>0</v>
      </c>
      <c r="P57" s="13">
        <f>ROUND(P56+N57*$F$22,2)</f>
        <v>0</v>
      </c>
      <c r="Q57" s="13">
        <f t="shared" si="11"/>
        <v>9169.02</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9334.2800000000007</v>
      </c>
      <c r="L58" s="13">
        <f t="shared" ref="L58" si="18">M58-M57</f>
        <v>5.75145088219179</v>
      </c>
      <c r="M58" s="13">
        <f t="shared" ref="M58" si="19">IF(K58=0,0,M57+K58*$F$22)</f>
        <v>171.01171716164387</v>
      </c>
      <c r="N58" s="13">
        <f t="shared" ref="N58" si="20">ROUND(N57+I58+J58+O57-G58,2)</f>
        <v>0</v>
      </c>
      <c r="O58" s="13">
        <f t="shared" ref="O58" si="21">P58-P57</f>
        <v>0</v>
      </c>
      <c r="P58" s="13">
        <f>ROUND(P57+N58*$F$22,2)</f>
        <v>0</v>
      </c>
      <c r="Q58" s="13">
        <f t="shared" ref="Q58" si="22">ROUND(N58+K58-M57-P57,2)</f>
        <v>9169.02</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11" t="s">
        <v>49</v>
      </c>
      <c r="C59" s="112"/>
      <c r="D59" s="67">
        <f t="shared" ref="D59:L59" si="27">SUM(D29:D58)</f>
        <v>0</v>
      </c>
      <c r="E59" s="21">
        <f t="shared" si="27"/>
        <v>0</v>
      </c>
      <c r="F59" s="21">
        <f t="shared" si="27"/>
        <v>0</v>
      </c>
      <c r="G59" s="21">
        <f t="shared" si="27"/>
        <v>0</v>
      </c>
      <c r="H59" s="22">
        <f t="shared" si="27"/>
        <v>0</v>
      </c>
      <c r="I59" s="20">
        <f t="shared" si="27"/>
        <v>0</v>
      </c>
      <c r="J59" s="21">
        <f t="shared" si="27"/>
        <v>0</v>
      </c>
      <c r="K59" s="21">
        <f t="shared" si="27"/>
        <v>277542.36000000004</v>
      </c>
      <c r="L59" s="74">
        <f t="shared" si="27"/>
        <v>171.01171716164387</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9251.4120000000021</v>
      </c>
      <c r="M60" s="82" t="s">
        <v>69</v>
      </c>
      <c r="N60" s="82">
        <f>N59/$C$18</f>
        <v>0</v>
      </c>
      <c r="O60" s="61"/>
      <c r="S60" s="82" t="s">
        <v>65</v>
      </c>
      <c r="T60" s="82">
        <f>T59/$C$18</f>
        <v>0</v>
      </c>
    </row>
    <row r="61" spans="2:23" ht="15" thickBot="1" x14ac:dyDescent="0.4">
      <c r="H61" s="2"/>
      <c r="J61" s="82" t="s">
        <v>72</v>
      </c>
      <c r="K61" s="82">
        <f>M58</f>
        <v>171.01171716164387</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2024-02-12T10:32:07Z</dcterms:modified>
</cp:coreProperties>
</file>