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536B02F9-4D12-48E3-A260-8E0341B9737D}"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5" i="13" l="1"/>
  <c r="T56" i="13"/>
  <c r="M78" i="13" l="1"/>
  <c r="M79" i="13" s="1"/>
  <c r="F4" i="15"/>
  <c r="I19" i="15"/>
  <c r="S60" i="16"/>
  <c r="R60" i="16"/>
  <c r="F7" i="16" s="1"/>
  <c r="J60" i="16"/>
  <c r="I60" i="16"/>
  <c r="F6" i="16" s="1"/>
  <c r="D60" i="16"/>
  <c r="E29" i="16"/>
  <c r="F23" i="16"/>
  <c r="F22" i="16"/>
  <c r="F18" i="16"/>
  <c r="C16" i="16"/>
  <c r="C11" i="16"/>
  <c r="C10" i="16"/>
  <c r="I8" i="16"/>
  <c r="C8" i="16"/>
  <c r="I7" i="16"/>
  <c r="F8" i="16" s="1"/>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59" i="13"/>
  <c r="R59" i="13"/>
  <c r="J59" i="13"/>
  <c r="I59" i="13"/>
  <c r="D59"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M29" i="13" s="1"/>
  <c r="L29" i="13" s="1"/>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N29" i="16" l="1"/>
  <c r="T29" i="16"/>
  <c r="F30" i="16"/>
  <c r="V29" i="16" l="1"/>
  <c r="W29" i="16"/>
  <c r="P29" i="16"/>
  <c r="O29" i="16" l="1"/>
  <c r="U29" i="16"/>
  <c r="H30" i="16" l="1"/>
  <c r="T30" i="16" s="1"/>
  <c r="W30" i="16" l="1"/>
  <c r="V30" i="16"/>
  <c r="G30" i="16"/>
  <c r="F31" i="16"/>
  <c r="U30" i="16" l="1"/>
  <c r="N30" i="16"/>
  <c r="P30" i="16" l="1"/>
  <c r="H31" i="16"/>
  <c r="G31" i="16" l="1"/>
  <c r="F32" i="16"/>
  <c r="T31" i="16"/>
  <c r="O30" i="16"/>
  <c r="W31" i="16" l="1"/>
  <c r="V31" i="16"/>
  <c r="N31" i="16"/>
  <c r="P31" i="16" l="1"/>
  <c r="U31" i="16"/>
  <c r="H32" i="16" l="1"/>
  <c r="T32" i="16" s="1"/>
  <c r="O31" i="16"/>
  <c r="W32" i="16" l="1"/>
  <c r="V32" i="16"/>
  <c r="F33" i="16"/>
  <c r="G32" i="16"/>
  <c r="N32" i="16" l="1"/>
  <c r="U32" i="16"/>
  <c r="H33" i="16" l="1"/>
  <c r="T33" i="16" s="1"/>
  <c r="P32" i="16"/>
  <c r="O32" i="16" l="1"/>
  <c r="W33" i="16"/>
  <c r="V33" i="16"/>
  <c r="G33" i="16"/>
  <c r="F34" i="16"/>
  <c r="N33" i="16" l="1"/>
  <c r="U33" i="16"/>
  <c r="H34" i="16" s="1"/>
  <c r="T34" i="16" s="1"/>
  <c r="V34" i="16" s="1"/>
  <c r="F35" i="16" l="1"/>
  <c r="G34" i="16"/>
  <c r="U34" i="16"/>
  <c r="W34" i="16"/>
  <c r="P33" i="16"/>
  <c r="H35" i="16" l="1"/>
  <c r="G35" i="16" s="1"/>
  <c r="O33" i="16"/>
  <c r="N34" i="16" s="1"/>
  <c r="P34" i="16" s="1"/>
  <c r="T35" i="16" l="1"/>
  <c r="W35" i="16" s="1"/>
  <c r="F36" i="16"/>
  <c r="O34" i="16"/>
  <c r="N35" i="16" s="1"/>
  <c r="V35" i="16" l="1"/>
  <c r="U35" i="16" s="1"/>
  <c r="P35" i="16"/>
  <c r="H36" i="16" l="1"/>
  <c r="T36" i="16" s="1"/>
  <c r="O35" i="16"/>
  <c r="W36" i="16" l="1"/>
  <c r="V36" i="16"/>
  <c r="F37" i="16"/>
  <c r="G36" i="16"/>
  <c r="N36" i="16" s="1"/>
  <c r="P36" i="16" l="1"/>
  <c r="U36" i="16"/>
  <c r="H37" i="16" l="1"/>
  <c r="O36" i="16"/>
  <c r="G37" i="16" l="1"/>
  <c r="N37" i="16" s="1"/>
  <c r="F38" i="16"/>
  <c r="T37" i="16"/>
  <c r="W37" i="16" l="1"/>
  <c r="V37" i="16"/>
  <c r="P37" i="16"/>
  <c r="O37" i="16" l="1"/>
  <c r="U37" i="16"/>
  <c r="H38" i="16" s="1"/>
  <c r="T38" i="16" l="1"/>
  <c r="G38" i="16"/>
  <c r="N38" i="16" s="1"/>
  <c r="F39" i="16"/>
  <c r="P38" i="16" l="1"/>
  <c r="W38" i="16"/>
  <c r="V38" i="16"/>
  <c r="U38" i="16" l="1"/>
  <c r="O38" i="16"/>
  <c r="H39" i="16" l="1"/>
  <c r="T39" i="16" s="1"/>
  <c r="W39" i="16" l="1"/>
  <c r="V39" i="16"/>
  <c r="G39" i="16"/>
  <c r="N39" i="16" s="1"/>
  <c r="F40" i="16"/>
  <c r="P39" i="16" l="1"/>
  <c r="U39" i="16"/>
  <c r="H40" i="16" s="1"/>
  <c r="T40" i="16" s="1"/>
  <c r="W40" i="16" l="1"/>
  <c r="F41" i="16"/>
  <c r="V40" i="16"/>
  <c r="O39" i="16"/>
  <c r="G40" i="16"/>
  <c r="N40" i="16" l="1"/>
  <c r="P40" i="16" s="1"/>
  <c r="U40" i="16"/>
  <c r="H41" i="16" l="1"/>
  <c r="T41" i="16" s="1"/>
  <c r="O40" i="16"/>
  <c r="W41" i="16" l="1"/>
  <c r="V41" i="16"/>
  <c r="F42" i="16"/>
  <c r="G41" i="16"/>
  <c r="N41" i="16" s="1"/>
  <c r="P41" i="16" l="1"/>
  <c r="U41" i="16"/>
  <c r="H42" i="16" l="1"/>
  <c r="T42" i="16" s="1"/>
  <c r="O41" i="16"/>
  <c r="W42" i="16" l="1"/>
  <c r="V42" i="16"/>
  <c r="G42" i="16"/>
  <c r="N42" i="16" s="1"/>
  <c r="F43" i="16"/>
  <c r="P42" i="16" l="1"/>
  <c r="U42" i="16"/>
  <c r="H43" i="16" l="1"/>
  <c r="T43" i="16" s="1"/>
  <c r="O42" i="16"/>
  <c r="W43" i="16" l="1"/>
  <c r="V43" i="16"/>
  <c r="G43" i="16"/>
  <c r="N43" i="16" s="1"/>
  <c r="F44" i="16"/>
  <c r="P43" i="16" l="1"/>
  <c r="U43" i="16"/>
  <c r="H44" i="16" l="1"/>
  <c r="T44" i="16" s="1"/>
  <c r="O43" i="16"/>
  <c r="W44" i="16" l="1"/>
  <c r="V44" i="16"/>
  <c r="G44" i="16"/>
  <c r="N44" i="16" s="1"/>
  <c r="F45" i="16"/>
  <c r="P44" i="16" l="1"/>
  <c r="U44" i="16"/>
  <c r="H45" i="16" l="1"/>
  <c r="O44" i="16"/>
  <c r="G45" i="16" l="1"/>
  <c r="N45" i="16" s="1"/>
  <c r="F46" i="16"/>
  <c r="T45" i="16"/>
  <c r="W45" i="16" l="1"/>
  <c r="V45" i="16"/>
  <c r="P45" i="16"/>
  <c r="U45" i="16" l="1"/>
  <c r="O45" i="16"/>
  <c r="H46" i="16" l="1"/>
  <c r="T46" i="16" s="1"/>
  <c r="W46" i="16" l="1"/>
  <c r="V46" i="16"/>
  <c r="G46" i="16"/>
  <c r="N46" i="16" s="1"/>
  <c r="F47" i="16"/>
  <c r="P46" i="16" l="1"/>
  <c r="U46" i="16"/>
  <c r="H47" i="16" l="1"/>
  <c r="T47" i="16" s="1"/>
  <c r="O46" i="16"/>
  <c r="W47" i="16" l="1"/>
  <c r="V47" i="16"/>
  <c r="G47" i="16"/>
  <c r="N47" i="16" s="1"/>
  <c r="F48" i="16"/>
  <c r="P47" i="16" l="1"/>
  <c r="U47" i="16"/>
  <c r="H48" i="16" l="1"/>
  <c r="T48" i="16" s="1"/>
  <c r="O47" i="16"/>
  <c r="W48" i="16" l="1"/>
  <c r="V48" i="16"/>
  <c r="G48" i="16"/>
  <c r="N48" i="16" s="1"/>
  <c r="F49" i="16"/>
  <c r="P48" i="16" l="1"/>
  <c r="U48" i="16"/>
  <c r="H49" i="16" s="1"/>
  <c r="T49" i="16" s="1"/>
  <c r="V49" i="16" s="1"/>
  <c r="U49" i="16" l="1"/>
  <c r="O48" i="16"/>
  <c r="F50" i="16"/>
  <c r="W49" i="16"/>
  <c r="G49" i="16"/>
  <c r="H50" i="16" l="1"/>
  <c r="T50" i="16" s="1"/>
  <c r="W50" i="16" s="1"/>
  <c r="N49" i="16"/>
  <c r="G50" i="16" l="1"/>
  <c r="F51" i="16"/>
  <c r="V50" i="16"/>
  <c r="U50" i="16" s="1"/>
  <c r="P49" i="16"/>
  <c r="H51" i="16" l="1"/>
  <c r="T51" i="16" s="1"/>
  <c r="O49" i="16"/>
  <c r="N50" i="16" s="1"/>
  <c r="P50" i="16" s="1"/>
  <c r="O50" i="16" l="1"/>
  <c r="W51" i="16"/>
  <c r="V51" i="16"/>
  <c r="G51" i="16"/>
  <c r="F52" i="16"/>
  <c r="N51" i="16" l="1"/>
  <c r="P51" i="16" s="1"/>
  <c r="U51" i="16"/>
  <c r="H52" i="16" l="1"/>
  <c r="T52" i="16" s="1"/>
  <c r="O51" i="16"/>
  <c r="W52" i="16" l="1"/>
  <c r="V52" i="16"/>
  <c r="F53" i="16"/>
  <c r="G52" i="16"/>
  <c r="N52" i="16" s="1"/>
  <c r="P52" i="16" l="1"/>
  <c r="K29" i="16"/>
  <c r="U52" i="16"/>
  <c r="Q29" i="16" l="1"/>
  <c r="M29" i="16"/>
  <c r="L29" i="16" s="1"/>
  <c r="K30" i="16" s="1"/>
  <c r="M30" i="16" s="1"/>
  <c r="L30" i="16" s="1"/>
  <c r="O52" i="16"/>
  <c r="H53" i="16"/>
  <c r="T53" i="16" s="1"/>
  <c r="Q30" i="16" l="1"/>
  <c r="K31" i="16"/>
  <c r="Q31" i="16" s="1"/>
  <c r="F54" i="16"/>
  <c r="G53" i="16"/>
  <c r="N53" i="16" s="1"/>
  <c r="W53" i="16"/>
  <c r="V53" i="16"/>
  <c r="M31" i="16" l="1"/>
  <c r="L31" i="16" s="1"/>
  <c r="K32" i="16" s="1"/>
  <c r="U53" i="16"/>
  <c r="P53" i="16"/>
  <c r="M32" i="16" l="1"/>
  <c r="Q32" i="16"/>
  <c r="O53" i="16"/>
  <c r="H54" i="16"/>
  <c r="T54" i="16" s="1"/>
  <c r="L32" i="16" l="1"/>
  <c r="K33" i="16" s="1"/>
  <c r="W54" i="16"/>
  <c r="V54" i="16"/>
  <c r="G54" i="16"/>
  <c r="N54" i="16" s="1"/>
  <c r="F55" i="16"/>
  <c r="M33" i="16" l="1"/>
  <c r="L33" i="16" s="1"/>
  <c r="K34" i="16" s="1"/>
  <c r="Q33" i="16"/>
  <c r="P54" i="16"/>
  <c r="U54" i="16"/>
  <c r="H55" i="16" s="1"/>
  <c r="T55" i="16" s="1"/>
  <c r="V55" i="16" s="1"/>
  <c r="M34" i="16" l="1"/>
  <c r="L34" i="16" s="1"/>
  <c r="K35" i="16" s="1"/>
  <c r="Q34" i="16"/>
  <c r="U55" i="16"/>
  <c r="O54" i="16"/>
  <c r="W55" i="16"/>
  <c r="F56" i="16"/>
  <c r="G55" i="16"/>
  <c r="H56" i="16" l="1"/>
  <c r="T56" i="16" s="1"/>
  <c r="W56" i="16" s="1"/>
  <c r="M35" i="16"/>
  <c r="L35" i="16" s="1"/>
  <c r="K36" i="16" s="1"/>
  <c r="Q35" i="16"/>
  <c r="N55" i="16"/>
  <c r="F57" i="16" l="1"/>
  <c r="V56" i="16"/>
  <c r="U56" i="16" s="1"/>
  <c r="G56" i="16"/>
  <c r="M36" i="16"/>
  <c r="L36" i="16" s="1"/>
  <c r="K37" i="16" s="1"/>
  <c r="Q36" i="16"/>
  <c r="P55" i="16"/>
  <c r="M37" i="16" l="1"/>
  <c r="Q37" i="16"/>
  <c r="H57" i="16"/>
  <c r="T57" i="16" s="1"/>
  <c r="O55" i="16"/>
  <c r="N56" i="16" s="1"/>
  <c r="P56" i="16" s="1"/>
  <c r="L37" i="16" l="1"/>
  <c r="K38" i="16" s="1"/>
  <c r="M38" i="16" s="1"/>
  <c r="L38" i="16" s="1"/>
  <c r="K39" i="16" s="1"/>
  <c r="O56" i="16"/>
  <c r="W57" i="16"/>
  <c r="V57" i="16"/>
  <c r="G57" i="16"/>
  <c r="F58" i="16"/>
  <c r="N57" i="16" l="1"/>
  <c r="P57" i="16" s="1"/>
  <c r="Q39" i="16"/>
  <c r="M39" i="16"/>
  <c r="Q38" i="16"/>
  <c r="U57" i="16"/>
  <c r="L39" i="16" l="1"/>
  <c r="H58" i="16"/>
  <c r="T58" i="16" s="1"/>
  <c r="O57" i="16"/>
  <c r="K40" i="16" l="1"/>
  <c r="W58" i="16"/>
  <c r="V58" i="16"/>
  <c r="G58" i="16"/>
  <c r="N58" i="16" s="1"/>
  <c r="F59" i="16"/>
  <c r="M40" i="16" l="1"/>
  <c r="L40" i="16" s="1"/>
  <c r="Q40" i="16"/>
  <c r="F60" i="16"/>
  <c r="U58" i="16"/>
  <c r="P58" i="16"/>
  <c r="K41" i="16" l="1"/>
  <c r="O58" i="16"/>
  <c r="H59" i="16"/>
  <c r="T59" i="16" s="1"/>
  <c r="M41" i="16" l="1"/>
  <c r="Q41" i="16"/>
  <c r="W59" i="16"/>
  <c r="T60" i="16"/>
  <c r="T61" i="16" s="1"/>
  <c r="T62" i="16" s="1"/>
  <c r="I16" i="16" s="1"/>
  <c r="V59" i="16"/>
  <c r="U59" i="16" s="1"/>
  <c r="U60" i="16" s="1"/>
  <c r="H60" i="16"/>
  <c r="I12" i="16" s="1"/>
  <c r="G59" i="16"/>
  <c r="G60" i="16" s="1"/>
  <c r="I11" i="16" s="1"/>
  <c r="L41" i="16" l="1"/>
  <c r="F5" i="16"/>
  <c r="N59" i="16"/>
  <c r="F16" i="16"/>
  <c r="K42" i="16" l="1"/>
  <c r="N60" i="16"/>
  <c r="P59" i="16"/>
  <c r="O59" i="16" s="1"/>
  <c r="O60" i="16" s="1"/>
  <c r="N61" i="16" l="1"/>
  <c r="N62" i="16" s="1"/>
  <c r="M42" i="16"/>
  <c r="L42" i="16" s="1"/>
  <c r="Q42" i="16"/>
  <c r="K43" i="16" l="1"/>
  <c r="M43" i="16" l="1"/>
  <c r="Q43" i="16"/>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F9" i="16" s="1"/>
  <c r="F11" i="16" s="1"/>
  <c r="F14" i="16" s="1"/>
  <c r="L59" i="16"/>
  <c r="L60" i="16" s="1"/>
  <c r="F30" i="15" l="1"/>
  <c r="F31" i="15"/>
  <c r="F32" i="15"/>
  <c r="F33" i="15" l="1"/>
  <c r="F34" i="15" l="1"/>
  <c r="F35" i="15" s="1"/>
  <c r="F36" i="15" l="1"/>
  <c r="F37" i="15" l="1"/>
  <c r="F38" i="15" l="1"/>
  <c r="F39" i="15" l="1"/>
  <c r="F40" i="15" l="1"/>
  <c r="F41" i="15" l="1"/>
  <c r="F42" i="15" l="1"/>
  <c r="F43" i="15" l="1"/>
  <c r="F44" i="15" l="1"/>
  <c r="F45" i="15" l="1"/>
  <c r="F46" i="15" l="1"/>
  <c r="F47" i="15" l="1"/>
  <c r="F48" i="15" l="1"/>
  <c r="F49" i="15" l="1"/>
  <c r="F50" i="15" l="1"/>
  <c r="F51" i="15" l="1"/>
  <c r="F52" i="15" l="1"/>
  <c r="F53" i="15" l="1"/>
  <c r="F54" i="15" l="1"/>
  <c r="F55" i="15" l="1"/>
  <c r="F56" i="15" l="1"/>
  <c r="F57" i="15" l="1"/>
  <c r="F58" i="15" l="1"/>
  <c r="F29" i="13" l="1"/>
  <c r="H29" i="13" s="1"/>
  <c r="I21" i="13"/>
  <c r="T29" i="13" l="1"/>
  <c r="V29" i="13" s="1"/>
  <c r="F30" i="13"/>
  <c r="G29" i="13"/>
  <c r="N29" i="13" s="1"/>
  <c r="W29" i="13" l="1"/>
  <c r="P29" i="13"/>
  <c r="U29" i="13" l="1"/>
  <c r="O29" i="13"/>
  <c r="H30" i="13" l="1"/>
  <c r="T30" i="13" s="1"/>
  <c r="V30" i="13" s="1"/>
  <c r="W30" i="13" l="1"/>
  <c r="G30" i="13"/>
  <c r="N30" i="13" s="1"/>
  <c r="F31" i="13"/>
  <c r="P30" i="13" l="1"/>
  <c r="U30" i="13"/>
  <c r="H31" i="13" s="1"/>
  <c r="G31" i="13" s="1"/>
  <c r="F32" i="13" l="1"/>
  <c r="O30" i="13"/>
  <c r="N31" i="13" s="1"/>
  <c r="P31" i="13" s="1"/>
  <c r="O31" i="13" s="1"/>
  <c r="T31" i="13"/>
  <c r="V31" i="13" s="1"/>
  <c r="W31" i="13" l="1"/>
  <c r="U31" i="13" l="1"/>
  <c r="H32" i="13" l="1"/>
  <c r="T32" i="13" s="1"/>
  <c r="V32" i="13" s="1"/>
  <c r="W32" i="13" l="1"/>
  <c r="G32" i="13"/>
  <c r="N32" i="13" s="1"/>
  <c r="F33" i="13"/>
  <c r="U32" i="13" l="1"/>
  <c r="H33" i="13" s="1"/>
  <c r="P32" i="13"/>
  <c r="T33" i="13" l="1"/>
  <c r="V33" i="13" s="1"/>
  <c r="F34" i="13"/>
  <c r="G33" i="13"/>
  <c r="O32" i="13"/>
  <c r="W33" i="13" l="1"/>
  <c r="N33" i="13"/>
  <c r="P33" i="13" s="1"/>
  <c r="O33" i="13" s="1"/>
  <c r="U33" i="13" l="1"/>
  <c r="H34" i="13" s="1"/>
  <c r="T34" i="13" l="1"/>
  <c r="V34" i="13" s="1"/>
  <c r="G34" i="13"/>
  <c r="N34" i="13" s="1"/>
  <c r="P34" i="13" s="1"/>
  <c r="F35" i="13"/>
  <c r="W34" i="13" l="1"/>
  <c r="O34" i="13"/>
  <c r="U34" i="13" l="1"/>
  <c r="Q29" i="13"/>
  <c r="H35" i="13" l="1"/>
  <c r="G35" i="13" l="1"/>
  <c r="N35" i="13" s="1"/>
  <c r="P35" i="13" s="1"/>
  <c r="F36" i="13"/>
  <c r="T35" i="13"/>
  <c r="V35" i="13" s="1"/>
  <c r="O35" i="13" l="1"/>
  <c r="W35" i="13"/>
  <c r="U35" i="13" l="1"/>
  <c r="H36" i="13" s="1"/>
  <c r="T36" i="13" l="1"/>
  <c r="V36" i="13" s="1"/>
  <c r="F37" i="13"/>
  <c r="G36" i="13"/>
  <c r="N36" i="13" s="1"/>
  <c r="P36" i="13" s="1"/>
  <c r="O36" i="13" s="1"/>
  <c r="W36" i="13" l="1"/>
  <c r="U36" i="13" l="1"/>
  <c r="H37" i="13" s="1"/>
  <c r="T37" i="13" l="1"/>
  <c r="V37" i="13" s="1"/>
  <c r="F38" i="13"/>
  <c r="G37" i="13"/>
  <c r="N37" i="13" s="1"/>
  <c r="P37" i="13" s="1"/>
  <c r="O37" i="13" l="1"/>
  <c r="W37" i="13"/>
  <c r="U37" i="13" l="1"/>
  <c r="H38" i="13" s="1"/>
  <c r="T38" i="13" l="1"/>
  <c r="V38" i="13" s="1"/>
  <c r="F39" i="13"/>
  <c r="G38" i="13"/>
  <c r="N38" i="13" s="1"/>
  <c r="W38" i="13" l="1"/>
  <c r="P38" i="13"/>
  <c r="O38" i="13" s="1"/>
  <c r="U38" i="13" l="1"/>
  <c r="H39" i="13" s="1"/>
  <c r="T39" i="13" l="1"/>
  <c r="V39" i="13" s="1"/>
  <c r="G39" i="13"/>
  <c r="N39" i="13" s="1"/>
  <c r="F40" i="13"/>
  <c r="P39" i="13" l="1"/>
  <c r="W39" i="13"/>
  <c r="O39" i="13" l="1"/>
  <c r="U39" i="13"/>
  <c r="H40" i="13" s="1"/>
  <c r="T40" i="13" l="1"/>
  <c r="V40" i="13" s="1"/>
  <c r="F41" i="13"/>
  <c r="G40" i="13"/>
  <c r="N40" i="13" s="1"/>
  <c r="P40" i="13" l="1"/>
  <c r="W40" i="13"/>
  <c r="U40" i="13" l="1"/>
  <c r="H41" i="13" s="1"/>
  <c r="O40" i="13"/>
  <c r="T41" i="13" l="1"/>
  <c r="V41" i="13" s="1"/>
  <c r="G41" i="13"/>
  <c r="N41" i="13" s="1"/>
  <c r="F42" i="13"/>
  <c r="P41" i="13" l="1"/>
  <c r="W41" i="13"/>
  <c r="U41" i="13" l="1"/>
  <c r="H42" i="13" s="1"/>
  <c r="O41" i="13"/>
  <c r="T42" i="13" l="1"/>
  <c r="V42" i="13" s="1"/>
  <c r="G42" i="13"/>
  <c r="N42" i="13" s="1"/>
  <c r="F43" i="13"/>
  <c r="P42" i="13" l="1"/>
  <c r="W42" i="13"/>
  <c r="O42" i="13" l="1"/>
  <c r="U42" i="13"/>
  <c r="H43" i="13" s="1"/>
  <c r="T43" i="13" l="1"/>
  <c r="V43" i="13" s="1"/>
  <c r="F44" i="13"/>
  <c r="G43" i="13"/>
  <c r="N43" i="13" s="1"/>
  <c r="W43" i="13" l="1"/>
  <c r="P43" i="13"/>
  <c r="O43" i="13" l="1"/>
  <c r="U43" i="13"/>
  <c r="H44" i="13" s="1"/>
  <c r="T44" i="13" l="1"/>
  <c r="V44" i="13" s="1"/>
  <c r="G44" i="13"/>
  <c r="N44" i="13" s="1"/>
  <c r="F45" i="13"/>
  <c r="P44" i="13" l="1"/>
  <c r="W44" i="13"/>
  <c r="U44" i="13" l="1"/>
  <c r="H45" i="13" s="1"/>
  <c r="O44" i="13"/>
  <c r="T45" i="13" l="1"/>
  <c r="V45" i="13" s="1"/>
  <c r="G45" i="13"/>
  <c r="N45" i="13" s="1"/>
  <c r="F46" i="13"/>
  <c r="P45" i="13" l="1"/>
  <c r="W45" i="13"/>
  <c r="U45" i="13" l="1"/>
  <c r="H46" i="13" s="1"/>
  <c r="O45" i="13"/>
  <c r="T46" i="13" l="1"/>
  <c r="V46" i="13" s="1"/>
  <c r="G46" i="13"/>
  <c r="N46" i="13" s="1"/>
  <c r="F47" i="13"/>
  <c r="P46" i="13" l="1"/>
  <c r="W46" i="13"/>
  <c r="O46" i="13" l="1"/>
  <c r="U46" i="13"/>
  <c r="H47" i="13" s="1"/>
  <c r="T47" i="13" l="1"/>
  <c r="V47" i="13" s="1"/>
  <c r="G47" i="13"/>
  <c r="N47" i="13" s="1"/>
  <c r="F48" i="13"/>
  <c r="W47" i="13" l="1"/>
  <c r="P47" i="13"/>
  <c r="O47" i="13" l="1"/>
  <c r="U47" i="13"/>
  <c r="H48" i="13" s="1"/>
  <c r="T48" i="13" l="1"/>
  <c r="V48" i="13" s="1"/>
  <c r="F49" i="13"/>
  <c r="G48" i="13"/>
  <c r="N48" i="13" s="1"/>
  <c r="P48" i="13" l="1"/>
  <c r="O48" i="13" s="1"/>
  <c r="W48" i="13"/>
  <c r="U48" i="13" l="1"/>
  <c r="H49" i="13" s="1"/>
  <c r="T49" i="13" l="1"/>
  <c r="V49" i="13" s="1"/>
  <c r="G49" i="13"/>
  <c r="N49" i="13" s="1"/>
  <c r="F50" i="13"/>
  <c r="P49" i="13" l="1"/>
  <c r="O49" i="13" s="1"/>
  <c r="W49" i="13"/>
  <c r="U49" i="13" l="1"/>
  <c r="H50" i="13" s="1"/>
  <c r="T50" i="13" l="1"/>
  <c r="V50" i="13" s="1"/>
  <c r="G50" i="13"/>
  <c r="N50" i="13" s="1"/>
  <c r="F51" i="13"/>
  <c r="W50" i="13" l="1"/>
  <c r="P50" i="13"/>
  <c r="O50" i="13" s="1"/>
  <c r="U50" i="13" l="1"/>
  <c r="H51" i="13" s="1"/>
  <c r="T51" i="13" l="1"/>
  <c r="V51" i="13" s="1"/>
  <c r="G51" i="13"/>
  <c r="N51" i="13" s="1"/>
  <c r="F52" i="13"/>
  <c r="W51" i="13" l="1"/>
  <c r="P51" i="13"/>
  <c r="O51" i="13" s="1"/>
  <c r="U51" i="13" l="1"/>
  <c r="H52" i="13" s="1"/>
  <c r="T52" i="13" l="1"/>
  <c r="V52" i="13" s="1"/>
  <c r="G52" i="13"/>
  <c r="N52" i="13" s="1"/>
  <c r="F53" i="13"/>
  <c r="P52" i="13" l="1"/>
  <c r="W52" i="13"/>
  <c r="K30" i="13"/>
  <c r="M30" i="13" l="1"/>
  <c r="L30" i="13" s="1"/>
  <c r="Q30" i="13"/>
  <c r="U52" i="13"/>
  <c r="H53" i="13" s="1"/>
  <c r="O52" i="13"/>
  <c r="K31" i="13" l="1"/>
  <c r="T53" i="13"/>
  <c r="V53" i="13" s="1"/>
  <c r="G53" i="13"/>
  <c r="N53" i="13" s="1"/>
  <c r="F54" i="13"/>
  <c r="Q31" i="13" l="1"/>
  <c r="M31" i="13"/>
  <c r="L31" i="13" s="1"/>
  <c r="W53" i="13"/>
  <c r="P53" i="13"/>
  <c r="O53" i="13" s="1"/>
  <c r="K32" i="13" l="1"/>
  <c r="U53" i="13"/>
  <c r="H54" i="13" s="1"/>
  <c r="T54" i="13" l="1"/>
  <c r="V54" i="13" s="1"/>
  <c r="G54" i="13"/>
  <c r="N54" i="13" s="1"/>
  <c r="F55" i="13"/>
  <c r="M32" i="13"/>
  <c r="L32" i="13" s="1"/>
  <c r="Q32" i="13"/>
  <c r="K33" i="13" l="1"/>
  <c r="P54" i="13"/>
  <c r="W54" i="13"/>
  <c r="U54" i="13" l="1"/>
  <c r="H55" i="13" s="1"/>
  <c r="M33" i="13"/>
  <c r="L33" i="13" s="1"/>
  <c r="Q33" i="13"/>
  <c r="O54" i="13"/>
  <c r="T55" i="13" l="1"/>
  <c r="G55" i="13"/>
  <c r="N55" i="13" s="1"/>
  <c r="F56" i="13"/>
  <c r="K34" i="13"/>
  <c r="V55" i="13" l="1"/>
  <c r="N66" i="13"/>
  <c r="N67" i="13" s="1"/>
  <c r="P55" i="13"/>
  <c r="O55" i="13" s="1"/>
  <c r="O66" i="13" s="1"/>
  <c r="O68" i="13" s="1"/>
  <c r="M34" i="13"/>
  <c r="L34" i="13" s="1"/>
  <c r="Q34" i="13"/>
  <c r="W55" i="13"/>
  <c r="K35" i="13" l="1"/>
  <c r="U55" i="13"/>
  <c r="H56" i="13" l="1"/>
  <c r="M35" i="13"/>
  <c r="L35" i="13" s="1"/>
  <c r="K36" i="13" s="1"/>
  <c r="Q35" i="13"/>
  <c r="V56" i="13"/>
  <c r="G56" i="13"/>
  <c r="N56" i="13" s="1"/>
  <c r="F57" i="13"/>
  <c r="M36" i="13" l="1"/>
  <c r="L36" i="13" s="1"/>
  <c r="K37" i="13" s="1"/>
  <c r="Q36" i="13"/>
  <c r="P56" i="13"/>
  <c r="O56" i="13" s="1"/>
  <c r="W56" i="13"/>
  <c r="U56" i="13" l="1"/>
  <c r="H57" i="13" s="1"/>
  <c r="M37" i="13"/>
  <c r="L37" i="13" s="1"/>
  <c r="K38" i="13" s="1"/>
  <c r="Q37" i="13"/>
  <c r="T57" i="13" l="1"/>
  <c r="G57" i="13"/>
  <c r="N57" i="13" s="1"/>
  <c r="F58" i="13"/>
  <c r="M38" i="13"/>
  <c r="L38" i="13" s="1"/>
  <c r="K39" i="13" s="1"/>
  <c r="Q38" i="13"/>
  <c r="V57" i="13" l="1"/>
  <c r="P57" i="13"/>
  <c r="O57" i="13" s="1"/>
  <c r="M39" i="13"/>
  <c r="L39" i="13" s="1"/>
  <c r="K40" i="13" s="1"/>
  <c r="Q39" i="13"/>
  <c r="W57" i="13"/>
  <c r="M40" i="13" l="1"/>
  <c r="L40" i="13" s="1"/>
  <c r="K41" i="13" s="1"/>
  <c r="Q40" i="13"/>
  <c r="U57" i="13"/>
  <c r="H58" i="13" l="1"/>
  <c r="T58" i="13" s="1"/>
  <c r="M41" i="13"/>
  <c r="L41" i="13" s="1"/>
  <c r="K42" i="13" s="1"/>
  <c r="Q41" i="13"/>
  <c r="V58" i="13" l="1"/>
  <c r="T65" i="13"/>
  <c r="T66" i="13" s="1"/>
  <c r="T67" i="13" s="1"/>
  <c r="W58" i="13"/>
  <c r="M42" i="13"/>
  <c r="L42" i="13" s="1"/>
  <c r="K43" i="13" s="1"/>
  <c r="Q42" i="13"/>
  <c r="G58" i="13"/>
  <c r="N58" i="13" s="1"/>
  <c r="N83" i="13" s="1"/>
  <c r="N84" i="13" s="1"/>
  <c r="N85" i="13" s="1"/>
  <c r="F59" i="13" l="1"/>
  <c r="P58" i="13"/>
  <c r="O58" i="13" s="1"/>
  <c r="M43" i="13"/>
  <c r="L43" i="13" s="1"/>
  <c r="K44" i="13" s="1"/>
  <c r="Q43" i="13"/>
  <c r="U58" i="13"/>
  <c r="M44" i="13" l="1"/>
  <c r="L44" i="13" s="1"/>
  <c r="K45" i="13" s="1"/>
  <c r="Q44" i="13"/>
  <c r="M45" i="13" l="1"/>
  <c r="L45" i="13" s="1"/>
  <c r="K46" i="13" s="1"/>
  <c r="Q45" i="13"/>
  <c r="T59" i="13"/>
  <c r="U59" i="13"/>
  <c r="H59" i="13"/>
  <c r="I12" i="13" s="1"/>
  <c r="T60" i="13" l="1"/>
  <c r="T61" i="13" s="1"/>
  <c r="I16" i="13" s="1"/>
  <c r="M46" i="13"/>
  <c r="L46" i="13" s="1"/>
  <c r="K47" i="13" s="1"/>
  <c r="Q46" i="13"/>
  <c r="G59" i="13"/>
  <c r="I11" i="13" s="1"/>
  <c r="F16" i="13" l="1"/>
  <c r="F9" i="13"/>
  <c r="I20" i="15"/>
  <c r="I21" i="15" s="1"/>
  <c r="I20" i="14"/>
  <c r="N59" i="13"/>
  <c r="N60" i="13" s="1"/>
  <c r="N61" i="13" s="1"/>
  <c r="P64" i="13" s="1"/>
  <c r="M47" i="13"/>
  <c r="L47" i="13" s="1"/>
  <c r="K48" i="13" s="1"/>
  <c r="Q47" i="13"/>
  <c r="F5" i="13"/>
  <c r="I19" i="14"/>
  <c r="F29" i="15" l="1"/>
  <c r="H29" i="15" s="1"/>
  <c r="T29" i="15" s="1"/>
  <c r="F11" i="13"/>
  <c r="F4" i="14" s="1"/>
  <c r="M48" i="13"/>
  <c r="L48" i="13" s="1"/>
  <c r="K49" i="13" s="1"/>
  <c r="Q48" i="13"/>
  <c r="O59" i="13"/>
  <c r="P65" i="13"/>
  <c r="F29" i="14"/>
  <c r="I21" i="14"/>
  <c r="K40" i="15"/>
  <c r="M40" i="15" s="1"/>
  <c r="K39" i="15" l="1"/>
  <c r="M39" i="15" s="1"/>
  <c r="L40" i="15" s="1"/>
  <c r="K41" i="15" s="1"/>
  <c r="M41" i="15" s="1"/>
  <c r="L41" i="15" s="1"/>
  <c r="K42" i="15" s="1"/>
  <c r="M42" i="15" s="1"/>
  <c r="L42" i="15" s="1"/>
  <c r="K43" i="15" s="1"/>
  <c r="M43" i="15" s="1"/>
  <c r="L43" i="15" s="1"/>
  <c r="K57" i="15"/>
  <c r="M57" i="15" s="1"/>
  <c r="K37" i="15"/>
  <c r="M37" i="15" s="1"/>
  <c r="F59" i="15"/>
  <c r="G29" i="15"/>
  <c r="N29" i="15" s="1"/>
  <c r="P29" i="15" s="1"/>
  <c r="K54" i="15"/>
  <c r="M54" i="15" s="1"/>
  <c r="K51" i="15"/>
  <c r="M51" i="15" s="1"/>
  <c r="K33" i="15"/>
  <c r="M33" i="15" s="1"/>
  <c r="K46" i="15"/>
  <c r="M46" i="15" s="1"/>
  <c r="K32" i="15"/>
  <c r="M32" i="15" s="1"/>
  <c r="K45" i="15"/>
  <c r="M45" i="15" s="1"/>
  <c r="K31" i="15"/>
  <c r="M31" i="15" s="1"/>
  <c r="K44" i="15"/>
  <c r="M44" i="15" s="1"/>
  <c r="K30" i="15"/>
  <c r="M30" i="15" s="1"/>
  <c r="K29" i="15"/>
  <c r="M29" i="15" s="1"/>
  <c r="L29" i="15" s="1"/>
  <c r="F14" i="13"/>
  <c r="H29" i="14"/>
  <c r="G29" i="14" s="1"/>
  <c r="N29" i="14" s="1"/>
  <c r="P29" i="14" s="1"/>
  <c r="O29" i="14" s="1"/>
  <c r="W29" i="15"/>
  <c r="V29" i="15"/>
  <c r="U29" i="15" s="1"/>
  <c r="H30" i="15" s="1"/>
  <c r="M49" i="13"/>
  <c r="L49" i="13" s="1"/>
  <c r="K50" i="13" s="1"/>
  <c r="Q49" i="13"/>
  <c r="L33" i="15" l="1"/>
  <c r="K34" i="15" s="1"/>
  <c r="M34" i="15" s="1"/>
  <c r="L34" i="15" s="1"/>
  <c r="K35" i="15" s="1"/>
  <c r="M35" i="15" s="1"/>
  <c r="L35" i="15" s="1"/>
  <c r="K36" i="15" s="1"/>
  <c r="M36" i="15" s="1"/>
  <c r="L36" i="15" s="1"/>
  <c r="L45" i="15"/>
  <c r="L32" i="15"/>
  <c r="L46" i="15"/>
  <c r="K47" i="15" s="1"/>
  <c r="M47" i="15" s="1"/>
  <c r="L47" i="15" s="1"/>
  <c r="K48" i="15" s="1"/>
  <c r="M48" i="15" s="1"/>
  <c r="L48" i="15" s="1"/>
  <c r="K49" i="15" s="1"/>
  <c r="M49" i="15" s="1"/>
  <c r="L49" i="15" s="1"/>
  <c r="K50" i="15" s="1"/>
  <c r="M50" i="15" s="1"/>
  <c r="L50" i="15" s="1"/>
  <c r="Q29" i="15"/>
  <c r="L31" i="15"/>
  <c r="L44" i="15"/>
  <c r="O29" i="15"/>
  <c r="M50" i="13"/>
  <c r="L50" i="13" s="1"/>
  <c r="K51" i="13" s="1"/>
  <c r="Q50" i="13"/>
  <c r="T29" i="14"/>
  <c r="T30" i="15"/>
  <c r="G30" i="15"/>
  <c r="F30" i="14"/>
  <c r="L30" i="15"/>
  <c r="L37" i="15" l="1"/>
  <c r="K38" i="15" s="1"/>
  <c r="M38" i="15" s="1"/>
  <c r="L51" i="15"/>
  <c r="K52" i="15" s="1"/>
  <c r="M52" i="15" s="1"/>
  <c r="L52" i="15" s="1"/>
  <c r="K53" i="15" s="1"/>
  <c r="M53" i="15" s="1"/>
  <c r="L53" i="15" s="1"/>
  <c r="N30" i="15"/>
  <c r="P30" i="15" s="1"/>
  <c r="O30" i="15" s="1"/>
  <c r="V30" i="15"/>
  <c r="U30" i="15" s="1"/>
  <c r="H31" i="15" s="1"/>
  <c r="W30" i="15"/>
  <c r="V29" i="14"/>
  <c r="W29" i="14"/>
  <c r="L38" i="15"/>
  <c r="L39" i="15"/>
  <c r="M51" i="13"/>
  <c r="L51" i="13" s="1"/>
  <c r="K52" i="13" s="1"/>
  <c r="Q51" i="13"/>
  <c r="L54" i="15" l="1"/>
  <c r="K55" i="15" s="1"/>
  <c r="M55" i="15" s="1"/>
  <c r="L55" i="15" s="1"/>
  <c r="K56" i="15" s="1"/>
  <c r="M56" i="15" s="1"/>
  <c r="L56" i="15" s="1"/>
  <c r="Q30" i="15"/>
  <c r="U29" i="14"/>
  <c r="T31" i="15"/>
  <c r="G31" i="15"/>
  <c r="N31" i="15" s="1"/>
  <c r="M52" i="13"/>
  <c r="L52" i="13" s="1"/>
  <c r="K53" i="13" s="1"/>
  <c r="Q52" i="13"/>
  <c r="L57" i="15" l="1"/>
  <c r="K58" i="15" s="1"/>
  <c r="M58" i="15" s="1"/>
  <c r="L58" i="15" s="1"/>
  <c r="L59" i="15" s="1"/>
  <c r="K61" i="15"/>
  <c r="I15" i="15" s="1"/>
  <c r="K59" i="15"/>
  <c r="K60" i="15" s="1"/>
  <c r="H30" i="14"/>
  <c r="Q31" i="15"/>
  <c r="P31" i="15"/>
  <c r="V31" i="15"/>
  <c r="W31" i="15"/>
  <c r="M53" i="13"/>
  <c r="L53" i="13" s="1"/>
  <c r="K54" i="13" s="1"/>
  <c r="Q53" i="13"/>
  <c r="U31" i="15" l="1"/>
  <c r="H32" i="15" s="1"/>
  <c r="O31" i="15"/>
  <c r="F31" i="14"/>
  <c r="G30" i="14"/>
  <c r="N30" i="14" s="1"/>
  <c r="M54" i="13"/>
  <c r="L54" i="13" s="1"/>
  <c r="K55" i="13" s="1"/>
  <c r="Q54" i="13"/>
  <c r="T30" i="14"/>
  <c r="M55" i="13" l="1"/>
  <c r="Q55" i="13"/>
  <c r="K65" i="13"/>
  <c r="K66" i="13" s="1"/>
  <c r="K67" i="13" s="1"/>
  <c r="T32" i="15"/>
  <c r="G32" i="15"/>
  <c r="N32" i="15" s="1"/>
  <c r="P30" i="14"/>
  <c r="W30" i="14"/>
  <c r="V30" i="14"/>
  <c r="Q32" i="15" l="1"/>
  <c r="P32" i="15"/>
  <c r="U30" i="14"/>
  <c r="O30" i="14"/>
  <c r="W32" i="15"/>
  <c r="V32" i="15"/>
  <c r="U32" i="15" s="1"/>
  <c r="H33" i="15" s="1"/>
  <c r="M69" i="13"/>
  <c r="L55" i="13"/>
  <c r="K56" i="13" s="1"/>
  <c r="M74" i="13"/>
  <c r="G33" i="15" l="1"/>
  <c r="O32" i="15"/>
  <c r="H31" i="14"/>
  <c r="T33" i="15"/>
  <c r="M56" i="13"/>
  <c r="L56" i="13" s="1"/>
  <c r="Q56" i="13"/>
  <c r="F32" i="14" l="1"/>
  <c r="G31" i="14"/>
  <c r="N31" i="14" s="1"/>
  <c r="T31" i="14"/>
  <c r="K57" i="13"/>
  <c r="V33" i="15"/>
  <c r="W33" i="15"/>
  <c r="N33" i="15"/>
  <c r="M57" i="13" l="1"/>
  <c r="L57" i="13" s="1"/>
  <c r="Q57" i="13"/>
  <c r="P31" i="14"/>
  <c r="O31" i="14" s="1"/>
  <c r="W31" i="14"/>
  <c r="V31" i="14"/>
  <c r="U33" i="15"/>
  <c r="Q33" i="15"/>
  <c r="P33" i="15"/>
  <c r="O33" i="15" l="1"/>
  <c r="H34" i="15"/>
  <c r="G34" i="15" s="1"/>
  <c r="U31" i="14"/>
  <c r="K58" i="13"/>
  <c r="K74" i="13" s="1"/>
  <c r="K75" i="13" s="1"/>
  <c r="K76" i="13" s="1"/>
  <c r="M87" i="13" s="1"/>
  <c r="H32" i="14" l="1"/>
  <c r="T32" i="14" s="1"/>
  <c r="M58" i="13"/>
  <c r="L58" i="13" s="1"/>
  <c r="Q58" i="13"/>
  <c r="T34" i="15"/>
  <c r="N34" i="15"/>
  <c r="W32" i="14" l="1"/>
  <c r="V32" i="14"/>
  <c r="W34" i="15"/>
  <c r="V34" i="15"/>
  <c r="Q34" i="15"/>
  <c r="P34" i="15"/>
  <c r="O34" i="15" s="1"/>
  <c r="G32" i="14"/>
  <c r="N32" i="14" s="1"/>
  <c r="F33" i="14"/>
  <c r="K59" i="13" l="1"/>
  <c r="K60" i="13" s="1"/>
  <c r="K61" i="13" s="1"/>
  <c r="M64" i="13" s="1"/>
  <c r="M71" i="13" s="1"/>
  <c r="P32" i="14"/>
  <c r="U32" i="14"/>
  <c r="U34" i="15"/>
  <c r="H35" i="15" s="1"/>
  <c r="O32" i="14" l="1"/>
  <c r="H33" i="14"/>
  <c r="T33" i="14" s="1"/>
  <c r="T35" i="15"/>
  <c r="G35" i="15"/>
  <c r="N35" i="15" s="1"/>
  <c r="L59" i="13"/>
  <c r="S69" i="13" s="1"/>
  <c r="N73" i="13"/>
  <c r="W33" i="14" l="1"/>
  <c r="V33" i="14"/>
  <c r="U33" i="14" s="1"/>
  <c r="W35" i="15"/>
  <c r="V35" i="15"/>
  <c r="P35" i="15"/>
  <c r="Q35" i="15"/>
  <c r="F34" i="14"/>
  <c r="G33" i="14"/>
  <c r="N33" i="14" s="1"/>
  <c r="U35" i="15" l="1"/>
  <c r="H36" i="15" s="1"/>
  <c r="H34" i="14"/>
  <c r="T34" i="14" s="1"/>
  <c r="P33" i="14"/>
  <c r="O33" i="14" s="1"/>
  <c r="O35" i="15"/>
  <c r="F35" i="14" l="1"/>
  <c r="V34" i="14"/>
  <c r="W34" i="14"/>
  <c r="T36" i="15"/>
  <c r="G36" i="15"/>
  <c r="N36" i="15" s="1"/>
  <c r="G34" i="14"/>
  <c r="N34" i="14" s="1"/>
  <c r="P34" i="14" l="1"/>
  <c r="Q36" i="15"/>
  <c r="P36" i="15"/>
  <c r="O36" i="15" s="1"/>
  <c r="W36" i="15"/>
  <c r="V36" i="15"/>
  <c r="U34" i="14"/>
  <c r="H35" i="14" l="1"/>
  <c r="T35" i="14" s="1"/>
  <c r="U36" i="15"/>
  <c r="H37" i="15" s="1"/>
  <c r="O34" i="14"/>
  <c r="W35" i="14" l="1"/>
  <c r="V35" i="14"/>
  <c r="T37" i="15"/>
  <c r="G37" i="15"/>
  <c r="N37" i="15" s="1"/>
  <c r="G35" i="14"/>
  <c r="N35" i="14" s="1"/>
  <c r="F36" i="14"/>
  <c r="P35" i="14" l="1"/>
  <c r="O35" i="14" s="1"/>
  <c r="P37" i="15"/>
  <c r="Q37" i="15"/>
  <c r="U35" i="14"/>
  <c r="W37" i="15"/>
  <c r="V37" i="15"/>
  <c r="U37" i="15" l="1"/>
  <c r="H38" i="15" s="1"/>
  <c r="H36" i="14"/>
  <c r="T36" i="14" s="1"/>
  <c r="O37" i="15"/>
  <c r="W36" i="14" l="1"/>
  <c r="V36" i="14"/>
  <c r="T38" i="15"/>
  <c r="G38" i="15"/>
  <c r="N38" i="15" s="1"/>
  <c r="G36" i="14"/>
  <c r="N36" i="14" s="1"/>
  <c r="F37" i="14"/>
  <c r="Q38" i="15" l="1"/>
  <c r="P38" i="15"/>
  <c r="U36" i="14"/>
  <c r="P36" i="14"/>
  <c r="W38" i="15"/>
  <c r="V38" i="15"/>
  <c r="O36" i="14" l="1"/>
  <c r="U38" i="15"/>
  <c r="H39" i="15" s="1"/>
  <c r="H37" i="14"/>
  <c r="T37" i="14" s="1"/>
  <c r="O38" i="15"/>
  <c r="W37" i="14" l="1"/>
  <c r="V37" i="14"/>
  <c r="G37" i="14"/>
  <c r="N37" i="14" s="1"/>
  <c r="F38" i="14"/>
  <c r="T39" i="15"/>
  <c r="G39" i="15"/>
  <c r="N39" i="15" s="1"/>
  <c r="Q39" i="15" l="1"/>
  <c r="P39" i="15"/>
  <c r="P37" i="14"/>
  <c r="O37" i="14" s="1"/>
  <c r="U37" i="14"/>
  <c r="W39" i="15"/>
  <c r="V39" i="15"/>
  <c r="U39" i="15" l="1"/>
  <c r="H40" i="15" s="1"/>
  <c r="O39" i="15"/>
  <c r="H38" i="14"/>
  <c r="T38" i="14" s="1"/>
  <c r="W38" i="14" l="1"/>
  <c r="V38" i="14"/>
  <c r="T40" i="15"/>
  <c r="G40" i="15"/>
  <c r="G38" i="14"/>
  <c r="N38" i="14" s="1"/>
  <c r="F39" i="14"/>
  <c r="N40" i="15"/>
  <c r="U38" i="14" l="1"/>
  <c r="Q40" i="15"/>
  <c r="P40" i="15"/>
  <c r="O40" i="15" s="1"/>
  <c r="P38" i="14"/>
  <c r="W40" i="15"/>
  <c r="V40" i="15"/>
  <c r="O38" i="14" l="1"/>
  <c r="U40" i="15"/>
  <c r="H39" i="14"/>
  <c r="F40" i="14" l="1"/>
  <c r="G39" i="14"/>
  <c r="N39" i="14" s="1"/>
  <c r="T39" i="14"/>
  <c r="H41" i="15"/>
  <c r="G41" i="15" s="1"/>
  <c r="N41" i="15" s="1"/>
  <c r="P39" i="14" l="1"/>
  <c r="O39" i="14" s="1"/>
  <c r="P41" i="15"/>
  <c r="Q41" i="15"/>
  <c r="T41" i="15"/>
  <c r="W39" i="14"/>
  <c r="V39" i="14"/>
  <c r="W41" i="15" l="1"/>
  <c r="V41" i="15"/>
  <c r="U39" i="14"/>
  <c r="O41" i="15"/>
  <c r="U41" i="15" l="1"/>
  <c r="H40" i="14"/>
  <c r="T40" i="14" s="1"/>
  <c r="W40" i="14" l="1"/>
  <c r="V40" i="14"/>
  <c r="U40" i="14" s="1"/>
  <c r="H42" i="15"/>
  <c r="G42" i="15" s="1"/>
  <c r="N42" i="15" s="1"/>
  <c r="F41" i="14"/>
  <c r="G40" i="14"/>
  <c r="N40" i="14" s="1"/>
  <c r="H41" i="14" l="1"/>
  <c r="T41" i="14" s="1"/>
  <c r="Q42" i="15"/>
  <c r="P42" i="15"/>
  <c r="O42" i="15" s="1"/>
  <c r="P40" i="14"/>
  <c r="T42" i="15"/>
  <c r="V41" i="14" l="1"/>
  <c r="U41" i="14" s="1"/>
  <c r="W41" i="14"/>
  <c r="F42" i="14"/>
  <c r="G41" i="14"/>
  <c r="O40" i="14"/>
  <c r="W42" i="15"/>
  <c r="V42" i="15"/>
  <c r="N41" i="14" l="1"/>
  <c r="P41" i="14" s="1"/>
  <c r="O41" i="14" s="1"/>
  <c r="U42" i="15"/>
  <c r="H43" i="15" s="1"/>
  <c r="H42" i="14"/>
  <c r="T42" i="14" s="1"/>
  <c r="W42" i="14" l="1"/>
  <c r="V42" i="14"/>
  <c r="G42" i="14"/>
  <c r="N42" i="14" s="1"/>
  <c r="F43" i="14"/>
  <c r="T43" i="15"/>
  <c r="G43" i="15"/>
  <c r="N43" i="15" s="1"/>
  <c r="P42" i="14" l="1"/>
  <c r="U42" i="14"/>
  <c r="P43" i="15"/>
  <c r="Q43" i="15"/>
  <c r="W43" i="15"/>
  <c r="V43" i="15"/>
  <c r="O43" i="15" l="1"/>
  <c r="H43" i="14"/>
  <c r="T43" i="14" s="1"/>
  <c r="U43" i="15"/>
  <c r="O42" i="14"/>
  <c r="H44" i="15" l="1"/>
  <c r="G44" i="15" s="1"/>
  <c r="N44" i="15" s="1"/>
  <c r="G43" i="14"/>
  <c r="N43" i="14" s="1"/>
  <c r="F44" i="14"/>
  <c r="W43" i="14"/>
  <c r="V43" i="14"/>
  <c r="U43" i="14" s="1"/>
  <c r="H44" i="14" l="1"/>
  <c r="T44" i="14" s="1"/>
  <c r="Q44" i="15"/>
  <c r="P44" i="15"/>
  <c r="O44" i="15" s="1"/>
  <c r="T44" i="15"/>
  <c r="P43" i="14"/>
  <c r="O43" i="14" s="1"/>
  <c r="G44" i="14" l="1"/>
  <c r="N44" i="14" s="1"/>
  <c r="F45" i="14"/>
  <c r="W44" i="15"/>
  <c r="V44" i="15"/>
  <c r="V44" i="14"/>
  <c r="W44" i="14"/>
  <c r="U44" i="14" l="1"/>
  <c r="U44" i="15"/>
  <c r="H45" i="15" s="1"/>
  <c r="P44" i="14"/>
  <c r="O44" i="14" l="1"/>
  <c r="T45" i="15"/>
  <c r="G45" i="15"/>
  <c r="N45" i="15" s="1"/>
  <c r="H45" i="14"/>
  <c r="T45" i="14" s="1"/>
  <c r="W45" i="14" l="1"/>
  <c r="V45" i="14"/>
  <c r="P45" i="15"/>
  <c r="Q45" i="15"/>
  <c r="F46" i="14"/>
  <c r="G45" i="14"/>
  <c r="N45" i="14" s="1"/>
  <c r="W45" i="15"/>
  <c r="V45" i="15"/>
  <c r="P45" i="14" l="1"/>
  <c r="O45" i="14" s="1"/>
  <c r="U45" i="14"/>
  <c r="U45" i="15"/>
  <c r="H46" i="15" s="1"/>
  <c r="O45" i="15"/>
  <c r="T46" i="15" l="1"/>
  <c r="G46" i="15"/>
  <c r="N46" i="15" s="1"/>
  <c r="H46" i="14"/>
  <c r="G46" i="14" l="1"/>
  <c r="N46" i="14" s="1"/>
  <c r="F47" i="14"/>
  <c r="W46" i="15"/>
  <c r="V46" i="15"/>
  <c r="Q46" i="15"/>
  <c r="P46" i="15"/>
  <c r="T46" i="14"/>
  <c r="P46" i="14" l="1"/>
  <c r="O46" i="15"/>
  <c r="W46" i="14"/>
  <c r="V46" i="14"/>
  <c r="U46" i="15"/>
  <c r="H47" i="15" s="1"/>
  <c r="O46" i="14" l="1"/>
  <c r="U46" i="14"/>
  <c r="H47" i="14" s="1"/>
  <c r="T47" i="15"/>
  <c r="G47" i="15"/>
  <c r="N47" i="15" s="1"/>
  <c r="Q47" i="15" l="1"/>
  <c r="P47" i="15"/>
  <c r="T47" i="14"/>
  <c r="G47" i="14"/>
  <c r="N47" i="14" s="1"/>
  <c r="F48" i="14"/>
  <c r="W47" i="15"/>
  <c r="V47" i="15"/>
  <c r="P47" i="14" l="1"/>
  <c r="O47" i="14" s="1"/>
  <c r="W47" i="14"/>
  <c r="V47" i="14"/>
  <c r="O47" i="15"/>
  <c r="U47" i="15"/>
  <c r="H48" i="15" s="1"/>
  <c r="U47" i="14" l="1"/>
  <c r="T48" i="15"/>
  <c r="G48" i="15"/>
  <c r="N48" i="15" s="1"/>
  <c r="W48" i="15" l="1"/>
  <c r="V48" i="15"/>
  <c r="Q48" i="15"/>
  <c r="P48" i="15"/>
  <c r="H48" i="14"/>
  <c r="F49" i="14" l="1"/>
  <c r="G48" i="14"/>
  <c r="N48" i="14" s="1"/>
  <c r="U48" i="15"/>
  <c r="H49" i="15" s="1"/>
  <c r="T48" i="14"/>
  <c r="O48" i="15"/>
  <c r="W48" i="14" l="1"/>
  <c r="V48" i="14"/>
  <c r="P48" i="14"/>
  <c r="O48" i="14" s="1"/>
  <c r="T49" i="15"/>
  <c r="G49" i="15"/>
  <c r="N49" i="15" s="1"/>
  <c r="Q49" i="15" l="1"/>
  <c r="P49" i="15"/>
  <c r="O49" i="15" s="1"/>
  <c r="W49" i="15"/>
  <c r="V49" i="15"/>
  <c r="U48" i="14"/>
  <c r="U49" i="15" l="1"/>
  <c r="H50" i="15" s="1"/>
  <c r="H49" i="14"/>
  <c r="T49" i="14" s="1"/>
  <c r="W49" i="14" l="1"/>
  <c r="V49" i="14"/>
  <c r="T50" i="15"/>
  <c r="G50" i="15"/>
  <c r="N50" i="15" s="1"/>
  <c r="G49" i="14"/>
  <c r="N49" i="14" s="1"/>
  <c r="F50" i="14"/>
  <c r="P49" i="14" l="1"/>
  <c r="W50" i="15"/>
  <c r="V50" i="15"/>
  <c r="U49" i="14"/>
  <c r="P50" i="15"/>
  <c r="Q50" i="15"/>
  <c r="O49" i="14" l="1"/>
  <c r="H50" i="14"/>
  <c r="T50" i="14" s="1"/>
  <c r="U50" i="15"/>
  <c r="H51" i="15" s="1"/>
  <c r="O50" i="15"/>
  <c r="W50" i="14" l="1"/>
  <c r="V50" i="14"/>
  <c r="T51" i="15"/>
  <c r="G51" i="15"/>
  <c r="N51" i="15" s="1"/>
  <c r="G50" i="14"/>
  <c r="N50" i="14" s="1"/>
  <c r="F51" i="14"/>
  <c r="Q51" i="15" l="1"/>
  <c r="P51" i="15"/>
  <c r="O51" i="15" s="1"/>
  <c r="U50" i="14"/>
  <c r="H51" i="14" s="1"/>
  <c r="T51" i="14" s="1"/>
  <c r="V51" i="14" s="1"/>
  <c r="W51" i="15"/>
  <c r="V51" i="15"/>
  <c r="U51" i="15" s="1"/>
  <c r="H52" i="15" s="1"/>
  <c r="G52" i="15" s="1"/>
  <c r="P50" i="14"/>
  <c r="O50" i="14" s="1"/>
  <c r="F52" i="14" l="1"/>
  <c r="T52" i="15"/>
  <c r="V52" i="15" s="1"/>
  <c r="U51" i="14"/>
  <c r="G51" i="14"/>
  <c r="N51" i="14" s="1"/>
  <c r="W51" i="14"/>
  <c r="N52" i="15"/>
  <c r="W52" i="15" l="1"/>
  <c r="H52" i="14"/>
  <c r="G52" i="14" s="1"/>
  <c r="P51" i="14"/>
  <c r="U52" i="15"/>
  <c r="H53" i="15" s="1"/>
  <c r="P52" i="15"/>
  <c r="Q52" i="15"/>
  <c r="F53" i="14" l="1"/>
  <c r="K29" i="14" s="1"/>
  <c r="T52" i="14"/>
  <c r="W52" i="14" s="1"/>
  <c r="O52" i="15"/>
  <c r="T53" i="15"/>
  <c r="G53" i="15"/>
  <c r="O51" i="14"/>
  <c r="N52" i="14" s="1"/>
  <c r="P52" i="14" s="1"/>
  <c r="O52" i="14" s="1"/>
  <c r="V52" i="14" l="1"/>
  <c r="U52" i="14" s="1"/>
  <c r="N53" i="15"/>
  <c r="Q53" i="15" s="1"/>
  <c r="M29" i="14"/>
  <c r="L29" i="14" s="1"/>
  <c r="K30" i="14" s="1"/>
  <c r="Q29" i="14"/>
  <c r="W53" i="15"/>
  <c r="V53" i="15"/>
  <c r="P53" i="15" l="1"/>
  <c r="O53" i="15" s="1"/>
  <c r="M30" i="14"/>
  <c r="L30" i="14" s="1"/>
  <c r="K31" i="14" s="1"/>
  <c r="Q30" i="14"/>
  <c r="H53" i="14"/>
  <c r="T53" i="14" s="1"/>
  <c r="U53" i="15"/>
  <c r="H54" i="15" s="1"/>
  <c r="W53" i="14" l="1"/>
  <c r="V53" i="14"/>
  <c r="M31" i="14"/>
  <c r="L31" i="14" s="1"/>
  <c r="K32" i="14" s="1"/>
  <c r="Q31" i="14"/>
  <c r="T54" i="15"/>
  <c r="G54" i="15"/>
  <c r="N54" i="15" s="1"/>
  <c r="G53" i="14"/>
  <c r="N53" i="14" s="1"/>
  <c r="F54" i="14"/>
  <c r="Q54" i="15" l="1"/>
  <c r="P54" i="15"/>
  <c r="U53" i="14"/>
  <c r="W54" i="15"/>
  <c r="V54" i="15"/>
  <c r="M32" i="14"/>
  <c r="L32" i="14" s="1"/>
  <c r="K33" i="14" s="1"/>
  <c r="Q32" i="14"/>
  <c r="P53" i="14"/>
  <c r="O53" i="14" l="1"/>
  <c r="H54" i="14"/>
  <c r="O54" i="15"/>
  <c r="U54" i="15"/>
  <c r="H55" i="15" s="1"/>
  <c r="M33" i="14"/>
  <c r="L33" i="14" s="1"/>
  <c r="K34" i="14" s="1"/>
  <c r="Q33" i="14"/>
  <c r="F55" i="14" l="1"/>
  <c r="G54" i="14"/>
  <c r="N54" i="14" s="1"/>
  <c r="T55" i="15"/>
  <c r="G55" i="15"/>
  <c r="N55" i="15" s="1"/>
  <c r="T54" i="14"/>
  <c r="M34" i="14"/>
  <c r="L34" i="14" s="1"/>
  <c r="K35" i="14" s="1"/>
  <c r="Q34" i="14"/>
  <c r="Q55" i="15" l="1"/>
  <c r="P55" i="15"/>
  <c r="O55" i="15" s="1"/>
  <c r="P54" i="14"/>
  <c r="O54" i="14" s="1"/>
  <c r="W55" i="15"/>
  <c r="V55" i="15"/>
  <c r="M35" i="14"/>
  <c r="L35" i="14" s="1"/>
  <c r="K36" i="14" s="1"/>
  <c r="Q35" i="14"/>
  <c r="W54" i="14"/>
  <c r="V54" i="14"/>
  <c r="U54" i="14" s="1"/>
  <c r="H55" i="14" s="1"/>
  <c r="F56" i="14" l="1"/>
  <c r="G55" i="14"/>
  <c r="N55" i="14" s="1"/>
  <c r="T55" i="14"/>
  <c r="M36" i="14"/>
  <c r="L36" i="14" s="1"/>
  <c r="K37" i="14" s="1"/>
  <c r="Q36" i="14"/>
  <c r="U55" i="15"/>
  <c r="H56" i="15" s="1"/>
  <c r="P55" i="14" l="1"/>
  <c r="T56" i="15"/>
  <c r="G56" i="15"/>
  <c r="N56" i="15" s="1"/>
  <c r="V55" i="14"/>
  <c r="W55" i="14"/>
  <c r="M37" i="14"/>
  <c r="L37" i="14" s="1"/>
  <c r="K38" i="14" s="1"/>
  <c r="Q37" i="14"/>
  <c r="U55" i="14" l="1"/>
  <c r="P56" i="15"/>
  <c r="Q56" i="15"/>
  <c r="W56" i="15"/>
  <c r="V56" i="15"/>
  <c r="M38" i="14"/>
  <c r="L38" i="14" s="1"/>
  <c r="K39" i="14" s="1"/>
  <c r="Q38" i="14"/>
  <c r="O55" i="14"/>
  <c r="M39" i="14" l="1"/>
  <c r="L39" i="14" s="1"/>
  <c r="K40" i="14" s="1"/>
  <c r="Q39" i="14"/>
  <c r="U56" i="15"/>
  <c r="H57" i="15" s="1"/>
  <c r="O56" i="15"/>
  <c r="H56" i="14"/>
  <c r="F57" i="14" l="1"/>
  <c r="G56" i="14"/>
  <c r="N56" i="14" s="1"/>
  <c r="T57" i="15"/>
  <c r="G57" i="15"/>
  <c r="N57" i="15" s="1"/>
  <c r="T56" i="14"/>
  <c r="M40" i="14"/>
  <c r="L40" i="14" s="1"/>
  <c r="K41" i="14" s="1"/>
  <c r="Q40" i="14"/>
  <c r="Q57" i="15" l="1"/>
  <c r="P57" i="15"/>
  <c r="O57" i="15" s="1"/>
  <c r="W56" i="14"/>
  <c r="V56" i="14"/>
  <c r="W57" i="15"/>
  <c r="V57" i="15"/>
  <c r="M41" i="14"/>
  <c r="L41" i="14" s="1"/>
  <c r="K42" i="14" s="1"/>
  <c r="Q41" i="14"/>
  <c r="P56" i="14"/>
  <c r="O56" i="14" s="1"/>
  <c r="U56" i="14" l="1"/>
  <c r="M42" i="14"/>
  <c r="L42" i="14" s="1"/>
  <c r="K43" i="14" s="1"/>
  <c r="Q42" i="14"/>
  <c r="U57" i="15"/>
  <c r="H58" i="15" l="1"/>
  <c r="M43" i="14"/>
  <c r="L43" i="14" s="1"/>
  <c r="K44" i="14" s="1"/>
  <c r="Q43" i="14"/>
  <c r="H57" i="14"/>
  <c r="T57" i="14" s="1"/>
  <c r="W57" i="14" l="1"/>
  <c r="V57" i="14"/>
  <c r="G57" i="14"/>
  <c r="N57" i="14" s="1"/>
  <c r="F58" i="14"/>
  <c r="M44" i="14"/>
  <c r="L44" i="14" s="1"/>
  <c r="K45" i="14" s="1"/>
  <c r="Q44" i="14"/>
  <c r="G58" i="15"/>
  <c r="H59" i="15"/>
  <c r="I12" i="15" s="1"/>
  <c r="T58" i="15"/>
  <c r="F59" i="14" l="1"/>
  <c r="P57" i="14"/>
  <c r="M45" i="14"/>
  <c r="L45" i="14" s="1"/>
  <c r="K46" i="14" s="1"/>
  <c r="Q45" i="14"/>
  <c r="U57" i="14"/>
  <c r="W58" i="15"/>
  <c r="T59" i="15"/>
  <c r="T60" i="15" s="1"/>
  <c r="T61" i="15" s="1"/>
  <c r="I16" i="15" s="1"/>
  <c r="V58" i="15"/>
  <c r="U58" i="15" s="1"/>
  <c r="U59" i="15" s="1"/>
  <c r="G59" i="15"/>
  <c r="I11" i="15" s="1"/>
  <c r="F5" i="15" s="1"/>
  <c r="N58" i="15"/>
  <c r="M46" i="14" l="1"/>
  <c r="L46" i="14" s="1"/>
  <c r="K47" i="14" s="1"/>
  <c r="Q46" i="14"/>
  <c r="O57" i="14"/>
  <c r="H58" i="14"/>
  <c r="T58" i="14" s="1"/>
  <c r="P58" i="15"/>
  <c r="O58" i="15" s="1"/>
  <c r="O59" i="15" s="1"/>
  <c r="Q58" i="15"/>
  <c r="N59" i="15"/>
  <c r="N60" i="15" s="1"/>
  <c r="N61" i="15" s="1"/>
  <c r="F16" i="15"/>
  <c r="F9" i="15"/>
  <c r="F11" i="15" s="1"/>
  <c r="F14" i="15" s="1"/>
  <c r="W58" i="14" l="1"/>
  <c r="T59" i="14"/>
  <c r="T60" i="14" s="1"/>
  <c r="T61" i="14" s="1"/>
  <c r="I16" i="14" s="1"/>
  <c r="F16" i="14" s="1"/>
  <c r="V58" i="14"/>
  <c r="U58" i="14" s="1"/>
  <c r="U59" i="14" s="1"/>
  <c r="H59" i="14"/>
  <c r="I12" i="14" s="1"/>
  <c r="G58" i="14"/>
  <c r="G59" i="14" s="1"/>
  <c r="I11" i="14" s="1"/>
  <c r="M47" i="14"/>
  <c r="L47" i="14" s="1"/>
  <c r="K48" i="14" s="1"/>
  <c r="Q47" i="14"/>
  <c r="F5" i="14" l="1"/>
  <c r="M48" i="14"/>
  <c r="L48" i="14" s="1"/>
  <c r="K49" i="14" s="1"/>
  <c r="Q48" i="14"/>
  <c r="N58" i="14"/>
  <c r="N61" i="14" l="1"/>
  <c r="N59" i="14"/>
  <c r="N60" i="14" s="1"/>
  <c r="P58" i="14"/>
  <c r="O58" i="14" s="1"/>
  <c r="O59" i="14" s="1"/>
  <c r="M49" i="14"/>
  <c r="L49" i="14" s="1"/>
  <c r="K50" i="14" s="1"/>
  <c r="Q49" i="14"/>
  <c r="M50" i="14" l="1"/>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<sst xmlns="http://schemas.openxmlformats.org/spreadsheetml/2006/main" count="488" uniqueCount="76">
  <si>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</si>
  <si>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</si>
  <si>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</si>
  <si>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</si>
  <si>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</si>
  <si>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</si>
  <si>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</si>
  <si>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</si>
  <si>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</si>
  <si>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</si>
  <si>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</si>
  <si>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</si>
  <si>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</si>
  <si>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</si>
  <si>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</si>
  <si>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</si>
  <si>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</si>
  <si>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</si>
  <si>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</si>
  <si>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</si>
  <si>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</si>
  <si>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</si>
  <si>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</si>
  <si>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</si>
  <si>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</si>
  <si>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</si>
  <si>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</si>
  <si>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</si>
  <si>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</si>
  <si>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</si>
  <si>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</si>
  <si>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</si>
  <si>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</si>
  <si>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</si>
  <si>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</si>
  <si>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</si>
  <si>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</si>
  <si>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</si>
  <si>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</si>
  <si>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</si>
  <si>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</si>
  <si>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</si>
  <si>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</si>
  <si>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</si>
  <si>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</si>
  <si>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</si>
  <si>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</si>
  <si>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</si>
  <si>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</si>
  <si>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</si>
  <si>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</si>
  <si>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</si>
  <si>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</si>
  <si>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</si>
  <si>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</si>
  <si>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</si>
  <si>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</si>
  <si>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</si>
  <si>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</si>
  <si>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</si>
  <si>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</si>
  <si>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</si>
  <si>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</si>
  <si>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</si>
  <si>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</si>
  <si>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</si>
  <si>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</si>
  <si>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</si>
  <si>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</si>
  <si>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</si>
  <si>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</si>
  <si>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</si>
  <si>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</si>
  <si>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</si>
  <si>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Carried forward</t>
  </si>
  <si>
    <t>carried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</si>
</sst>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8"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b/>
      <sz val="11"/>
      <color rgb="FFFF0000"/>
      <name val="Calibri"/>
      <family val="2"/>
      <scheme val="minor"/>
    </font>
  </fonts>
  <fills count="1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
      <patternFill patternType="solid">
        <fgColor theme="7"/>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33">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10" xfId="0" applyNumberFormat="1" applyFill="1" applyBorder="1"/>
    <xf numFmtId="0" fontId="0" fillId="16" borderId="0" xfId="0" applyFill="1"/>
    <xf numFmtId="164" fontId="7" fillId="9" borderId="1" xfId="0" applyNumberFormat="1" applyFont="1" applyFill="1" applyBorder="1"/>
    <xf numFmtId="164" fontId="0" fillId="9" borderId="0" xfId="0" applyNumberFormat="1" applyFill="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165" fontId="0" fillId="17" borderId="16" xfId="0" applyNumberFormat="1" applyFill="1" applyBorder="1"/>
    <xf numFmtId="165" fontId="0" fillId="17" borderId="15" xfId="0" applyNumberFormat="1" applyFill="1" applyBorder="1"/>
    <xf numFmtId="164" fontId="0" fillId="17" borderId="8" xfId="0" applyNumberFormat="1" applyFill="1" applyBorder="1" applyAlignment="1">
      <alignment wrapText="1"/>
    </xf>
    <xf numFmtId="164" fontId="0" fillId="17" borderId="1" xfId="0" applyNumberFormat="1" applyFill="1" applyBorder="1"/>
    <xf numFmtId="164" fontId="0" fillId="17" borderId="8" xfId="0" applyNumberFormat="1" applyFill="1" applyBorder="1"/>
    <xf numFmtId="164" fontId="0" fillId="17" borderId="10" xfId="0" applyNumberFormat="1" applyFill="1" applyBorder="1"/>
    <xf numFmtId="0" fontId="0" fillId="17" borderId="0" xfId="0" applyFill="1"/>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03" t="s">
        <v>50</v>
      </c>
      <c r="F2" s="104"/>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5" t="s">
        <v>40</v>
      </c>
      <c r="I6" s="106"/>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5" t="s">
        <v>41</v>
      </c>
      <c r="I10" s="106"/>
    </row>
    <row r="11" spans="2:12" x14ac:dyDescent="0.35">
      <c r="B11" s="30" t="s">
        <v>13</v>
      </c>
      <c r="C11" s="39">
        <v>44926</v>
      </c>
      <c r="E11" s="55" t="s">
        <v>30</v>
      </c>
      <c r="F11" s="56">
        <f>F4+F6+F7+F8+F9-F5</f>
        <v>0</v>
      </c>
      <c r="G11" s="61"/>
      <c r="H11" s="7" t="s">
        <v>42</v>
      </c>
      <c r="I11" s="8">
        <f>SUM(F60:G60)</f>
        <v>0</v>
      </c>
      <c r="J11" s="101" t="s">
        <v>73</v>
      </c>
    </row>
    <row r="12" spans="2:12" ht="15" thickBot="1" x14ac:dyDescent="0.4">
      <c r="B12" s="30" t="s">
        <v>14</v>
      </c>
      <c r="C12" s="40">
        <v>31</v>
      </c>
      <c r="E12" s="4"/>
      <c r="F12" s="6"/>
      <c r="H12" s="49" t="s">
        <v>43</v>
      </c>
      <c r="I12" s="50">
        <f>H60</f>
        <v>0</v>
      </c>
      <c r="J12" s="102"/>
    </row>
    <row r="13" spans="2:12" ht="15" thickBot="1" x14ac:dyDescent="0.4">
      <c r="B13" s="31" t="s">
        <v>15</v>
      </c>
      <c r="C13" s="41">
        <v>44951</v>
      </c>
      <c r="E13" s="53" t="s">
        <v>31</v>
      </c>
      <c r="F13" s="54">
        <v>5000</v>
      </c>
    </row>
    <row r="14" spans="2:12" x14ac:dyDescent="0.35">
      <c r="E14" s="51" t="s">
        <v>32</v>
      </c>
      <c r="F14" s="52">
        <f>F13-F11</f>
        <v>5000</v>
      </c>
      <c r="H14" s="105" t="s">
        <v>44</v>
      </c>
      <c r="I14" s="106"/>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5" t="s">
        <v>51</v>
      </c>
      <c r="I18" s="106"/>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5" t="s">
        <v>17</v>
      </c>
      <c r="C21" s="106"/>
      <c r="E21" s="105" t="s">
        <v>22</v>
      </c>
      <c r="F21" s="106"/>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7" t="s">
        <v>10</v>
      </c>
      <c r="E27" s="108"/>
      <c r="F27" s="108"/>
      <c r="G27" s="108"/>
      <c r="H27" s="109"/>
      <c r="I27" s="113" t="s">
        <v>47</v>
      </c>
      <c r="J27" s="114"/>
      <c r="K27" s="114"/>
      <c r="L27" s="114"/>
      <c r="M27" s="114"/>
      <c r="N27" s="114"/>
      <c r="O27" s="114"/>
      <c r="P27" s="114"/>
      <c r="Q27" s="115"/>
      <c r="R27" s="110" t="s">
        <v>48</v>
      </c>
      <c r="S27" s="111"/>
      <c r="T27" s="111"/>
      <c r="U27" s="111"/>
      <c r="V27" s="111"/>
      <c r="W27" s="112"/>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03" t="s">
        <v>50</v>
      </c>
      <c r="F2" s="104"/>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5" t="s">
        <v>40</v>
      </c>
      <c r="I6" s="106"/>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3" t="s">
        <v>41</v>
      </c>
      <c r="I10" s="124"/>
      <c r="J10" s="125"/>
    </row>
    <row r="11" spans="2:13" ht="14.5" customHeight="1" x14ac:dyDescent="0.35">
      <c r="B11" s="30" t="s">
        <v>13</v>
      </c>
      <c r="C11" s="39">
        <f>C10+C12-1</f>
        <v>44957</v>
      </c>
      <c r="E11" s="55" t="s">
        <v>30</v>
      </c>
      <c r="F11" s="56">
        <f>F4+F6+F7+F8+F9-F5</f>
        <v>0</v>
      </c>
      <c r="H11" s="72" t="s">
        <v>42</v>
      </c>
      <c r="I11" s="73">
        <f>SUM(F57:G57)</f>
        <v>0</v>
      </c>
      <c r="J11" s="101" t="s">
        <v>73</v>
      </c>
      <c r="K11" s="122"/>
    </row>
    <row r="12" spans="2:13" ht="15" thickBot="1" x14ac:dyDescent="0.4">
      <c r="B12" s="30" t="s">
        <v>14</v>
      </c>
      <c r="C12" s="40">
        <v>31</v>
      </c>
      <c r="E12" s="4"/>
      <c r="F12" s="6"/>
      <c r="H12" s="49" t="s">
        <v>43</v>
      </c>
      <c r="I12" s="50">
        <f>H57</f>
        <v>0</v>
      </c>
      <c r="J12" s="102"/>
      <c r="K12" s="122"/>
    </row>
    <row r="13" spans="2:13" ht="15" thickBot="1" x14ac:dyDescent="0.4">
      <c r="B13" s="31" t="s">
        <v>15</v>
      </c>
      <c r="C13" s="41">
        <f>C11+C3</f>
        <v>44982</v>
      </c>
      <c r="E13" s="53" t="s">
        <v>31</v>
      </c>
      <c r="F13" s="91">
        <v>2895.94</v>
      </c>
    </row>
    <row r="14" spans="2:13" x14ac:dyDescent="0.35">
      <c r="E14" s="51" t="s">
        <v>32</v>
      </c>
      <c r="F14" s="52">
        <f>F13-F11</f>
        <v>2895.94</v>
      </c>
      <c r="H14" s="105" t="s">
        <v>44</v>
      </c>
      <c r="I14" s="106"/>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5" t="s">
        <v>51</v>
      </c>
      <c r="I18" s="106"/>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5" t="s">
        <v>17</v>
      </c>
      <c r="C21" s="106"/>
      <c r="E21" s="105" t="s">
        <v>22</v>
      </c>
      <c r="F21" s="106"/>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9" t="s">
        <v>10</v>
      </c>
      <c r="E27" s="119"/>
      <c r="F27" s="119"/>
      <c r="G27" s="119"/>
      <c r="H27" s="119"/>
      <c r="I27" s="118" t="s">
        <v>47</v>
      </c>
      <c r="J27" s="118"/>
      <c r="K27" s="118"/>
      <c r="L27" s="118"/>
      <c r="M27" s="118"/>
      <c r="N27" s="118"/>
      <c r="O27" s="118"/>
      <c r="P27" s="118"/>
      <c r="Q27" s="118"/>
      <c r="R27" s="116" t="s">
        <v>48</v>
      </c>
      <c r="S27" s="116"/>
      <c r="T27" s="116"/>
      <c r="U27" s="116"/>
      <c r="V27" s="116"/>
      <c r="W27" s="117"/>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0" t="s">
        <v>49</v>
      </c>
      <c r="C57" s="121"/>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A27" zoomScale="66" zoomScaleNormal="66" workbookViewId="0">
      <selection activeCell="K23" sqref="K23"/>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3" t="s">
        <v>50</v>
      </c>
      <c r="F2" s="104"/>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0</v>
      </c>
      <c r="H6" s="105" t="s">
        <v>40</v>
      </c>
      <c r="I6" s="106"/>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23" t="s">
        <v>41</v>
      </c>
      <c r="I10" s="124"/>
      <c r="J10" s="125"/>
    </row>
    <row r="11" spans="2:12" ht="14.5" customHeight="1" x14ac:dyDescent="0.35">
      <c r="B11" s="30" t="s">
        <v>13</v>
      </c>
      <c r="C11" s="39">
        <f>C10+C12-1</f>
        <v>44985</v>
      </c>
      <c r="E11" s="55" t="s">
        <v>30</v>
      </c>
      <c r="F11" s="56">
        <f>F4+F6+F7+F8+F9-F5</f>
        <v>0</v>
      </c>
      <c r="H11" s="72" t="s">
        <v>42</v>
      </c>
      <c r="I11" s="73">
        <f>SUM(F60:G60)</f>
        <v>0</v>
      </c>
      <c r="J11" s="101" t="s">
        <v>73</v>
      </c>
      <c r="K11" s="122"/>
    </row>
    <row r="12" spans="2:12" ht="15" thickBot="1" x14ac:dyDescent="0.4">
      <c r="B12" s="30" t="s">
        <v>14</v>
      </c>
      <c r="C12" s="40">
        <v>28</v>
      </c>
      <c r="E12" s="4"/>
      <c r="F12" s="6"/>
      <c r="H12" s="49" t="s">
        <v>43</v>
      </c>
      <c r="I12" s="50">
        <f>H60</f>
        <v>0</v>
      </c>
      <c r="J12" s="102"/>
      <c r="K12" s="122"/>
    </row>
    <row r="13" spans="2:12" ht="15" thickBot="1" x14ac:dyDescent="0.4">
      <c r="B13" s="31" t="s">
        <v>15</v>
      </c>
      <c r="C13" s="41">
        <v>45010</v>
      </c>
      <c r="E13" s="53" t="s">
        <v>31</v>
      </c>
      <c r="F13" s="54">
        <v>0</v>
      </c>
    </row>
    <row r="14" spans="2:12" x14ac:dyDescent="0.35">
      <c r="E14" s="51" t="s">
        <v>32</v>
      </c>
      <c r="F14" s="52">
        <f>F13-F11</f>
        <v>0</v>
      </c>
      <c r="H14" s="105" t="s">
        <v>44</v>
      </c>
      <c r="I14" s="106"/>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5" t="s">
        <v>51</v>
      </c>
      <c r="I18" s="106"/>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5" t="s">
        <v>17</v>
      </c>
      <c r="C21" s="106"/>
      <c r="E21" s="105" t="s">
        <v>22</v>
      </c>
      <c r="F21" s="106"/>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9" t="s">
        <v>10</v>
      </c>
      <c r="E27" s="119"/>
      <c r="F27" s="119"/>
      <c r="G27" s="119"/>
      <c r="H27" s="119"/>
      <c r="I27" s="118" t="s">
        <v>47</v>
      </c>
      <c r="J27" s="118"/>
      <c r="K27" s="118"/>
      <c r="L27" s="118"/>
      <c r="M27" s="118"/>
      <c r="N27" s="118"/>
      <c r="O27" s="118"/>
      <c r="P27" s="118"/>
      <c r="Q27" s="118"/>
      <c r="R27" s="116" t="s">
        <v>48</v>
      </c>
      <c r="S27" s="116"/>
      <c r="T27" s="116"/>
      <c r="U27" s="116"/>
      <c r="V27" s="116"/>
      <c r="W27" s="117"/>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IF(SUM($F$29:$F$53)&gt;=$I$19,0,$I$19+'Feb Statement'!N59-$F$29)</f>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0</v>
      </c>
      <c r="O30" s="13">
        <f>P30-P29</f>
        <v>0</v>
      </c>
      <c r="P30" s="13">
        <f>ROUND(P29+N30*$F$22,2)</f>
        <v>0</v>
      </c>
      <c r="Q30" s="13">
        <f>ROUND(N30+K30-M29-P29,2)</f>
        <v>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0</v>
      </c>
      <c r="O31" s="13">
        <f t="shared" ref="O31:O59" si="9">P31-P30</f>
        <v>0</v>
      </c>
      <c r="P31" s="13">
        <f t="shared" ref="P31:P58" si="10">ROUND(P30+N31*$F$22,2)</f>
        <v>0</v>
      </c>
      <c r="Q31" s="13">
        <f t="shared" ref="Q31:Q59" si="11">ROUND(N31+K31-M30-P30,2)</f>
        <v>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44999</v>
      </c>
      <c r="C43" s="48">
        <f t="shared" si="1"/>
        <v>45000</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0</v>
      </c>
      <c r="O56" s="13">
        <f t="shared" si="9"/>
        <v>0</v>
      </c>
      <c r="P56" s="13">
        <f t="shared" si="10"/>
        <v>0</v>
      </c>
      <c r="Q56" s="13">
        <f t="shared" si="11"/>
        <v>0</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 t="shared" si="10"/>
        <v>0</v>
      </c>
      <c r="Q57" s="13">
        <f t="shared" si="11"/>
        <v>0</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 t="shared" si="10"/>
        <v>0</v>
      </c>
      <c r="Q58" s="13">
        <f t="shared" si="11"/>
        <v>0</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0</v>
      </c>
      <c r="O59" s="13">
        <f t="shared" si="9"/>
        <v>0</v>
      </c>
      <c r="P59" s="13">
        <f>ROUND(P58+N59*$F$22,2)</f>
        <v>0</v>
      </c>
      <c r="Q59" s="13">
        <f t="shared" si="11"/>
        <v>0</v>
      </c>
      <c r="R59" s="17"/>
      <c r="S59" s="17"/>
      <c r="T59" s="17">
        <f t="shared" si="14"/>
        <v>0</v>
      </c>
      <c r="U59" s="17">
        <f t="shared" si="4"/>
        <v>0</v>
      </c>
      <c r="V59" s="18">
        <f t="shared" si="12"/>
        <v>0</v>
      </c>
      <c r="W59" s="16">
        <f t="shared" si="13"/>
        <v>0</v>
      </c>
    </row>
    <row r="60" spans="2:23" ht="15" thickBot="1" x14ac:dyDescent="0.4">
      <c r="B60" s="120" t="s">
        <v>49</v>
      </c>
      <c r="C60" s="121"/>
      <c r="D60" s="67">
        <f t="shared" ref="D60:L60" si="15">SUM(D29:D59)</f>
        <v>0</v>
      </c>
      <c r="E60" s="21">
        <f t="shared" si="15"/>
        <v>0</v>
      </c>
      <c r="F60" s="21">
        <f t="shared" si="15"/>
        <v>0</v>
      </c>
      <c r="G60" s="21">
        <f t="shared" si="15"/>
        <v>0</v>
      </c>
      <c r="H60" s="22">
        <f t="shared" si="15"/>
        <v>0</v>
      </c>
      <c r="I60" s="20">
        <f t="shared" si="15"/>
        <v>0</v>
      </c>
      <c r="J60" s="21">
        <f t="shared" si="15"/>
        <v>0</v>
      </c>
      <c r="K60" s="21">
        <f t="shared" si="15"/>
        <v>0</v>
      </c>
      <c r="L60" s="74">
        <f t="shared" si="15"/>
        <v>0</v>
      </c>
      <c r="M60" s="20"/>
      <c r="N60" s="21">
        <f>SUM(N29:N59)</f>
        <v>0</v>
      </c>
      <c r="O60" s="21">
        <f>SUM(O29:O59)</f>
        <v>0</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0</v>
      </c>
      <c r="O61" s="61"/>
      <c r="S61" s="82" t="s">
        <v>65</v>
      </c>
      <c r="T61" s="82">
        <f>T60/$C$18</f>
        <v>0</v>
      </c>
    </row>
    <row r="62" spans="2:23" ht="15" thickBot="1" x14ac:dyDescent="0.4">
      <c r="H62" s="2"/>
      <c r="J62" s="82" t="s">
        <v>72</v>
      </c>
      <c r="K62" s="82">
        <f>M59</f>
        <v>0</v>
      </c>
      <c r="M62" s="82" t="s">
        <v>70</v>
      </c>
      <c r="N62" s="82">
        <f>IF(ROUND(N59,2)=0,0,N61*$F$22*$C$18)</f>
        <v>0</v>
      </c>
      <c r="S62" s="82" t="s">
        <v>64</v>
      </c>
      <c r="T62" s="82">
        <f>T61*$F$23*$C$18</f>
        <v>0</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2"/>
  <sheetViews>
    <sheetView topLeftCell="C56"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3" t="s">
        <v>50</v>
      </c>
      <c r="F2" s="104"/>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105" t="s">
        <v>40</v>
      </c>
      <c r="I6" s="106"/>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77.665780964931315</v>
      </c>
      <c r="L9" s="61"/>
    </row>
    <row r="10" spans="2:12" ht="15" thickBot="1" x14ac:dyDescent="0.4">
      <c r="B10" s="29" t="s">
        <v>12</v>
      </c>
      <c r="C10" s="38">
        <v>44986</v>
      </c>
      <c r="E10" s="4"/>
      <c r="F10" s="6"/>
      <c r="H10" s="123" t="s">
        <v>41</v>
      </c>
      <c r="I10" s="124"/>
      <c r="J10" s="125"/>
    </row>
    <row r="11" spans="2:12" ht="14.5" customHeight="1" x14ac:dyDescent="0.35">
      <c r="B11" s="30" t="s">
        <v>13</v>
      </c>
      <c r="C11" s="39">
        <f>C10+C12-1</f>
        <v>45016</v>
      </c>
      <c r="E11" s="55" t="s">
        <v>30</v>
      </c>
      <c r="F11" s="56">
        <f>F4+F6+F7+F8+F9-F5</f>
        <v>1121.6657809649314</v>
      </c>
      <c r="H11" s="72" t="s">
        <v>42</v>
      </c>
      <c r="I11" s="73">
        <f>SUM(F59:G59)</f>
        <v>0</v>
      </c>
      <c r="J11" s="101" t="s">
        <v>73</v>
      </c>
      <c r="K11" s="122"/>
    </row>
    <row r="12" spans="2:12" ht="15" thickBot="1" x14ac:dyDescent="0.4">
      <c r="B12" s="30" t="s">
        <v>14</v>
      </c>
      <c r="C12" s="40">
        <v>31</v>
      </c>
      <c r="E12" s="4"/>
      <c r="F12" s="6"/>
      <c r="H12" s="49" t="s">
        <v>43</v>
      </c>
      <c r="I12" s="50">
        <f>H59</f>
        <v>0</v>
      </c>
      <c r="J12" s="102"/>
      <c r="K12" s="122"/>
    </row>
    <row r="13" spans="2:12" ht="15" thickBot="1" x14ac:dyDescent="0.4">
      <c r="B13" s="31" t="s">
        <v>15</v>
      </c>
      <c r="C13" s="41">
        <v>45041</v>
      </c>
      <c r="E13" s="53" t="s">
        <v>31</v>
      </c>
      <c r="F13" s="54">
        <v>50000</v>
      </c>
    </row>
    <row r="14" spans="2:12" x14ac:dyDescent="0.35">
      <c r="E14" s="51" t="s">
        <v>32</v>
      </c>
      <c r="F14" s="52">
        <f>F13-F11</f>
        <v>48878.334219035067</v>
      </c>
      <c r="H14" s="105" t="s">
        <v>44</v>
      </c>
      <c r="I14" s="106"/>
    </row>
    <row r="15" spans="2:12" ht="29.5" thickBot="1" x14ac:dyDescent="0.4">
      <c r="B15"/>
      <c r="C15" s="3"/>
      <c r="E15" s="53" t="s">
        <v>33</v>
      </c>
      <c r="F15" s="54">
        <v>20000</v>
      </c>
      <c r="H15" s="7" t="s">
        <v>45</v>
      </c>
      <c r="I15" s="8">
        <f>K61</f>
        <v>0</v>
      </c>
    </row>
    <row r="16" spans="2:12" ht="29.5" thickBot="1" x14ac:dyDescent="0.4">
      <c r="B16" s="29" t="s">
        <v>3</v>
      </c>
      <c r="C16" s="38">
        <f>C10+C12</f>
        <v>45017</v>
      </c>
      <c r="E16" s="51" t="s">
        <v>34</v>
      </c>
      <c r="F16" s="52">
        <f>F15-F7-I16</f>
        <v>19922.33421903507</v>
      </c>
      <c r="H16" s="49" t="s">
        <v>43</v>
      </c>
      <c r="I16" s="50">
        <f>T61</f>
        <v>77.665780964931315</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5" t="s">
        <v>51</v>
      </c>
      <c r="I18" s="106"/>
    </row>
    <row r="19" spans="2:23" ht="15" thickBot="1" x14ac:dyDescent="0.4">
      <c r="B19" s="31" t="s">
        <v>16</v>
      </c>
      <c r="C19" s="41">
        <f>C17+C3</f>
        <v>45071</v>
      </c>
      <c r="H19" s="7" t="s">
        <v>42</v>
      </c>
      <c r="I19" s="8">
        <f>'March Statement'!I19+'March Statement'!F6+'March Statement'!I7+'March Statement'!I15-'March Statement'!I11</f>
        <v>0</v>
      </c>
    </row>
    <row r="20" spans="2:23" ht="15" thickBot="1" x14ac:dyDescent="0.4">
      <c r="H20" s="49" t="s">
        <v>43</v>
      </c>
      <c r="I20" s="50">
        <f>'May Statement'!I20+'May Statement'!F7+'May Statement'!I8+'May Statement'!I16-'May Statement'!I12</f>
        <v>3113.45</v>
      </c>
      <c r="J20" s="5"/>
    </row>
    <row r="21" spans="2:23" x14ac:dyDescent="0.35">
      <c r="B21" s="105" t="s">
        <v>17</v>
      </c>
      <c r="C21" s="106"/>
      <c r="E21" s="105" t="s">
        <v>22</v>
      </c>
      <c r="F21" s="106"/>
      <c r="I21" s="62">
        <f>SUM(I19:I20)</f>
        <v>3113.45</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9" t="s">
        <v>10</v>
      </c>
      <c r="E27" s="119"/>
      <c r="F27" s="119"/>
      <c r="G27" s="119"/>
      <c r="H27" s="119"/>
      <c r="I27" s="118" t="s">
        <v>47</v>
      </c>
      <c r="J27" s="118"/>
      <c r="K27" s="118"/>
      <c r="L27" s="118"/>
      <c r="M27" s="118"/>
      <c r="N27" s="118"/>
      <c r="O27" s="118"/>
      <c r="P27" s="118"/>
      <c r="Q27" s="118"/>
      <c r="R27" s="116" t="s">
        <v>48</v>
      </c>
      <c r="S27" s="116"/>
      <c r="T27" s="116"/>
      <c r="U27" s="116"/>
      <c r="V27" s="116"/>
      <c r="W27" s="117"/>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IF(SUM($F$29:$F$53)&gt;=$I$19,0,$I$19+'March Statement'!N60-$F$29)</f>
        <v>0</v>
      </c>
      <c r="L29" s="12">
        <f>M29</f>
        <v>0</v>
      </c>
      <c r="M29" s="12">
        <f>K29*$F$22</f>
        <v>0</v>
      </c>
      <c r="N29" s="12">
        <f>I29+J29-G29</f>
        <v>40</v>
      </c>
      <c r="O29" s="12">
        <f>P29</f>
        <v>2.4646575342465754E-2</v>
      </c>
      <c r="P29" s="12">
        <f>N29*$F$22</f>
        <v>2.4646575342465754E-2</v>
      </c>
      <c r="Q29" s="12">
        <f>K29+N29</f>
        <v>40</v>
      </c>
      <c r="R29" s="15"/>
      <c r="S29" s="15"/>
      <c r="T29" s="15">
        <f>$I$20+R29+S29-H29</f>
        <v>3113.45</v>
      </c>
      <c r="U29" s="15">
        <f>V29</f>
        <v>2.5581469999999999</v>
      </c>
      <c r="V29" s="16">
        <f>T29*$F$23</f>
        <v>2.5581469999999999</v>
      </c>
      <c r="W29" s="16">
        <f>IF(T29=0,0,$I$20+R29+S29-H29)</f>
        <v>3113.45</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8" si="3">ROUND(N29+I30+J30+O29-G30,2)</f>
        <v>40.020000000000003</v>
      </c>
      <c r="O30" s="13">
        <f>P30-P29</f>
        <v>2.5353424657534249E-2</v>
      </c>
      <c r="P30" s="13">
        <f>ROUND(P29+N30*$F$22,2)</f>
        <v>0.05</v>
      </c>
      <c r="Q30" s="13">
        <f>ROUND(N30+K30-M29-P29,2)</f>
        <v>40</v>
      </c>
      <c r="R30" s="17"/>
      <c r="S30" s="17"/>
      <c r="T30" s="17">
        <f>T29+U29+R30+S30-H30</f>
        <v>3116.008147</v>
      </c>
      <c r="U30" s="17">
        <f t="shared" ref="U30:U58" si="4">V30-V29</f>
        <v>2.5602488857131505</v>
      </c>
      <c r="V30" s="18">
        <f>V29+T30*$F$23</f>
        <v>5.1183958857131504</v>
      </c>
      <c r="W30" s="16">
        <f>IF(T30=0,0,W29+R30+S30-H30)</f>
        <v>3113.45</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0</v>
      </c>
      <c r="L31" s="13">
        <f t="shared" ref="L31:L58" si="7">M31-M30</f>
        <v>0</v>
      </c>
      <c r="M31" s="13">
        <f t="shared" ref="M31:M58" si="8">IF(K31=0,0,M30+K31*$F$22)</f>
        <v>0</v>
      </c>
      <c r="N31" s="13">
        <f t="shared" si="3"/>
        <v>40.049999999999997</v>
      </c>
      <c r="O31" s="13">
        <f t="shared" ref="O31:O58" si="9">P31-P30</f>
        <v>2.0000000000000004E-2</v>
      </c>
      <c r="P31" s="13">
        <f t="shared" ref="P31:P56" si="10">ROUND(P30+N31*$F$22,2)</f>
        <v>7.0000000000000007E-2</v>
      </c>
      <c r="Q31" s="13">
        <f t="shared" ref="Q31:Q58" si="11">ROUND(N31+K31-M30-P30,2)</f>
        <v>40</v>
      </c>
      <c r="R31" s="17"/>
      <c r="S31" s="17"/>
      <c r="T31" s="17">
        <f>T30+U30+R31+S31-H31</f>
        <v>3118.568395885713</v>
      </c>
      <c r="U31" s="17">
        <f t="shared" si="4"/>
        <v>2.5623524984277406</v>
      </c>
      <c r="V31" s="18">
        <f t="shared" ref="V31:V58" si="12">V30+T31*$F$23</f>
        <v>7.680748384140891</v>
      </c>
      <c r="W31" s="16">
        <f t="shared" ref="W31:W58" si="13">IF(T31=0,0,W30+R31+S31-H31)</f>
        <v>3113.45</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3121.1307483841406</v>
      </c>
      <c r="U32" s="17">
        <f t="shared" si="4"/>
        <v>2.5644578395627491</v>
      </c>
      <c r="V32" s="18">
        <f t="shared" si="12"/>
        <v>10.24520622370364</v>
      </c>
      <c r="W32" s="16">
        <f t="shared" si="13"/>
        <v>3113.45</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8" si="14">T32+U32+R33+S33-H33</f>
        <v>3123.6952062237033</v>
      </c>
      <c r="U33" s="17">
        <f t="shared" si="4"/>
        <v>2.5665649105383253</v>
      </c>
      <c r="V33" s="18">
        <f t="shared" si="12"/>
        <v>12.811771134241965</v>
      </c>
      <c r="W33" s="16">
        <f t="shared" si="13"/>
        <v>3113.45</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3126.2617711342418</v>
      </c>
      <c r="U34" s="17">
        <f t="shared" si="4"/>
        <v>2.5686737127757784</v>
      </c>
      <c r="V34" s="18">
        <f t="shared" si="12"/>
        <v>15.380444847017744</v>
      </c>
      <c r="W34" s="16">
        <f t="shared" si="13"/>
        <v>3113.45</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3128.8304448470176</v>
      </c>
      <c r="U35" s="17">
        <f t="shared" si="4"/>
        <v>2.5707842476975902</v>
      </c>
      <c r="V35" s="18">
        <f t="shared" si="12"/>
        <v>17.951229094715334</v>
      </c>
      <c r="W35" s="16">
        <f t="shared" si="13"/>
        <v>3113.45</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3131.4012290947153</v>
      </c>
      <c r="U36" s="17">
        <f t="shared" si="4"/>
        <v>2.5728965167274112</v>
      </c>
      <c r="V36" s="18">
        <f t="shared" si="12"/>
        <v>20.524125611442745</v>
      </c>
      <c r="W36" s="16">
        <f t="shared" si="13"/>
        <v>3113.45</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3133.9741256114426</v>
      </c>
      <c r="U37" s="17">
        <f t="shared" si="4"/>
        <v>2.5750105212900607</v>
      </c>
      <c r="V37" s="18">
        <f t="shared" si="12"/>
        <v>23.099136132732806</v>
      </c>
      <c r="W37" s="16">
        <f t="shared" si="13"/>
        <v>3113.45</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3136.5491361327327</v>
      </c>
      <c r="U38" s="17">
        <f t="shared" si="4"/>
        <v>2.5771262628115252</v>
      </c>
      <c r="V38" s="18">
        <f t="shared" si="12"/>
        <v>25.676262395544331</v>
      </c>
      <c r="W38" s="16">
        <f t="shared" si="13"/>
        <v>3113.45</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3139.126262395544</v>
      </c>
      <c r="U39" s="17">
        <f t="shared" si="4"/>
        <v>2.5792437427189689</v>
      </c>
      <c r="V39" s="18">
        <f t="shared" si="12"/>
        <v>28.2555061382633</v>
      </c>
      <c r="W39" s="16">
        <f t="shared" si="13"/>
        <v>3113.45</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3141.705506138263</v>
      </c>
      <c r="U40" s="17">
        <f t="shared" si="4"/>
        <v>2.5813629624407248</v>
      </c>
      <c r="V40" s="18">
        <f t="shared" si="12"/>
        <v>30.836869100704025</v>
      </c>
      <c r="W40" s="16">
        <f t="shared" si="13"/>
        <v>3113.45</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3144.2868691007038</v>
      </c>
      <c r="U41" s="17">
        <f t="shared" si="4"/>
        <v>2.5834839234063018</v>
      </c>
      <c r="V41" s="18">
        <f t="shared" si="12"/>
        <v>33.420353024110327</v>
      </c>
      <c r="W41" s="16">
        <f t="shared" si="13"/>
        <v>3113.45</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3146.87035302411</v>
      </c>
      <c r="U42" s="17">
        <f>V42-V41</f>
        <v>2.5856066270463884</v>
      </c>
      <c r="V42" s="18">
        <f t="shared" si="12"/>
        <v>36.005959651156715</v>
      </c>
      <c r="W42" s="16">
        <f t="shared" si="13"/>
        <v>3113.45</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0</v>
      </c>
      <c r="L43" s="13">
        <f t="shared" si="7"/>
        <v>0</v>
      </c>
      <c r="M43" s="13">
        <f t="shared" si="8"/>
        <v>0</v>
      </c>
      <c r="N43" s="13">
        <f t="shared" si="3"/>
        <v>1044.29</v>
      </c>
      <c r="O43" s="13">
        <f t="shared" si="9"/>
        <v>0.64000000000000012</v>
      </c>
      <c r="P43" s="13">
        <f t="shared" si="10"/>
        <v>0.93</v>
      </c>
      <c r="Q43" s="13">
        <f t="shared" si="11"/>
        <v>1044</v>
      </c>
      <c r="R43" s="17"/>
      <c r="S43" s="17"/>
      <c r="T43" s="17">
        <f>T42+U42+R43+S43-H43</f>
        <v>3149.4559596511563</v>
      </c>
      <c r="U43" s="17">
        <f t="shared" si="4"/>
        <v>2.5877310747928277</v>
      </c>
      <c r="V43" s="18">
        <f t="shared" si="12"/>
        <v>38.593690725949543</v>
      </c>
      <c r="W43" s="16">
        <f t="shared" si="13"/>
        <v>3113.45</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3152.0436907259491</v>
      </c>
      <c r="U44" s="17">
        <f t="shared" si="4"/>
        <v>2.58985726807866</v>
      </c>
      <c r="V44" s="18">
        <f t="shared" si="12"/>
        <v>41.183547994028203</v>
      </c>
      <c r="W44" s="16">
        <f t="shared" si="13"/>
        <v>3113.45</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3154.6335479940276</v>
      </c>
      <c r="U45" s="17">
        <f t="shared" si="4"/>
        <v>2.5919852083381087</v>
      </c>
      <c r="V45" s="18">
        <f t="shared" si="12"/>
        <v>43.775533202366312</v>
      </c>
      <c r="W45" s="16">
        <f>IF(T45=0,0,W44+R45+S45-H45)</f>
        <v>3113.45</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3157.2255332023656</v>
      </c>
      <c r="U46" s="17">
        <f t="shared" si="4"/>
        <v>2.5941148970065484</v>
      </c>
      <c r="V46" s="18">
        <f t="shared" si="12"/>
        <v>46.36964809937286</v>
      </c>
      <c r="W46" s="16">
        <f>IF(T46=0,0,W45+R46+S46-H46)</f>
        <v>3113.45</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3159.819648099372</v>
      </c>
      <c r="U47" s="17">
        <f t="shared" si="4"/>
        <v>2.5962463355205543</v>
      </c>
      <c r="V47" s="18">
        <f t="shared" si="12"/>
        <v>48.965894434893414</v>
      </c>
      <c r="W47" s="16">
        <f t="shared" si="13"/>
        <v>3113.45</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3162.4158944348924</v>
      </c>
      <c r="U48" s="17">
        <f t="shared" si="4"/>
        <v>2.5983795253178741</v>
      </c>
      <c r="V48" s="18">
        <f t="shared" si="12"/>
        <v>51.564273960211288</v>
      </c>
      <c r="W48" s="16">
        <f t="shared" si="13"/>
        <v>3113.45</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3165.0142739602102</v>
      </c>
      <c r="U49" s="17">
        <f t="shared" si="4"/>
        <v>2.6005144678374421</v>
      </c>
      <c r="V49" s="18">
        <f t="shared" si="12"/>
        <v>54.16478842804873</v>
      </c>
      <c r="W49" s="16">
        <f t="shared" si="13"/>
        <v>3113.45</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3167.6147884280476</v>
      </c>
      <c r="U50" s="17">
        <f t="shared" si="4"/>
        <v>2.6026511645193722</v>
      </c>
      <c r="V50" s="18">
        <f t="shared" si="12"/>
        <v>56.767439592568103</v>
      </c>
      <c r="W50" s="16">
        <f t="shared" si="13"/>
        <v>3113.45</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1049.45</v>
      </c>
      <c r="O51" s="13">
        <f t="shared" si="9"/>
        <v>0.64999999999999947</v>
      </c>
      <c r="P51" s="13">
        <f t="shared" si="10"/>
        <v>6.1</v>
      </c>
      <c r="Q51" s="13">
        <f t="shared" si="11"/>
        <v>1044</v>
      </c>
      <c r="R51" s="17"/>
      <c r="S51" s="17"/>
      <c r="T51" s="17">
        <f t="shared" si="14"/>
        <v>3170.2174395925672</v>
      </c>
      <c r="U51" s="17">
        <f t="shared" si="4"/>
        <v>2.6047896168049647</v>
      </c>
      <c r="V51" s="18">
        <f t="shared" si="12"/>
        <v>59.372229209373067</v>
      </c>
      <c r="W51" s="16">
        <f t="shared" si="13"/>
        <v>3113.45</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1050.0999999999999</v>
      </c>
      <c r="O52" s="13">
        <f t="shared" si="9"/>
        <v>0.65000000000000036</v>
      </c>
      <c r="P52" s="13">
        <f t="shared" si="10"/>
        <v>6.75</v>
      </c>
      <c r="Q52" s="13">
        <f t="shared" si="11"/>
        <v>1044</v>
      </c>
      <c r="R52" s="17"/>
      <c r="S52" s="17"/>
      <c r="T52" s="17">
        <f t="shared" si="14"/>
        <v>3172.8222292093724</v>
      </c>
      <c r="U52" s="17">
        <f t="shared" si="4"/>
        <v>2.6069298261366853</v>
      </c>
      <c r="V52" s="18">
        <f t="shared" si="12"/>
        <v>61.979159035509753</v>
      </c>
      <c r="W52" s="16">
        <f t="shared" si="13"/>
        <v>3113.45</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3175.4291590355092</v>
      </c>
      <c r="U53" s="17">
        <f t="shared" si="4"/>
        <v>2.609071793958222</v>
      </c>
      <c r="V53" s="18">
        <f t="shared" si="12"/>
        <v>64.588230829467975</v>
      </c>
      <c r="W53" s="16">
        <f t="shared" si="13"/>
        <v>3113.45</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ROUND(P53+N54*$F$22,2)</f>
        <v>8.0500000000000007</v>
      </c>
      <c r="Q54" s="13">
        <f t="shared" si="11"/>
        <v>1044</v>
      </c>
      <c r="R54" s="17"/>
      <c r="S54" s="17"/>
      <c r="T54" s="17">
        <f t="shared" si="14"/>
        <v>3178.0382308294675</v>
      </c>
      <c r="U54" s="17">
        <f t="shared" si="4"/>
        <v>2.6112155217143993</v>
      </c>
      <c r="V54" s="18">
        <f t="shared" si="12"/>
        <v>67.199446351182374</v>
      </c>
      <c r="W54" s="16">
        <f t="shared" si="13"/>
        <v>3113.45</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3180.6494463511817</v>
      </c>
      <c r="U55" s="17">
        <f t="shared" si="4"/>
        <v>2.6133610108512926</v>
      </c>
      <c r="V55" s="18">
        <f t="shared" si="12"/>
        <v>69.812807362033666</v>
      </c>
      <c r="W55" s="16">
        <f t="shared" si="13"/>
        <v>3113.45</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3183.2628073620331</v>
      </c>
      <c r="U56" s="17">
        <f t="shared" si="4"/>
        <v>2.6155082628160926</v>
      </c>
      <c r="V56" s="18">
        <f t="shared" si="12"/>
        <v>72.428315624849759</v>
      </c>
      <c r="W56" s="16">
        <f t="shared" si="13"/>
        <v>3113.45</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ROUND(P56+N57*$F$22,2)</f>
        <v>10</v>
      </c>
      <c r="Q57" s="13">
        <f t="shared" si="11"/>
        <v>1044</v>
      </c>
      <c r="R57" s="17"/>
      <c r="S57" s="17"/>
      <c r="T57" s="17">
        <f t="shared" si="14"/>
        <v>3185.8783156248492</v>
      </c>
      <c r="U57" s="17">
        <f t="shared" si="4"/>
        <v>2.6176572790572408</v>
      </c>
      <c r="V57" s="18">
        <f t="shared" si="12"/>
        <v>75.045972903907</v>
      </c>
      <c r="W57" s="16">
        <f t="shared" si="13"/>
        <v>3113.45</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ROUND(P57+N58*$F$22,2)</f>
        <v>10.65</v>
      </c>
      <c r="Q58" s="13">
        <f t="shared" si="11"/>
        <v>1044</v>
      </c>
      <c r="R58" s="17"/>
      <c r="S58" s="17"/>
      <c r="T58" s="17">
        <f t="shared" si="14"/>
        <v>3188.4959729039065</v>
      </c>
      <c r="U58" s="17">
        <f t="shared" si="4"/>
        <v>2.6198080610243295</v>
      </c>
      <c r="V58" s="18">
        <f t="shared" si="12"/>
        <v>77.665780964931329</v>
      </c>
      <c r="W58" s="16">
        <f t="shared" si="13"/>
        <v>3113.45</v>
      </c>
    </row>
    <row r="59" spans="2:23" ht="15" thickBot="1" x14ac:dyDescent="0.4">
      <c r="B59" s="120" t="s">
        <v>49</v>
      </c>
      <c r="C59" s="121"/>
      <c r="D59" s="67">
        <f t="shared" ref="D59:L59" si="15">SUM(D29:D58)</f>
        <v>0</v>
      </c>
      <c r="E59" s="21">
        <f t="shared" si="15"/>
        <v>0</v>
      </c>
      <c r="F59" s="21">
        <f t="shared" si="15"/>
        <v>0</v>
      </c>
      <c r="G59" s="21">
        <f t="shared" si="15"/>
        <v>0</v>
      </c>
      <c r="H59" s="22">
        <f t="shared" si="15"/>
        <v>0</v>
      </c>
      <c r="I59" s="20">
        <f t="shared" si="15"/>
        <v>1000</v>
      </c>
      <c r="J59" s="21">
        <f t="shared" si="15"/>
        <v>44</v>
      </c>
      <c r="K59" s="21">
        <f t="shared" si="15"/>
        <v>0</v>
      </c>
      <c r="L59" s="74">
        <f t="shared" si="15"/>
        <v>0</v>
      </c>
      <c r="M59" s="20"/>
      <c r="N59" s="21">
        <f>SUM(N29:N58)</f>
        <v>17348.04</v>
      </c>
      <c r="O59" s="21">
        <f>SUM(O29:O58)</f>
        <v>10.65</v>
      </c>
      <c r="P59" s="20"/>
      <c r="Q59" s="20"/>
      <c r="R59" s="22">
        <f>SUM(R29:R58)</f>
        <v>0</v>
      </c>
      <c r="S59" s="22">
        <f>SUM(S29:S58)</f>
        <v>0</v>
      </c>
      <c r="T59" s="22">
        <f>SUM(T29:T58)</f>
        <v>94524.87513237723</v>
      </c>
      <c r="U59" s="22">
        <f>SUM(U29:U58)</f>
        <v>77.665780964931329</v>
      </c>
      <c r="V59" s="23"/>
      <c r="W59" s="23"/>
    </row>
    <row r="60" spans="2:23" ht="15" thickBot="1" x14ac:dyDescent="0.4">
      <c r="G60" s="61"/>
      <c r="J60" s="82" t="s">
        <v>71</v>
      </c>
      <c r="K60" s="82">
        <f>K59/$C$18</f>
        <v>0</v>
      </c>
      <c r="M60" s="82" t="s">
        <v>69</v>
      </c>
      <c r="N60" s="82">
        <f>N59/$C$18</f>
        <v>578.26800000000003</v>
      </c>
      <c r="O60" s="61"/>
      <c r="S60" s="82" t="s">
        <v>65</v>
      </c>
      <c r="T60" s="82">
        <f>T59/$C$18</f>
        <v>3150.829171079241</v>
      </c>
    </row>
    <row r="61" spans="2:23" ht="15" thickBot="1" x14ac:dyDescent="0.4">
      <c r="H61" s="2"/>
      <c r="J61" s="82" t="s">
        <v>72</v>
      </c>
      <c r="K61" s="82">
        <f>M58</f>
        <v>0</v>
      </c>
      <c r="M61" s="82" t="s">
        <v>70</v>
      </c>
      <c r="N61" s="82">
        <f>IF(ROUND(N58,2)=0,0,N60*$F$22*$C$18)</f>
        <v>10.68924437260274</v>
      </c>
      <c r="S61" s="82" t="s">
        <v>64</v>
      </c>
      <c r="T61" s="82">
        <f>T60*$F$23*$C$18</f>
        <v>77.665780964931315</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7"/>
  <sheetViews>
    <sheetView tabSelected="1" topLeftCell="I56" zoomScale="71" zoomScaleNormal="53" workbookViewId="0">
      <selection activeCell="Q70" sqref="Q7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8.36328125"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3" t="s">
        <v>50</v>
      </c>
      <c r="F2" s="104"/>
    </row>
    <row r="3" spans="2:12" ht="15" thickBot="1" x14ac:dyDescent="0.4">
      <c r="B3" s="28" t="s">
        <v>1</v>
      </c>
      <c r="C3" s="37">
        <v>25</v>
      </c>
      <c r="E3" s="45" t="s">
        <v>24</v>
      </c>
      <c r="F3" s="46">
        <f>C17</f>
        <v>45626</v>
      </c>
    </row>
    <row r="4" spans="2:12" ht="15" thickBot="1" x14ac:dyDescent="0.4">
      <c r="B4"/>
      <c r="C4"/>
      <c r="E4" s="62" t="s">
        <v>25</v>
      </c>
      <c r="F4" s="62">
        <f>'Feb Statement'!F11</f>
        <v>0</v>
      </c>
    </row>
    <row r="5" spans="2:12" ht="15" thickBot="1" x14ac:dyDescent="0.4">
      <c r="B5" s="29" t="s">
        <v>5</v>
      </c>
      <c r="C5" s="38">
        <v>44986</v>
      </c>
      <c r="E5" s="32" t="s">
        <v>10</v>
      </c>
      <c r="F5" s="33">
        <f>SUM(I11:I12)</f>
        <v>0</v>
      </c>
    </row>
    <row r="6" spans="2:12" x14ac:dyDescent="0.35">
      <c r="B6" s="30" t="s">
        <v>8</v>
      </c>
      <c r="C6" s="39">
        <v>45016</v>
      </c>
      <c r="E6" s="34" t="s">
        <v>26</v>
      </c>
      <c r="F6" s="35">
        <f>I59</f>
        <v>2410</v>
      </c>
      <c r="H6" s="105" t="s">
        <v>40</v>
      </c>
      <c r="I6" s="106"/>
    </row>
    <row r="7" spans="2:12" ht="29" x14ac:dyDescent="0.35">
      <c r="B7" s="30" t="s">
        <v>6</v>
      </c>
      <c r="C7" s="40">
        <v>31</v>
      </c>
      <c r="E7" s="34" t="s">
        <v>27</v>
      </c>
      <c r="F7" s="35">
        <f>R59</f>
        <v>0</v>
      </c>
      <c r="H7" s="7" t="s">
        <v>37</v>
      </c>
      <c r="I7" s="8">
        <f>J59</f>
        <v>0</v>
      </c>
      <c r="L7" s="61"/>
    </row>
    <row r="8" spans="2:12" ht="29.5" thickBot="1" x14ac:dyDescent="0.4">
      <c r="B8" s="31" t="s">
        <v>7</v>
      </c>
      <c r="C8" s="41">
        <f>C6+C3</f>
        <v>45041</v>
      </c>
      <c r="E8" s="34" t="s">
        <v>28</v>
      </c>
      <c r="F8" s="35">
        <f>SUM(I7:I8)</f>
        <v>0</v>
      </c>
      <c r="H8" s="49" t="s">
        <v>38</v>
      </c>
      <c r="I8" s="50">
        <f>S59</f>
        <v>0</v>
      </c>
      <c r="L8" s="61"/>
    </row>
    <row r="9" spans="2:12" ht="29.5" customHeight="1" thickBot="1" x14ac:dyDescent="0.4">
      <c r="B9"/>
      <c r="C9" s="3"/>
      <c r="E9" s="34" t="s">
        <v>29</v>
      </c>
      <c r="F9" s="35">
        <f>SUM(I15:I16)</f>
        <v>68.45</v>
      </c>
      <c r="L9" s="61"/>
    </row>
    <row r="10" spans="2:12" ht="15" thickBot="1" x14ac:dyDescent="0.4">
      <c r="B10" s="29" t="s">
        <v>12</v>
      </c>
      <c r="C10" s="38">
        <v>45566</v>
      </c>
      <c r="E10" s="4"/>
      <c r="F10" s="6"/>
      <c r="H10" s="123" t="s">
        <v>41</v>
      </c>
      <c r="I10" s="124"/>
      <c r="J10" s="125"/>
    </row>
    <row r="11" spans="2:12" ht="14.5" customHeight="1" x14ac:dyDescent="0.35">
      <c r="B11" s="30" t="s">
        <v>13</v>
      </c>
      <c r="C11" s="39">
        <f>C10+C12-1</f>
        <v>45596</v>
      </c>
      <c r="E11" s="55" t="s">
        <v>30</v>
      </c>
      <c r="F11" s="56">
        <f>F4+F6+F7+F8+F9-F5</f>
        <v>2478.4499999999998</v>
      </c>
      <c r="H11" s="72" t="s">
        <v>42</v>
      </c>
      <c r="I11" s="73">
        <f>SUM(F59:G59)</f>
        <v>0</v>
      </c>
      <c r="J11" s="101" t="s">
        <v>73</v>
      </c>
      <c r="K11" s="122"/>
    </row>
    <row r="12" spans="2:12" ht="15" thickBot="1" x14ac:dyDescent="0.4">
      <c r="B12" s="30" t="s">
        <v>14</v>
      </c>
      <c r="C12" s="40">
        <v>31</v>
      </c>
      <c r="E12" s="4"/>
      <c r="F12" s="6"/>
      <c r="H12" s="49" t="s">
        <v>43</v>
      </c>
      <c r="I12" s="50">
        <f>H59</f>
        <v>0</v>
      </c>
      <c r="J12" s="102"/>
      <c r="K12" s="122"/>
    </row>
    <row r="13" spans="2:12" ht="15" thickBot="1" x14ac:dyDescent="0.4">
      <c r="B13" s="31" t="s">
        <v>15</v>
      </c>
      <c r="C13" s="41">
        <v>45255</v>
      </c>
      <c r="E13" s="53" t="s">
        <v>31</v>
      </c>
      <c r="F13" s="54">
        <v>48960</v>
      </c>
    </row>
    <row r="14" spans="2:12" x14ac:dyDescent="0.35">
      <c r="E14" s="51" t="s">
        <v>32</v>
      </c>
      <c r="F14" s="52">
        <f>F13-F11</f>
        <v>46481.55</v>
      </c>
      <c r="H14" s="105" t="s">
        <v>44</v>
      </c>
      <c r="I14" s="106"/>
    </row>
    <row r="15" spans="2:12" ht="29.5" thickBot="1" x14ac:dyDescent="0.4">
      <c r="B15"/>
      <c r="C15" s="3"/>
      <c r="E15" s="53" t="s">
        <v>33</v>
      </c>
      <c r="F15" s="54">
        <v>20000</v>
      </c>
      <c r="H15" s="7" t="s">
        <v>45</v>
      </c>
      <c r="I15" s="8"/>
    </row>
    <row r="16" spans="2:12" ht="29.5" thickBot="1" x14ac:dyDescent="0.4">
      <c r="B16" s="29" t="s">
        <v>3</v>
      </c>
      <c r="C16" s="38">
        <f>C10+C12</f>
        <v>45597</v>
      </c>
      <c r="E16" s="51" t="s">
        <v>34</v>
      </c>
      <c r="F16" s="52">
        <f>F15-F7-I16</f>
        <v>19931.55</v>
      </c>
      <c r="H16" s="49" t="s">
        <v>43</v>
      </c>
      <c r="I16" s="50">
        <f>T61</f>
        <v>68.45</v>
      </c>
    </row>
    <row r="17" spans="2:23" ht="15" thickBot="1" x14ac:dyDescent="0.4">
      <c r="B17" s="30" t="s">
        <v>9</v>
      </c>
      <c r="C17" s="39">
        <f>C16+C18-1</f>
        <v>45626</v>
      </c>
      <c r="E17" s="42" t="s">
        <v>0</v>
      </c>
      <c r="F17" s="39">
        <f>C17</f>
        <v>45626</v>
      </c>
    </row>
    <row r="18" spans="2:23" ht="15" thickBot="1" x14ac:dyDescent="0.4">
      <c r="B18" s="30" t="s">
        <v>4</v>
      </c>
      <c r="C18" s="40">
        <v>30</v>
      </c>
      <c r="E18" s="43" t="s">
        <v>2</v>
      </c>
      <c r="F18" s="44">
        <f>C18</f>
        <v>30</v>
      </c>
      <c r="H18" s="105" t="s">
        <v>51</v>
      </c>
      <c r="I18" s="106"/>
    </row>
    <row r="19" spans="2:23" ht="15" thickBot="1" x14ac:dyDescent="0.4">
      <c r="B19" s="31" t="s">
        <v>16</v>
      </c>
      <c r="C19" s="41">
        <f>C17+C3</f>
        <v>45651</v>
      </c>
      <c r="H19" s="7" t="s">
        <v>42</v>
      </c>
      <c r="I19" s="8">
        <v>3950</v>
      </c>
    </row>
    <row r="20" spans="2:23" ht="15" thickBot="1" x14ac:dyDescent="0.4">
      <c r="H20" s="49" t="s">
        <v>43</v>
      </c>
      <c r="I20" s="50">
        <v>3045</v>
      </c>
      <c r="J20" s="5"/>
    </row>
    <row r="21" spans="2:23" x14ac:dyDescent="0.35">
      <c r="B21" s="105" t="s">
        <v>17</v>
      </c>
      <c r="C21" s="106"/>
      <c r="E21" s="105" t="s">
        <v>22</v>
      </c>
      <c r="F21" s="106"/>
      <c r="I21" s="62">
        <f>SUM(I19:I20)</f>
        <v>6995</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111.55</v>
      </c>
      <c r="M24" s="61"/>
    </row>
    <row r="25" spans="2:23" x14ac:dyDescent="0.35">
      <c r="C25" s="9"/>
      <c r="E25" s="1"/>
      <c r="F25" s="10"/>
    </row>
    <row r="26" spans="2:23" ht="15" thickBot="1" x14ac:dyDescent="0.4">
      <c r="C26" s="9"/>
      <c r="E26" s="1"/>
      <c r="F26" s="10"/>
    </row>
    <row r="27" spans="2:23" ht="15" customHeight="1" thickBot="1" x14ac:dyDescent="0.4">
      <c r="B27" s="70"/>
      <c r="C27" s="71"/>
      <c r="D27" s="119" t="s">
        <v>10</v>
      </c>
      <c r="E27" s="119"/>
      <c r="F27" s="119"/>
      <c r="G27" s="119"/>
      <c r="H27" s="119"/>
      <c r="I27" s="118" t="s">
        <v>47</v>
      </c>
      <c r="J27" s="118"/>
      <c r="K27" s="118"/>
      <c r="L27" s="118"/>
      <c r="M27" s="118"/>
      <c r="N27" s="118"/>
      <c r="O27" s="118"/>
      <c r="P27" s="118"/>
      <c r="Q27" s="118"/>
      <c r="R27" s="116" t="s">
        <v>48</v>
      </c>
      <c r="S27" s="116"/>
      <c r="T27" s="116"/>
      <c r="U27" s="116"/>
      <c r="V27" s="116"/>
      <c r="W27" s="117"/>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45596</v>
      </c>
      <c r="C29" s="47">
        <f>C16</f>
        <v>45597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ROUND(K29*$F$22,2)</f>
        <v>0</v>
      </c>
      <c r="N29" s="12">
        <f>I29+J29-G29</f>
        <v>0</v>
      </c>
      <c r="O29" s="12">
        <f>P29</f>
        <v>0</v>
      </c>
      <c r="P29" s="12">
        <f>N29*$F$22</f>
        <v>0</v>
      </c>
      <c r="Q29" s="12">
        <f>K29+N29</f>
        <v>0</v>
      </c>
      <c r="R29" s="15"/>
      <c r="S29" s="15"/>
      <c r="T29" s="15">
        <f>$I$20+R29+S29-H29</f>
        <v>3045</v>
      </c>
      <c r="U29" s="15">
        <f>V29</f>
        <v>2.5</v>
      </c>
      <c r="V29" s="16">
        <f>ROUND(T29*$F$23,2)</f>
        <v>2.5</v>
      </c>
      <c r="W29" s="16">
        <f>IF(T29=0,0,$I$20+R29+S29-H29)</f>
        <v>3045</v>
      </c>
    </row>
    <row r="30" spans="2:23" s="90" customFormat="1" x14ac:dyDescent="0.35">
      <c r="B30" s="84">
        <f t="shared" ref="B30:B58" si="0">C30-1</f>
        <v>45597</v>
      </c>
      <c r="C30" s="85">
        <f t="shared" ref="C30:C58" si="1">C29+1</f>
        <v>45598</v>
      </c>
      <c r="D30" s="86"/>
      <c r="E30" s="87">
        <f>IF(SUM(E$29:E29)=$I$24,0,IF((D30&lt;=$I$24-SUM(E$29:E29)),D30,$I$24-SUM(E$29:E29)))</f>
        <v>0</v>
      </c>
      <c r="F30" s="87">
        <f>IF($I$19&gt;0,IF(SUM(F$29:F29)&lt;$I$19,IF((D30-E30)&gt;0,IF($I$20=0,IF($I$19-SUM(F$29:F29)&gt;D30,D30,$I$19-SUM(F$29:F29)),E30),D30),0)+IF($I$20&gt;0,IF(D30-$I$20-SUM($H$29:H29)-IF($I$19=0,0,E30)&gt;0,IF(D30-$I$20-SUM($H$29:H29)-IF($I$19=0,0,E30)&gt;$I$19,$I$19-SUM(F$29:F29)-E30,D30-$I$20-SUM($H$29:H29)-IF($I$19=0,0,E30)),0),0),0)</f>
        <v>0</v>
      </c>
      <c r="G30" s="87">
        <f t="shared" ref="G30:G58" si="2">ROUND(D30-F30-H30,2)</f>
        <v>0</v>
      </c>
      <c r="H30" s="87">
        <f>IF((T29+U29-V29+R30+S30)&gt;0,IF($I$19=0,E30,0),0)+IF((T29+U29-V29+R30+S30)&gt;0,(IF((D30-F30)&gt;0,(IF((T29+U29-V29+R30+S30)&gt;(D30-F30),(D30-F30-IF($I$19=0,E30,0)),(T29+U29-V29+R30+S30-IF($I$19=0,E30,0)))),0)),0)</f>
        <v>0</v>
      </c>
      <c r="I30" s="87">
        <v>1810</v>
      </c>
      <c r="J30" s="87"/>
      <c r="K30" s="87">
        <f>IF(SUM($F$29:$F$53)&gt;=$I$19,0,ROUND(K29+L29-F30,2))</f>
        <v>0</v>
      </c>
      <c r="L30" s="87">
        <f>M30-M29</f>
        <v>0</v>
      </c>
      <c r="M30" s="87">
        <f>IF(K30=0,0,M29+ROUND(K30*$F$22,2))</f>
        <v>0</v>
      </c>
      <c r="N30" s="87">
        <f t="shared" ref="N30:N58" si="3">ROUND(N29+I30+J30+O29-G30,2)</f>
        <v>1810</v>
      </c>
      <c r="O30" s="87">
        <f>P30-P29</f>
        <v>1.1200000000000001</v>
      </c>
      <c r="P30" s="87">
        <f>ROUND(P29+N30*$F$22,2)</f>
        <v>1.1200000000000001</v>
      </c>
      <c r="Q30" s="87">
        <f>ROUND(N30+K30-M29-P29,2)</f>
        <v>1810</v>
      </c>
      <c r="R30" s="87"/>
      <c r="S30" s="87"/>
      <c r="T30" s="87">
        <f>T29+U29+R30+S30-H30</f>
        <v>3047.5</v>
      </c>
      <c r="U30" s="87">
        <f t="shared" ref="U30:U58" si="4">V30-V29</f>
        <v>2.5</v>
      </c>
      <c r="V30" s="88">
        <f>V29+ROUND(T30*$F$23,2)</f>
        <v>5</v>
      </c>
      <c r="W30" s="89">
        <f>IF(T30=0,0,W29+R30+S30-H30)</f>
        <v>3045</v>
      </c>
    </row>
    <row r="31" spans="2:23" x14ac:dyDescent="0.35">
      <c r="B31" s="47">
        <f t="shared" si="0"/>
        <v>45598</v>
      </c>
      <c r="C31" s="48">
        <f t="shared" si="1"/>
        <v>45599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0</v>
      </c>
      <c r="L31" s="13">
        <f t="shared" ref="L31:L58" si="7">M31-M30</f>
        <v>0</v>
      </c>
      <c r="M31" s="13">
        <f t="shared" ref="M31:M58" si="8">IF(K31=0,0,M30+ROUND(K31*$F$22,2))</f>
        <v>0</v>
      </c>
      <c r="N31" s="13">
        <f t="shared" si="3"/>
        <v>1811.12</v>
      </c>
      <c r="O31" s="13">
        <f t="shared" ref="O31:O58" si="9">P31-P30</f>
        <v>1.1200000000000001</v>
      </c>
      <c r="P31" s="13">
        <f t="shared" ref="P31:P58" si="10">ROUND(P30+N31*$F$22,2)</f>
        <v>2.2400000000000002</v>
      </c>
      <c r="Q31" s="13">
        <f t="shared" ref="Q31:Q58" si="11">ROUND(N31+K31-M30-P30,2)</f>
        <v>1810</v>
      </c>
      <c r="R31" s="17"/>
      <c r="S31" s="17"/>
      <c r="T31" s="17">
        <f>T30+U30+R31+S31-H31</f>
        <v>3050</v>
      </c>
      <c r="U31" s="17">
        <f t="shared" si="4"/>
        <v>2.5099999999999998</v>
      </c>
      <c r="V31" s="18">
        <f t="shared" ref="V31:V58" si="12">V30+ROUND(T31*$F$23,2)</f>
        <v>7.51</v>
      </c>
      <c r="W31" s="16">
        <f t="shared" ref="W31:W58" si="13">IF(T31=0,0,W30+R31+S31-H31)</f>
        <v>3045</v>
      </c>
    </row>
    <row r="32" spans="2:23" x14ac:dyDescent="0.35">
      <c r="B32" s="47">
        <f t="shared" si="0"/>
        <v>45599</v>
      </c>
      <c r="C32" s="48">
        <f t="shared" si="1"/>
        <v>45600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1812.24</v>
      </c>
      <c r="O32" s="13">
        <f t="shared" si="9"/>
        <v>1.1199999999999997</v>
      </c>
      <c r="P32" s="13">
        <f t="shared" si="10"/>
        <v>3.36</v>
      </c>
      <c r="Q32" s="13">
        <f t="shared" si="11"/>
        <v>1810</v>
      </c>
      <c r="R32" s="17"/>
      <c r="S32" s="17"/>
      <c r="T32" s="17">
        <f>T31+U31+R32+S32-H32</f>
        <v>3052.51</v>
      </c>
      <c r="U32" s="17">
        <f t="shared" si="4"/>
        <v>2.5099999999999998</v>
      </c>
      <c r="V32" s="18">
        <f t="shared" si="12"/>
        <v>10.02</v>
      </c>
      <c r="W32" s="16">
        <f t="shared" si="13"/>
        <v>3045</v>
      </c>
    </row>
    <row r="33" spans="2:23" x14ac:dyDescent="0.35">
      <c r="B33" s="47">
        <f t="shared" si="0"/>
        <v>45600</v>
      </c>
      <c r="C33" s="48">
        <f t="shared" si="1"/>
        <v>45601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1813.36</v>
      </c>
      <c r="O33" s="13">
        <f t="shared" si="9"/>
        <v>1.1200000000000006</v>
      </c>
      <c r="P33" s="13">
        <f t="shared" si="10"/>
        <v>4.4800000000000004</v>
      </c>
      <c r="Q33" s="13">
        <f t="shared" si="11"/>
        <v>1810</v>
      </c>
      <c r="R33" s="17"/>
      <c r="S33" s="17"/>
      <c r="T33" s="17">
        <f t="shared" ref="T33:T58" si="14">T32+U32+R33+S33-H33</f>
        <v>3055.0200000000004</v>
      </c>
      <c r="U33" s="17">
        <f t="shared" si="4"/>
        <v>2.5099999999999998</v>
      </c>
      <c r="V33" s="18">
        <f t="shared" si="12"/>
        <v>12.53</v>
      </c>
      <c r="W33" s="16">
        <f t="shared" si="13"/>
        <v>3045</v>
      </c>
    </row>
    <row r="34" spans="2:23" x14ac:dyDescent="0.35">
      <c r="B34" s="47">
        <f t="shared" si="0"/>
        <v>45601</v>
      </c>
      <c r="C34" s="48">
        <f t="shared" si="1"/>
        <v>45602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1814.48</v>
      </c>
      <c r="O34" s="13">
        <f t="shared" si="9"/>
        <v>1.1199999999999992</v>
      </c>
      <c r="P34" s="13">
        <f t="shared" si="10"/>
        <v>5.6</v>
      </c>
      <c r="Q34" s="13">
        <f t="shared" si="11"/>
        <v>1810</v>
      </c>
      <c r="R34" s="17"/>
      <c r="S34" s="17"/>
      <c r="T34" s="17">
        <f t="shared" si="14"/>
        <v>3057.5300000000007</v>
      </c>
      <c r="U34" s="17">
        <f t="shared" si="4"/>
        <v>2.5099999999999998</v>
      </c>
      <c r="V34" s="18">
        <f t="shared" si="12"/>
        <v>15.04</v>
      </c>
      <c r="W34" s="16">
        <f t="shared" si="13"/>
        <v>3045</v>
      </c>
    </row>
    <row r="35" spans="2:23" x14ac:dyDescent="0.35">
      <c r="B35" s="47">
        <f t="shared" si="0"/>
        <v>45602</v>
      </c>
      <c r="C35" s="48">
        <f t="shared" si="1"/>
        <v>45603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1815.6</v>
      </c>
      <c r="O35" s="13">
        <f t="shared" si="9"/>
        <v>1.1200000000000001</v>
      </c>
      <c r="P35" s="13">
        <f t="shared" si="10"/>
        <v>6.72</v>
      </c>
      <c r="Q35" s="13">
        <f t="shared" si="11"/>
        <v>1810</v>
      </c>
      <c r="R35" s="17"/>
      <c r="S35" s="17"/>
      <c r="T35" s="17">
        <f>T34+U34+R35+S35-H35</f>
        <v>3060.0400000000009</v>
      </c>
      <c r="U35" s="17">
        <f t="shared" si="4"/>
        <v>2.509999999999998</v>
      </c>
      <c r="V35" s="18">
        <f t="shared" si="12"/>
        <v>17.549999999999997</v>
      </c>
      <c r="W35" s="16">
        <f t="shared" si="13"/>
        <v>3045</v>
      </c>
    </row>
    <row r="36" spans="2:23" x14ac:dyDescent="0.35">
      <c r="B36" s="47">
        <f t="shared" si="0"/>
        <v>45603</v>
      </c>
      <c r="C36" s="48">
        <f t="shared" si="1"/>
        <v>45604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1816.72</v>
      </c>
      <c r="O36" s="13">
        <f t="shared" si="9"/>
        <v>1.1200000000000001</v>
      </c>
      <c r="P36" s="13">
        <f t="shared" si="10"/>
        <v>7.84</v>
      </c>
      <c r="Q36" s="13">
        <f t="shared" si="11"/>
        <v>1810</v>
      </c>
      <c r="R36" s="17"/>
      <c r="S36" s="17"/>
      <c r="T36" s="17">
        <f t="shared" si="14"/>
        <v>3062.5500000000011</v>
      </c>
      <c r="U36" s="17">
        <f t="shared" si="4"/>
        <v>2.5199999999999996</v>
      </c>
      <c r="V36" s="18">
        <f t="shared" si="12"/>
        <v>20.069999999999997</v>
      </c>
      <c r="W36" s="16">
        <f t="shared" si="13"/>
        <v>3045</v>
      </c>
    </row>
    <row r="37" spans="2:23" x14ac:dyDescent="0.35">
      <c r="B37" s="47">
        <f t="shared" si="0"/>
        <v>45604</v>
      </c>
      <c r="C37" s="48">
        <f t="shared" si="1"/>
        <v>45605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1817.84</v>
      </c>
      <c r="O37" s="13">
        <f t="shared" si="9"/>
        <v>1.120000000000001</v>
      </c>
      <c r="P37" s="13">
        <f t="shared" si="10"/>
        <v>8.9600000000000009</v>
      </c>
      <c r="Q37" s="13">
        <f t="shared" si="11"/>
        <v>1810</v>
      </c>
      <c r="R37" s="17"/>
      <c r="S37" s="17"/>
      <c r="T37" s="17">
        <f t="shared" si="14"/>
        <v>3065.0700000000011</v>
      </c>
      <c r="U37" s="17">
        <f t="shared" si="4"/>
        <v>2.5199999999999996</v>
      </c>
      <c r="V37" s="18">
        <f t="shared" si="12"/>
        <v>22.589999999999996</v>
      </c>
      <c r="W37" s="16">
        <f t="shared" si="13"/>
        <v>3045</v>
      </c>
    </row>
    <row r="38" spans="2:23" s="90" customFormat="1" x14ac:dyDescent="0.35">
      <c r="B38" s="84">
        <f t="shared" si="0"/>
        <v>45605</v>
      </c>
      <c r="C38" s="85">
        <f t="shared" si="1"/>
        <v>45606</v>
      </c>
      <c r="D38" s="86"/>
      <c r="E38" s="87">
        <f>IF(SUM(E$29:E37)=$I$24,0,IF((D38&lt;=$I$24-SUM(E$29:E37)),D38,$I$24-SUM(E$29:E37)))</f>
        <v>0</v>
      </c>
      <c r="F38" s="87">
        <f>IF($I$19&gt;0,IF(SUM(F$29:F37)&lt;$I$19,IF((D38-E38)&gt;0,IF($I$20=0,IF($I$19-SUM(F$29:F37)&gt;D38,D38,$I$19-SUM(F$29:F37)),E38),D38),0)+IF($I$20&gt;0,IF(D38-$I$20-SUM($H$29:H37)-IF($I$19=0,0,E38)&gt;0,IF(D38-$I$20-SUM($H$29:H37)-IF($I$19=0,0,E38)&gt;$I$19,$I$19-SUM(F$29:F37)-E38,D38-$I$20-SUM($H$29:H37)-IF($I$19=0,0,E38)),0),0),0)</f>
        <v>0</v>
      </c>
      <c r="G38" s="87">
        <f t="shared" si="2"/>
        <v>0</v>
      </c>
      <c r="H38" s="87">
        <f t="shared" si="5"/>
        <v>0</v>
      </c>
      <c r="I38" s="87"/>
      <c r="J38" s="87"/>
      <c r="K38" s="87">
        <f t="shared" si="6"/>
        <v>0</v>
      </c>
      <c r="L38" s="87">
        <f t="shared" si="7"/>
        <v>0</v>
      </c>
      <c r="M38" s="87">
        <f t="shared" si="8"/>
        <v>0</v>
      </c>
      <c r="N38" s="87">
        <f t="shared" si="3"/>
        <v>1818.96</v>
      </c>
      <c r="O38" s="87">
        <f t="shared" si="9"/>
        <v>1.1199999999999992</v>
      </c>
      <c r="P38" s="87">
        <f t="shared" si="10"/>
        <v>10.08</v>
      </c>
      <c r="Q38" s="87">
        <f t="shared" si="11"/>
        <v>1810</v>
      </c>
      <c r="R38" s="87"/>
      <c r="S38" s="87"/>
      <c r="T38" s="87">
        <f t="shared" si="14"/>
        <v>3067.5900000000011</v>
      </c>
      <c r="U38" s="87">
        <f t="shared" si="4"/>
        <v>2.5199999999999996</v>
      </c>
      <c r="V38" s="18">
        <f t="shared" si="12"/>
        <v>25.109999999999996</v>
      </c>
      <c r="W38" s="89">
        <f t="shared" si="13"/>
        <v>3045</v>
      </c>
    </row>
    <row r="39" spans="2:23" x14ac:dyDescent="0.35">
      <c r="B39" s="47">
        <f t="shared" si="0"/>
        <v>45606</v>
      </c>
      <c r="C39" s="48">
        <f t="shared" si="1"/>
        <v>45607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1820.08</v>
      </c>
      <c r="O39" s="13">
        <f>P39-P38</f>
        <v>1.1199999999999992</v>
      </c>
      <c r="P39" s="13">
        <f t="shared" si="10"/>
        <v>11.2</v>
      </c>
      <c r="Q39" s="13">
        <f t="shared" si="11"/>
        <v>1810</v>
      </c>
      <c r="R39" s="17"/>
      <c r="S39" s="17"/>
      <c r="T39" s="17">
        <f t="shared" si="14"/>
        <v>3070.110000000001</v>
      </c>
      <c r="U39" s="17">
        <f t="shared" si="4"/>
        <v>2.5199999999999996</v>
      </c>
      <c r="V39" s="18">
        <f t="shared" si="12"/>
        <v>27.629999999999995</v>
      </c>
      <c r="W39" s="16">
        <f t="shared" si="13"/>
        <v>3045</v>
      </c>
    </row>
    <row r="40" spans="2:23" x14ac:dyDescent="0.35">
      <c r="B40" s="47">
        <f t="shared" si="0"/>
        <v>45607</v>
      </c>
      <c r="C40" s="48">
        <f t="shared" si="1"/>
        <v>45608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1821.2</v>
      </c>
      <c r="O40" s="13">
        <f t="shared" si="9"/>
        <v>1.120000000000001</v>
      </c>
      <c r="P40" s="13">
        <f t="shared" si="10"/>
        <v>12.32</v>
      </c>
      <c r="Q40" s="13">
        <f t="shared" si="11"/>
        <v>1810</v>
      </c>
      <c r="R40" s="17"/>
      <c r="S40" s="17"/>
      <c r="T40" s="17">
        <f t="shared" si="14"/>
        <v>3072.630000000001</v>
      </c>
      <c r="U40" s="17">
        <f t="shared" si="4"/>
        <v>2.5199999999999996</v>
      </c>
      <c r="V40" s="18">
        <f t="shared" si="12"/>
        <v>30.149999999999995</v>
      </c>
      <c r="W40" s="16">
        <f t="shared" si="13"/>
        <v>3045</v>
      </c>
    </row>
    <row r="41" spans="2:23" x14ac:dyDescent="0.35">
      <c r="B41" s="47">
        <f t="shared" si="0"/>
        <v>45608</v>
      </c>
      <c r="C41" s="48">
        <f t="shared" si="1"/>
        <v>45609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1822.32</v>
      </c>
      <c r="O41" s="13">
        <f t="shared" si="9"/>
        <v>1.1199999999999992</v>
      </c>
      <c r="P41" s="13">
        <f t="shared" si="10"/>
        <v>13.44</v>
      </c>
      <c r="Q41" s="13">
        <f t="shared" si="11"/>
        <v>1810</v>
      </c>
      <c r="R41" s="17"/>
      <c r="S41" s="17"/>
      <c r="T41" s="17">
        <f t="shared" si="14"/>
        <v>3075.150000000001</v>
      </c>
      <c r="U41" s="17">
        <f t="shared" si="4"/>
        <v>2.5299999999999976</v>
      </c>
      <c r="V41" s="18">
        <f t="shared" si="12"/>
        <v>32.679999999999993</v>
      </c>
      <c r="W41" s="16">
        <f t="shared" si="13"/>
        <v>3045</v>
      </c>
    </row>
    <row r="42" spans="2:23" x14ac:dyDescent="0.35">
      <c r="B42" s="47">
        <f>C42-2</f>
        <v>45608</v>
      </c>
      <c r="C42" s="48">
        <f t="shared" si="1"/>
        <v>45610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1823.44</v>
      </c>
      <c r="O42" s="13">
        <f t="shared" si="9"/>
        <v>1.120000000000001</v>
      </c>
      <c r="P42" s="13">
        <f t="shared" si="10"/>
        <v>14.56</v>
      </c>
      <c r="Q42" s="13">
        <f t="shared" si="11"/>
        <v>1810</v>
      </c>
      <c r="R42" s="17"/>
      <c r="S42" s="17"/>
      <c r="T42" s="17">
        <f>T41+U41+R42+S42-H42</f>
        <v>3077.6800000000012</v>
      </c>
      <c r="U42" s="17">
        <f>V42-V41</f>
        <v>2.5300000000000011</v>
      </c>
      <c r="V42" s="18">
        <f t="shared" si="12"/>
        <v>35.209999999999994</v>
      </c>
      <c r="W42" s="16">
        <f t="shared" si="13"/>
        <v>3045</v>
      </c>
    </row>
    <row r="43" spans="2:23" s="90" customFormat="1" x14ac:dyDescent="0.35">
      <c r="B43" s="84">
        <f t="shared" si="0"/>
        <v>45610</v>
      </c>
      <c r="C43" s="85">
        <f t="shared" si="1"/>
        <v>45611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0</v>
      </c>
      <c r="L43" s="87">
        <f t="shared" si="7"/>
        <v>0</v>
      </c>
      <c r="M43" s="87">
        <f t="shared" si="8"/>
        <v>0</v>
      </c>
      <c r="N43" s="87">
        <f>ROUND(N42+I43+J43+O42-G43,2)</f>
        <v>1824.56</v>
      </c>
      <c r="O43" s="87">
        <f t="shared" si="9"/>
        <v>1.1199999999999992</v>
      </c>
      <c r="P43" s="87">
        <f t="shared" si="10"/>
        <v>15.68</v>
      </c>
      <c r="Q43" s="87">
        <f t="shared" si="11"/>
        <v>1810</v>
      </c>
      <c r="R43" s="87"/>
      <c r="S43" s="87"/>
      <c r="T43" s="87">
        <f>T42+U42+R43+S43-H43</f>
        <v>3080.2100000000014</v>
      </c>
      <c r="U43" s="87">
        <f t="shared" si="4"/>
        <v>2.5300000000000011</v>
      </c>
      <c r="V43" s="18">
        <f t="shared" si="12"/>
        <v>37.739999999999995</v>
      </c>
      <c r="W43" s="89">
        <f t="shared" si="13"/>
        <v>3045</v>
      </c>
    </row>
    <row r="44" spans="2:23" x14ac:dyDescent="0.35">
      <c r="B44" s="47">
        <f t="shared" si="0"/>
        <v>45611</v>
      </c>
      <c r="C44" s="48">
        <f t="shared" si="1"/>
        <v>45612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1825.68</v>
      </c>
      <c r="O44" s="13">
        <f t="shared" si="9"/>
        <v>1.120000000000001</v>
      </c>
      <c r="P44" s="13">
        <f t="shared" si="10"/>
        <v>16.8</v>
      </c>
      <c r="Q44" s="13">
        <f t="shared" si="11"/>
        <v>1810</v>
      </c>
      <c r="R44" s="17"/>
      <c r="S44" s="17"/>
      <c r="T44" s="17">
        <f t="shared" si="14"/>
        <v>3082.7400000000016</v>
      </c>
      <c r="U44" s="17">
        <f t="shared" si="4"/>
        <v>2.5300000000000011</v>
      </c>
      <c r="V44" s="18">
        <f t="shared" si="12"/>
        <v>40.269999999999996</v>
      </c>
      <c r="W44" s="16">
        <f t="shared" si="13"/>
        <v>3045</v>
      </c>
    </row>
    <row r="45" spans="2:23" s="132" customFormat="1" x14ac:dyDescent="0.35">
      <c r="B45" s="126">
        <f t="shared" si="0"/>
        <v>45612</v>
      </c>
      <c r="C45" s="127">
        <f t="shared" si="1"/>
        <v>45613</v>
      </c>
      <c r="D45" s="128"/>
      <c r="E45" s="129">
        <f>IF(SUM(E$29:E44)=$I$24,0,IF((D45&lt;=$I$24-SUM(E$29:E44)),D45,$I$24-SUM(E$29:E44)))</f>
        <v>0</v>
      </c>
      <c r="F45" s="129">
        <f>IF($I$19&gt;0,IF(SUM(F$29:F44)&lt;$I$19,IF((D45-E45)&gt;0,IF($I$20=0,IF($I$19-SUM(F$29:F44)&gt;D45,D45,$I$19-SUM(F$29:F44)),E45),D45),0)+IF($I$20&gt;0,IF(D45-$I$20-SUM($H$29:H44)-IF($I$19=0,0,E45)&gt;0,IF(D45-$I$20-SUM($H$29:H44)-IF($I$19=0,0,E45)&gt;$I$19,$I$19-SUM(F$29:F44)-E45,D45-$I$20-SUM($H$29:H44)-IF($I$19=0,0,E45)),0),0),0)</f>
        <v>0</v>
      </c>
      <c r="G45" s="129">
        <f t="shared" si="2"/>
        <v>0</v>
      </c>
      <c r="H45" s="129">
        <f t="shared" si="5"/>
        <v>0</v>
      </c>
      <c r="I45" s="129"/>
      <c r="J45" s="129"/>
      <c r="K45" s="129">
        <f t="shared" si="6"/>
        <v>0</v>
      </c>
      <c r="L45" s="129">
        <f t="shared" si="7"/>
        <v>0</v>
      </c>
      <c r="M45" s="129">
        <f t="shared" si="8"/>
        <v>0</v>
      </c>
      <c r="N45" s="129">
        <f t="shared" si="3"/>
        <v>1826.8</v>
      </c>
      <c r="O45" s="129">
        <f t="shared" si="9"/>
        <v>1.129999999999999</v>
      </c>
      <c r="P45" s="129">
        <f t="shared" si="10"/>
        <v>17.93</v>
      </c>
      <c r="Q45" s="129">
        <f t="shared" si="11"/>
        <v>1810</v>
      </c>
      <c r="R45" s="129"/>
      <c r="S45" s="129"/>
      <c r="T45" s="129">
        <f t="shared" si="14"/>
        <v>3085.2700000000018</v>
      </c>
      <c r="U45" s="129">
        <f t="shared" si="4"/>
        <v>2.5300000000000011</v>
      </c>
      <c r="V45" s="130">
        <f t="shared" si="12"/>
        <v>42.8</v>
      </c>
      <c r="W45" s="131">
        <f>IF(T45=0,0,W44+R45+S45-H45)</f>
        <v>3045</v>
      </c>
    </row>
    <row r="46" spans="2:23" x14ac:dyDescent="0.35">
      <c r="B46" s="47">
        <f t="shared" si="0"/>
        <v>45613</v>
      </c>
      <c r="C46" s="48">
        <f t="shared" si="1"/>
        <v>45614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1827.93</v>
      </c>
      <c r="O46" s="13">
        <f t="shared" si="9"/>
        <v>1.129999999999999</v>
      </c>
      <c r="P46" s="13">
        <f t="shared" si="10"/>
        <v>19.059999999999999</v>
      </c>
      <c r="Q46" s="13">
        <f t="shared" si="11"/>
        <v>1810</v>
      </c>
      <c r="R46" s="17"/>
      <c r="S46" s="17"/>
      <c r="T46" s="17">
        <f t="shared" si="14"/>
        <v>3087.800000000002</v>
      </c>
      <c r="U46" s="17">
        <f t="shared" si="4"/>
        <v>2.5399999999999991</v>
      </c>
      <c r="V46" s="18">
        <f t="shared" si="12"/>
        <v>45.339999999999996</v>
      </c>
      <c r="W46" s="16">
        <f>IF(T46=0,0,W45+R46+S46-H46)</f>
        <v>3045</v>
      </c>
    </row>
    <row r="47" spans="2:23" s="90" customFormat="1" x14ac:dyDescent="0.35">
      <c r="B47" s="84">
        <f t="shared" si="0"/>
        <v>45614</v>
      </c>
      <c r="C47" s="85">
        <f t="shared" si="1"/>
        <v>45615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0</v>
      </c>
      <c r="L47" s="87">
        <f t="shared" si="7"/>
        <v>0</v>
      </c>
      <c r="M47" s="13">
        <f t="shared" si="8"/>
        <v>0</v>
      </c>
      <c r="N47" s="87">
        <f t="shared" si="3"/>
        <v>1829.06</v>
      </c>
      <c r="O47" s="87">
        <f t="shared" si="9"/>
        <v>1.1300000000000026</v>
      </c>
      <c r="P47" s="87">
        <f t="shared" si="10"/>
        <v>20.190000000000001</v>
      </c>
      <c r="Q47" s="87">
        <f t="shared" si="11"/>
        <v>1810</v>
      </c>
      <c r="R47" s="87"/>
      <c r="S47" s="87"/>
      <c r="T47" s="87">
        <f t="shared" si="14"/>
        <v>3090.340000000002</v>
      </c>
      <c r="U47" s="87">
        <f t="shared" si="4"/>
        <v>2.5399999999999991</v>
      </c>
      <c r="V47" s="18">
        <f t="shared" si="12"/>
        <v>47.879999999999995</v>
      </c>
      <c r="W47" s="89">
        <f t="shared" si="13"/>
        <v>3045</v>
      </c>
    </row>
    <row r="48" spans="2:23" x14ac:dyDescent="0.35">
      <c r="B48" s="47">
        <f t="shared" si="0"/>
        <v>45615</v>
      </c>
      <c r="C48" s="48">
        <f t="shared" si="1"/>
        <v>45616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1830.19</v>
      </c>
      <c r="O48" s="13">
        <f t="shared" si="9"/>
        <v>1.129999999999999</v>
      </c>
      <c r="P48" s="13">
        <f t="shared" si="10"/>
        <v>21.32</v>
      </c>
      <c r="Q48" s="13">
        <f t="shared" si="11"/>
        <v>1810</v>
      </c>
      <c r="R48" s="17"/>
      <c r="S48" s="17"/>
      <c r="T48" s="17">
        <f t="shared" si="14"/>
        <v>3092.8800000000019</v>
      </c>
      <c r="U48" s="17">
        <f t="shared" si="4"/>
        <v>2.5399999999999991</v>
      </c>
      <c r="V48" s="18">
        <f t="shared" si="12"/>
        <v>50.419999999999995</v>
      </c>
      <c r="W48" s="16">
        <f t="shared" si="13"/>
        <v>3045</v>
      </c>
    </row>
    <row r="49" spans="2:23" x14ac:dyDescent="0.35">
      <c r="B49" s="47">
        <f t="shared" si="0"/>
        <v>45616</v>
      </c>
      <c r="C49" s="48">
        <f t="shared" si="1"/>
        <v>45617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1831.32</v>
      </c>
      <c r="O49" s="13">
        <f t="shared" si="9"/>
        <v>1.129999999999999</v>
      </c>
      <c r="P49" s="13">
        <f t="shared" si="10"/>
        <v>22.45</v>
      </c>
      <c r="Q49" s="13">
        <f t="shared" si="11"/>
        <v>1810</v>
      </c>
      <c r="R49" s="17"/>
      <c r="S49" s="17"/>
      <c r="T49" s="17">
        <f t="shared" si="14"/>
        <v>3095.4200000000019</v>
      </c>
      <c r="U49" s="17">
        <f t="shared" si="4"/>
        <v>2.5399999999999991</v>
      </c>
      <c r="V49" s="18">
        <f t="shared" si="12"/>
        <v>52.959999999999994</v>
      </c>
      <c r="W49" s="16">
        <f t="shared" si="13"/>
        <v>3045</v>
      </c>
    </row>
    <row r="50" spans="2:23" x14ac:dyDescent="0.35">
      <c r="B50" s="47">
        <f t="shared" si="0"/>
        <v>45617</v>
      </c>
      <c r="C50" s="48">
        <f t="shared" si="1"/>
        <v>45618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1832.45</v>
      </c>
      <c r="O50" s="13">
        <f t="shared" si="9"/>
        <v>1.129999999999999</v>
      </c>
      <c r="P50" s="13">
        <f t="shared" si="10"/>
        <v>23.58</v>
      </c>
      <c r="Q50" s="13">
        <f t="shared" si="11"/>
        <v>1810</v>
      </c>
      <c r="R50" s="17"/>
      <c r="S50" s="17"/>
      <c r="T50" s="17">
        <f t="shared" si="14"/>
        <v>3097.9600000000019</v>
      </c>
      <c r="U50" s="17">
        <f t="shared" si="4"/>
        <v>2.5499999999999972</v>
      </c>
      <c r="V50" s="18">
        <f t="shared" si="12"/>
        <v>55.509999999999991</v>
      </c>
      <c r="W50" s="16">
        <f t="shared" si="13"/>
        <v>3045</v>
      </c>
    </row>
    <row r="51" spans="2:23" x14ac:dyDescent="0.35">
      <c r="B51" s="47">
        <f t="shared" si="0"/>
        <v>45618</v>
      </c>
      <c r="C51" s="48">
        <f t="shared" si="1"/>
        <v>45619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1833.58</v>
      </c>
      <c r="O51" s="13">
        <f t="shared" si="9"/>
        <v>1.1300000000000026</v>
      </c>
      <c r="P51" s="13">
        <f t="shared" si="10"/>
        <v>24.71</v>
      </c>
      <c r="Q51" s="13">
        <f t="shared" si="11"/>
        <v>1810</v>
      </c>
      <c r="R51" s="17"/>
      <c r="S51" s="17"/>
      <c r="T51" s="17">
        <f t="shared" si="14"/>
        <v>3100.510000000002</v>
      </c>
      <c r="U51" s="17">
        <f t="shared" si="4"/>
        <v>2.5499999999999972</v>
      </c>
      <c r="V51" s="18">
        <f t="shared" si="12"/>
        <v>58.059999999999988</v>
      </c>
      <c r="W51" s="16">
        <f t="shared" si="13"/>
        <v>3045</v>
      </c>
    </row>
    <row r="52" spans="2:23" x14ac:dyDescent="0.35">
      <c r="B52" s="47">
        <f t="shared" si="0"/>
        <v>45619</v>
      </c>
      <c r="C52" s="48">
        <f t="shared" si="1"/>
        <v>45620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1834.71</v>
      </c>
      <c r="O52" s="13">
        <f t="shared" si="9"/>
        <v>1.129999999999999</v>
      </c>
      <c r="P52" s="13">
        <f t="shared" si="10"/>
        <v>25.84</v>
      </c>
      <c r="Q52" s="13">
        <f t="shared" si="11"/>
        <v>1810</v>
      </c>
      <c r="R52" s="17"/>
      <c r="S52" s="17"/>
      <c r="T52" s="17">
        <f t="shared" si="14"/>
        <v>3103.0600000000022</v>
      </c>
      <c r="U52" s="17">
        <f t="shared" si="4"/>
        <v>2.5499999999999972</v>
      </c>
      <c r="V52" s="18">
        <f t="shared" si="12"/>
        <v>60.609999999999985</v>
      </c>
      <c r="W52" s="16">
        <f t="shared" si="13"/>
        <v>3045</v>
      </c>
    </row>
    <row r="53" spans="2:23" s="90" customFormat="1" x14ac:dyDescent="0.35">
      <c r="B53" s="84">
        <f t="shared" si="0"/>
        <v>45620</v>
      </c>
      <c r="C53" s="85">
        <f t="shared" si="1"/>
        <v>45621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0</v>
      </c>
      <c r="L53" s="87">
        <f t="shared" si="7"/>
        <v>0</v>
      </c>
      <c r="M53" s="87">
        <f t="shared" si="8"/>
        <v>0</v>
      </c>
      <c r="N53" s="87">
        <f t="shared" si="3"/>
        <v>1835.84</v>
      </c>
      <c r="O53" s="87">
        <f t="shared" si="9"/>
        <v>1.129999999999999</v>
      </c>
      <c r="P53" s="87">
        <f t="shared" si="10"/>
        <v>26.97</v>
      </c>
      <c r="Q53" s="87">
        <f t="shared" si="11"/>
        <v>1810</v>
      </c>
      <c r="R53" s="87"/>
      <c r="S53" s="87"/>
      <c r="T53" s="87">
        <f t="shared" si="14"/>
        <v>3105.6100000000024</v>
      </c>
      <c r="U53" s="87">
        <f t="shared" si="4"/>
        <v>2.5499999999999972</v>
      </c>
      <c r="V53" s="18">
        <f t="shared" si="12"/>
        <v>63.159999999999982</v>
      </c>
      <c r="W53" s="89">
        <f t="shared" si="13"/>
        <v>3045</v>
      </c>
    </row>
    <row r="54" spans="2:23" s="132" customFormat="1" x14ac:dyDescent="0.35">
      <c r="B54" s="126">
        <f t="shared" si="0"/>
        <v>45621</v>
      </c>
      <c r="C54" s="127">
        <f t="shared" si="1"/>
        <v>45622</v>
      </c>
      <c r="D54" s="128"/>
      <c r="E54" s="129">
        <f>IF(SUM(E$29:E53)=$I$24,0,IF((D54&lt;=$I$24-SUM(E$29:E53)),D54,$I$24-SUM(E$29:E53)))</f>
        <v>0</v>
      </c>
      <c r="F54" s="129">
        <f>IF($I$19&gt;0,IF(SUM(F$29:F53)&lt;$I$19,IF((D54-E54)&gt;0,IF($I$20=0,IF($I$19-SUM(F$29:F53)&gt;D54,D54,$I$19-SUM(F$29:F53)),E54),D54),0)+IF($I$20&gt;0,IF(D54-$I$20-SUM($H$29:H53)-IF($I$19=0,0,E54)&gt;0,IF(D54-$I$20-SUM($H$29:H53)-IF($I$19=0,0,E54)&gt;$I$19,$I$19-SUM(F$29:F53)-E54,D54-$I$20-SUM($H$29:H53)-IF($I$19=0,0,E54)),0),0),0)</f>
        <v>0</v>
      </c>
      <c r="G54" s="129">
        <f t="shared" si="2"/>
        <v>0</v>
      </c>
      <c r="H54" s="129">
        <f t="shared" si="5"/>
        <v>0</v>
      </c>
      <c r="I54" s="129">
        <v>600</v>
      </c>
      <c r="J54" s="129"/>
      <c r="K54" s="129">
        <f t="shared" si="6"/>
        <v>0</v>
      </c>
      <c r="L54" s="129">
        <f t="shared" si="7"/>
        <v>0</v>
      </c>
      <c r="M54" s="129">
        <f t="shared" si="8"/>
        <v>0</v>
      </c>
      <c r="N54" s="129">
        <f t="shared" si="3"/>
        <v>2436.9699999999998</v>
      </c>
      <c r="O54" s="129">
        <f t="shared" si="9"/>
        <v>1.5</v>
      </c>
      <c r="P54" s="129">
        <f t="shared" si="10"/>
        <v>28.47</v>
      </c>
      <c r="Q54" s="129">
        <f t="shared" si="11"/>
        <v>2410</v>
      </c>
      <c r="R54" s="129"/>
      <c r="S54" s="129"/>
      <c r="T54" s="129">
        <f t="shared" si="14"/>
        <v>3108.1600000000026</v>
      </c>
      <c r="U54" s="129">
        <f t="shared" si="4"/>
        <v>2.5499999999999972</v>
      </c>
      <c r="V54" s="130">
        <f t="shared" si="12"/>
        <v>65.70999999999998</v>
      </c>
      <c r="W54" s="131">
        <f t="shared" si="13"/>
        <v>3045</v>
      </c>
    </row>
    <row r="55" spans="2:23" s="98" customFormat="1" x14ac:dyDescent="0.35">
      <c r="B55" s="93">
        <f t="shared" si="0"/>
        <v>45622</v>
      </c>
      <c r="C55" s="94">
        <f t="shared" si="1"/>
        <v>45623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0</v>
      </c>
      <c r="L55" s="96">
        <f t="shared" si="7"/>
        <v>0</v>
      </c>
      <c r="M55" s="96">
        <f t="shared" si="8"/>
        <v>0</v>
      </c>
      <c r="N55" s="96">
        <f t="shared" si="3"/>
        <v>2438.4699999999998</v>
      </c>
      <c r="O55" s="96">
        <f t="shared" si="9"/>
        <v>1.5</v>
      </c>
      <c r="P55" s="96">
        <f t="shared" si="10"/>
        <v>29.97</v>
      </c>
      <c r="Q55" s="96">
        <f t="shared" si="11"/>
        <v>2410</v>
      </c>
      <c r="R55" s="96"/>
      <c r="S55" s="96"/>
      <c r="T55" s="96">
        <f t="shared" si="14"/>
        <v>3110.7100000000028</v>
      </c>
      <c r="U55" s="96">
        <f t="shared" si="4"/>
        <v>2.5600000000000023</v>
      </c>
      <c r="V55" s="18">
        <f t="shared" si="12"/>
        <v>68.269999999999982</v>
      </c>
      <c r="W55" s="97">
        <f t="shared" si="13"/>
        <v>3045</v>
      </c>
    </row>
    <row r="56" spans="2:23" s="90" customFormat="1" x14ac:dyDescent="0.35">
      <c r="B56" s="84">
        <f t="shared" si="0"/>
        <v>45623</v>
      </c>
      <c r="C56" s="85">
        <f t="shared" si="1"/>
        <v>45624</v>
      </c>
      <c r="D56" s="86"/>
      <c r="E56" s="92">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IF(SUM($F$29:$F$53)&gt;=$I$19,0,ROUND(K55+L55-F56,2))-3950</f>
        <v>-3950</v>
      </c>
      <c r="L56" s="87">
        <f t="shared" si="7"/>
        <v>-2.4300000000000002</v>
      </c>
      <c r="M56" s="87">
        <f t="shared" si="8"/>
        <v>-2.4300000000000002</v>
      </c>
      <c r="N56" s="87">
        <f t="shared" si="3"/>
        <v>2439.9699999999998</v>
      </c>
      <c r="O56" s="87">
        <f t="shared" si="9"/>
        <v>1.5</v>
      </c>
      <c r="P56" s="87">
        <f t="shared" si="10"/>
        <v>31.47</v>
      </c>
      <c r="Q56" s="87">
        <f t="shared" si="11"/>
        <v>-1540</v>
      </c>
      <c r="R56" s="87"/>
      <c r="S56" s="87"/>
      <c r="T56" s="87">
        <f>T55+U55+R56+S56-H56-(3045)</f>
        <v>68.27000000000271</v>
      </c>
      <c r="U56" s="87">
        <f t="shared" si="4"/>
        <v>6.0000000000002274E-2</v>
      </c>
      <c r="V56" s="18">
        <f t="shared" si="12"/>
        <v>68.329999999999984</v>
      </c>
      <c r="W56" s="89">
        <f t="shared" si="13"/>
        <v>3045</v>
      </c>
    </row>
    <row r="57" spans="2:23" x14ac:dyDescent="0.35">
      <c r="B57" s="47">
        <f t="shared" si="0"/>
        <v>45624</v>
      </c>
      <c r="C57" s="48">
        <f t="shared" si="1"/>
        <v>45625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-3952.43</v>
      </c>
      <c r="L57" s="13">
        <f t="shared" si="7"/>
        <v>-2.44</v>
      </c>
      <c r="M57" s="13">
        <f t="shared" si="8"/>
        <v>-4.87</v>
      </c>
      <c r="N57" s="13">
        <f t="shared" si="3"/>
        <v>2441.4699999999998</v>
      </c>
      <c r="O57" s="13">
        <f t="shared" si="9"/>
        <v>1.5</v>
      </c>
      <c r="P57" s="13">
        <f t="shared" si="10"/>
        <v>32.97</v>
      </c>
      <c r="Q57" s="13">
        <f t="shared" si="11"/>
        <v>-1540</v>
      </c>
      <c r="R57" s="17"/>
      <c r="S57" s="17"/>
      <c r="T57" s="17">
        <f t="shared" si="14"/>
        <v>68.330000000002713</v>
      </c>
      <c r="U57" s="17">
        <f t="shared" si="4"/>
        <v>6.0000000000002274E-2</v>
      </c>
      <c r="V57" s="18">
        <f t="shared" si="12"/>
        <v>68.389999999999986</v>
      </c>
      <c r="W57" s="16">
        <f t="shared" si="13"/>
        <v>3045</v>
      </c>
    </row>
    <row r="58" spans="2:23" s="11" customFormat="1" ht="15" thickBot="1" x14ac:dyDescent="0.4">
      <c r="B58" s="47">
        <f t="shared" si="0"/>
        <v>45625</v>
      </c>
      <c r="C58" s="48">
        <f t="shared" si="1"/>
        <v>45626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-3954.87</v>
      </c>
      <c r="L58" s="13">
        <f t="shared" si="7"/>
        <v>-2.4400000000000004</v>
      </c>
      <c r="M58" s="13">
        <f t="shared" si="8"/>
        <v>-7.3100000000000005</v>
      </c>
      <c r="N58" s="13">
        <f t="shared" si="3"/>
        <v>2442.9699999999998</v>
      </c>
      <c r="O58" s="13">
        <f t="shared" si="9"/>
        <v>1.509999999999998</v>
      </c>
      <c r="P58" s="13">
        <f t="shared" si="10"/>
        <v>34.479999999999997</v>
      </c>
      <c r="Q58" s="13">
        <f t="shared" si="11"/>
        <v>-1540</v>
      </c>
      <c r="R58" s="17"/>
      <c r="S58" s="17"/>
      <c r="T58" s="17">
        <f t="shared" si="14"/>
        <v>68.390000000002715</v>
      </c>
      <c r="U58" s="17">
        <f t="shared" si="4"/>
        <v>6.0000000000002274E-2</v>
      </c>
      <c r="V58" s="18">
        <f t="shared" si="12"/>
        <v>68.449999999999989</v>
      </c>
      <c r="W58" s="16">
        <f t="shared" si="13"/>
        <v>3045</v>
      </c>
    </row>
    <row r="59" spans="2:23" ht="15" thickBot="1" x14ac:dyDescent="0.4">
      <c r="B59" s="120" t="s">
        <v>49</v>
      </c>
      <c r="C59" s="121"/>
      <c r="D59" s="67">
        <f>SUM(D29:D58)</f>
        <v>0</v>
      </c>
      <c r="E59" s="21">
        <f>SUM(E29:E58)</f>
        <v>0</v>
      </c>
      <c r="F59" s="21">
        <f>SUM(F29:F58)</f>
        <v>0</v>
      </c>
      <c r="G59" s="21">
        <f>SUM(G29:G58)</f>
        <v>0</v>
      </c>
      <c r="H59" s="22">
        <f>SUM(H29:H58)</f>
        <v>0</v>
      </c>
      <c r="I59" s="20">
        <f>SUM(I29:I58)</f>
        <v>2410</v>
      </c>
      <c r="J59" s="21">
        <f>SUM(J29:J58)</f>
        <v>0</v>
      </c>
      <c r="K59" s="21">
        <f>SUM(K29:K58)</f>
        <v>-11857.3</v>
      </c>
      <c r="L59" s="74">
        <f>SUM(L29:L58)</f>
        <v>-7.3100000000000005</v>
      </c>
      <c r="M59" s="20"/>
      <c r="N59" s="21">
        <f>SUM(N29:N58)</f>
        <v>55949.33</v>
      </c>
      <c r="O59" s="21">
        <f>SUM(O29:O58)</f>
        <v>34.479999999999997</v>
      </c>
      <c r="P59" s="20"/>
      <c r="Q59" s="20"/>
      <c r="R59" s="22">
        <f>SUM(R29:R58)</f>
        <v>0</v>
      </c>
      <c r="S59" s="22">
        <f>SUM(S29:S58)</f>
        <v>0</v>
      </c>
      <c r="T59" s="22">
        <f>SUM(T29:T58)</f>
        <v>83304.040000000052</v>
      </c>
      <c r="U59" s="22">
        <f>SUM(U29:U58)</f>
        <v>68.449999999999989</v>
      </c>
      <c r="V59" s="23"/>
      <c r="W59" s="23"/>
    </row>
    <row r="60" spans="2:23" ht="15" thickBot="1" x14ac:dyDescent="0.4">
      <c r="G60" s="61"/>
      <c r="J60" s="82" t="s">
        <v>71</v>
      </c>
      <c r="K60" s="82">
        <f>K59/$C$18</f>
        <v>-395.24333333333328</v>
      </c>
      <c r="M60" s="82" t="s">
        <v>69</v>
      </c>
      <c r="N60" s="82">
        <f>N59/$C$18</f>
        <v>1864.9776666666667</v>
      </c>
      <c r="O60" s="61"/>
      <c r="S60" s="82" t="s">
        <v>65</v>
      </c>
      <c r="T60" s="82">
        <f>ROUND(T59/$C$18,2)</f>
        <v>2776.8</v>
      </c>
    </row>
    <row r="61" spans="2:23" ht="15" thickBot="1" x14ac:dyDescent="0.4">
      <c r="H61" s="2"/>
      <c r="J61" s="82" t="s">
        <v>72</v>
      </c>
      <c r="K61" s="82">
        <f>ROUND(K60*$F$22*$C$18,2)</f>
        <v>-7.31</v>
      </c>
      <c r="M61" s="82" t="s">
        <v>70</v>
      </c>
      <c r="N61" s="82" t="e">
        <f>IF(ROUND(#REF!,2)=0,0,N60*$F$22*$C$18)</f>
        <v>#REF!</v>
      </c>
      <c r="S61" s="82" t="s">
        <v>64</v>
      </c>
      <c r="T61" s="82">
        <f>ROUND(T60*$F$23*$C$18,2)</f>
        <v>68.45</v>
      </c>
    </row>
    <row r="62" spans="2:23" x14ac:dyDescent="0.35">
      <c r="M62" s="61"/>
      <c r="N62" s="61"/>
    </row>
    <row r="63" spans="2:23" ht="15" thickBot="1" x14ac:dyDescent="0.4"/>
    <row r="64" spans="2:23" ht="15" thickBot="1" x14ac:dyDescent="0.4">
      <c r="M64" s="82" t="e">
        <f>K61+N61</f>
        <v>#REF!</v>
      </c>
      <c r="P64" s="61" t="e">
        <f>N61-N67</f>
        <v>#REF!</v>
      </c>
    </row>
    <row r="65" spans="10:20" ht="15" thickBot="1" x14ac:dyDescent="0.4">
      <c r="K65" s="61">
        <f>SUM(K29:K55)</f>
        <v>0</v>
      </c>
      <c r="N65" s="61">
        <f>SUM(N56:N58)</f>
        <v>7324.41</v>
      </c>
      <c r="P65" s="61">
        <f>SUM(O56:O58)</f>
        <v>4.509999999999998</v>
      </c>
      <c r="T65" s="61">
        <f>SUM(T56:T58)</f>
        <v>204.99000000000814</v>
      </c>
    </row>
    <row r="66" spans="10:20" ht="15" thickBot="1" x14ac:dyDescent="0.4">
      <c r="K66" s="82">
        <f>K65/$C$18</f>
        <v>0</v>
      </c>
      <c r="N66" s="82">
        <f>N65/$C$18</f>
        <v>244.14699999999999</v>
      </c>
      <c r="O66" s="61">
        <f>SUM(O43:O55)</f>
        <v>15.409999999999998</v>
      </c>
      <c r="T66" s="82">
        <f>T65/$C$18</f>
        <v>6.8330000000002711</v>
      </c>
    </row>
    <row r="67" spans="10:20" ht="15" thickBot="1" x14ac:dyDescent="0.4">
      <c r="K67" s="82">
        <f>ROUND(K66*$F$22*$C$18,2)</f>
        <v>0</v>
      </c>
      <c r="M67">
        <v>25.48</v>
      </c>
      <c r="N67" s="82">
        <f>ROUND(N66*$F$22*$C$18,2)</f>
        <v>4.51</v>
      </c>
      <c r="O67">
        <v>17.440000000000001</v>
      </c>
      <c r="T67" s="82">
        <f>ROUND(T66*$F$23*$C$18,2)</f>
        <v>0.17</v>
      </c>
    </row>
    <row r="68" spans="10:20" x14ac:dyDescent="0.35">
      <c r="M68" s="61"/>
      <c r="O68" s="61">
        <f>SUM(O66,O67)</f>
        <v>32.85</v>
      </c>
    </row>
    <row r="69" spans="10:20" x14ac:dyDescent="0.35">
      <c r="M69" s="99">
        <f>K67+N67</f>
        <v>4.51</v>
      </c>
      <c r="S69" s="61" t="e">
        <f>N61+L59</f>
        <v>#REF!</v>
      </c>
    </row>
    <row r="71" spans="10:20" x14ac:dyDescent="0.35">
      <c r="M71" s="61" t="e">
        <f>M64-M67</f>
        <v>#REF!</v>
      </c>
    </row>
    <row r="73" spans="10:20" x14ac:dyDescent="0.35">
      <c r="J73" t="s">
        <v>74</v>
      </c>
      <c r="N73" s="61">
        <f>(K67+N67)-(SUM(L56:L58)+SUM(O56:O58))</f>
        <v>7.3100000000000023</v>
      </c>
    </row>
    <row r="74" spans="10:20" ht="15" thickBot="1" x14ac:dyDescent="0.4">
      <c r="K74" s="61">
        <f>SUM(K56:K58)</f>
        <v>-11857.3</v>
      </c>
      <c r="M74" s="61">
        <f>M55+N67</f>
        <v>4.51</v>
      </c>
    </row>
    <row r="75" spans="10:20" ht="15" thickBot="1" x14ac:dyDescent="0.4">
      <c r="K75" s="82">
        <f>K74/$C$18</f>
        <v>-395.24333333333328</v>
      </c>
    </row>
    <row r="76" spans="10:20" ht="15" thickBot="1" x14ac:dyDescent="0.4">
      <c r="K76" s="82">
        <f>ROUND(K75*$F$22*$C$18,2)</f>
        <v>-7.31</v>
      </c>
    </row>
    <row r="78" spans="10:20" x14ac:dyDescent="0.35">
      <c r="M78" s="61">
        <f>K29-D48</f>
        <v>0</v>
      </c>
    </row>
    <row r="79" spans="10:20" x14ac:dyDescent="0.35">
      <c r="M79">
        <f>M78</f>
        <v>0</v>
      </c>
    </row>
    <row r="83" spans="13:14" ht="15" thickBot="1" x14ac:dyDescent="0.4">
      <c r="M83" t="s">
        <v>75</v>
      </c>
      <c r="N83" s="61">
        <f>SUM(N56:N58)</f>
        <v>7324.41</v>
      </c>
    </row>
    <row r="84" spans="13:14" ht="15" thickBot="1" x14ac:dyDescent="0.4">
      <c r="N84" s="82">
        <f>N83/$C$18</f>
        <v>244.14699999999999</v>
      </c>
    </row>
    <row r="85" spans="13:14" ht="15" thickBot="1" x14ac:dyDescent="0.4">
      <c r="N85" s="82">
        <f>ROUND(N84*$F$22*$C$18,2)</f>
        <v>4.51</v>
      </c>
    </row>
    <row r="87" spans="13:14" x14ac:dyDescent="0.35">
      <c r="M87" s="100">
        <f>K76+N85</f>
        <v>-2.8</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3" t="s">
        <v>50</v>
      </c>
      <c r="F2" s="104"/>
    </row>
    <row r="3" spans="2:12" ht="15" thickBot="1" x14ac:dyDescent="0.4">
      <c r="B3" s="28" t="s">
        <v>1</v>
      </c>
      <c r="C3" s="37">
        <v>25</v>
      </c>
      <c r="E3" s="45" t="s">
        <v>24</v>
      </c>
      <c r="F3" s="46">
        <f>C17</f>
        <v>45107</v>
      </c>
    </row>
    <row r="4" spans="2:12" ht="15" thickBot="1" x14ac:dyDescent="0.4">
      <c r="B4"/>
      <c r="C4"/>
      <c r="E4" s="62" t="s">
        <v>25</v>
      </c>
      <c r="F4" s="62">
        <f>'May Statement'!F11</f>
        <v>2478.4499999999998</v>
      </c>
    </row>
    <row r="5" spans="2:12" ht="15" thickBot="1" x14ac:dyDescent="0.4">
      <c r="B5" s="29" t="s">
        <v>5</v>
      </c>
      <c r="C5" s="38">
        <v>45017</v>
      </c>
      <c r="E5" s="32" t="s">
        <v>10</v>
      </c>
      <c r="F5" s="33">
        <f>SUM(I11:I12)</f>
        <v>0</v>
      </c>
    </row>
    <row r="6" spans="2:12" x14ac:dyDescent="0.35">
      <c r="B6" s="30" t="s">
        <v>8</v>
      </c>
      <c r="C6" s="39">
        <v>45046</v>
      </c>
      <c r="E6" s="34" t="s">
        <v>26</v>
      </c>
      <c r="F6" s="35">
        <f>I59</f>
        <v>0</v>
      </c>
      <c r="H6" s="105" t="s">
        <v>40</v>
      </c>
      <c r="I6" s="106"/>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1239.7992899895887</v>
      </c>
      <c r="L9" s="61"/>
    </row>
    <row r="10" spans="2:12" ht="15" thickBot="1" x14ac:dyDescent="0.4">
      <c r="B10" s="29" t="s">
        <v>12</v>
      </c>
      <c r="C10" s="38">
        <v>45047</v>
      </c>
      <c r="E10" s="4"/>
      <c r="F10" s="6"/>
      <c r="H10" s="123" t="s">
        <v>41</v>
      </c>
      <c r="I10" s="124"/>
      <c r="J10" s="125"/>
    </row>
    <row r="11" spans="2:12" ht="14.5" customHeight="1" x14ac:dyDescent="0.35">
      <c r="B11" s="30" t="s">
        <v>13</v>
      </c>
      <c r="C11" s="39">
        <f>C10+C12-1</f>
        <v>45077</v>
      </c>
      <c r="E11" s="55" t="s">
        <v>30</v>
      </c>
      <c r="F11" s="56">
        <f>F4+F6+F7+F8+F9-F5</f>
        <v>3718.2492899895888</v>
      </c>
      <c r="H11" s="72" t="s">
        <v>42</v>
      </c>
      <c r="I11" s="73">
        <f>SUM(F59:G59)</f>
        <v>0</v>
      </c>
      <c r="J11" s="101" t="s">
        <v>73</v>
      </c>
      <c r="K11" s="122"/>
    </row>
    <row r="12" spans="2:12" ht="15" thickBot="1" x14ac:dyDescent="0.4">
      <c r="B12" s="30" t="s">
        <v>14</v>
      </c>
      <c r="C12" s="40">
        <v>31</v>
      </c>
      <c r="E12" s="4"/>
      <c r="F12" s="6"/>
      <c r="H12" s="49" t="s">
        <v>43</v>
      </c>
      <c r="I12" s="50">
        <f>H59</f>
        <v>0</v>
      </c>
      <c r="J12" s="102"/>
      <c r="K12" s="122"/>
    </row>
    <row r="13" spans="2:12" ht="15" thickBot="1" x14ac:dyDescent="0.4">
      <c r="B13" s="31" t="s">
        <v>15</v>
      </c>
      <c r="C13" s="41">
        <v>45102</v>
      </c>
      <c r="E13" s="53" t="s">
        <v>31</v>
      </c>
      <c r="F13" s="54">
        <v>18000</v>
      </c>
    </row>
    <row r="14" spans="2:12" x14ac:dyDescent="0.35">
      <c r="E14" s="51" t="s">
        <v>32</v>
      </c>
      <c r="F14" s="52">
        <f>F13-F11</f>
        <v>14281.750710010412</v>
      </c>
      <c r="H14" s="105" t="s">
        <v>44</v>
      </c>
      <c r="I14" s="106"/>
    </row>
    <row r="15" spans="2:12" ht="29.5" thickBot="1" x14ac:dyDescent="0.4">
      <c r="B15"/>
      <c r="C15" s="3"/>
      <c r="E15" s="53" t="s">
        <v>33</v>
      </c>
      <c r="F15" s="54">
        <v>1200</v>
      </c>
      <c r="H15" s="7" t="s">
        <v>45</v>
      </c>
      <c r="I15" s="8">
        <f>K61</f>
        <v>1162.1335090246573</v>
      </c>
    </row>
    <row r="16" spans="2:12" ht="29.5" thickBot="1" x14ac:dyDescent="0.4">
      <c r="B16" s="29" t="s">
        <v>3</v>
      </c>
      <c r="C16" s="38">
        <f>C10+C12</f>
        <v>45078</v>
      </c>
      <c r="E16" s="51" t="s">
        <v>34</v>
      </c>
      <c r="F16" s="52">
        <f>F15-F7-I16</f>
        <v>1122.3342190350686</v>
      </c>
      <c r="H16" s="49" t="s">
        <v>43</v>
      </c>
      <c r="I16" s="50">
        <f>T61</f>
        <v>77.665780964931315</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5" t="s">
        <v>51</v>
      </c>
      <c r="I18" s="106"/>
    </row>
    <row r="19" spans="2:23" ht="15" thickBot="1" x14ac:dyDescent="0.4">
      <c r="B19" s="31" t="s">
        <v>16</v>
      </c>
      <c r="C19" s="41">
        <f>C17+C3</f>
        <v>45132</v>
      </c>
      <c r="H19" s="7" t="s">
        <v>42</v>
      </c>
      <c r="I19" s="8">
        <f>'May Statement'!I19+'May Statement'!F6+'May Statement'!I7+'May Statement'!I15-'May Statement'!I11</f>
        <v>6360</v>
      </c>
    </row>
    <row r="20" spans="2:23" ht="15" thickBot="1" x14ac:dyDescent="0.4">
      <c r="H20" s="49" t="s">
        <v>43</v>
      </c>
      <c r="I20" s="50">
        <f>'May Statement'!I20+'May Statement'!F7+'May Statement'!I8+'May Statement'!I16-'May Statement'!I12</f>
        <v>3113.45</v>
      </c>
      <c r="J20" s="5"/>
    </row>
    <row r="21" spans="2:23" x14ac:dyDescent="0.35">
      <c r="B21" s="105" t="s">
        <v>17</v>
      </c>
      <c r="C21" s="106"/>
      <c r="E21" s="105" t="s">
        <v>22</v>
      </c>
      <c r="F21" s="106"/>
      <c r="I21" s="62">
        <f>SUM(I19:I20)</f>
        <v>9473.4500000000007</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9" t="s">
        <v>10</v>
      </c>
      <c r="E27" s="119"/>
      <c r="F27" s="119"/>
      <c r="G27" s="119"/>
      <c r="H27" s="119"/>
      <c r="I27" s="118" t="s">
        <v>47</v>
      </c>
      <c r="J27" s="118"/>
      <c r="K27" s="118"/>
      <c r="L27" s="118"/>
      <c r="M27" s="118"/>
      <c r="N27" s="118"/>
      <c r="O27" s="118"/>
      <c r="P27" s="118"/>
      <c r="Q27" s="118"/>
      <c r="R27" s="116" t="s">
        <v>48</v>
      </c>
      <c r="S27" s="116"/>
      <c r="T27" s="116"/>
      <c r="U27" s="116"/>
      <c r="V27" s="116"/>
      <c r="W27" s="117"/>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Statement'!N59-$F$29)</f>
        <v>62309.33</v>
      </c>
      <c r="L29" s="12">
        <f>M29</f>
        <v>38.392789909589041</v>
      </c>
      <c r="M29" s="12">
        <f>K29*$F$22</f>
        <v>38.392789909589041</v>
      </c>
      <c r="N29" s="12">
        <f>I29+J29-G29</f>
        <v>0</v>
      </c>
      <c r="O29" s="12">
        <f>P29</f>
        <v>0</v>
      </c>
      <c r="P29" s="12">
        <f>N29*$F$22</f>
        <v>0</v>
      </c>
      <c r="Q29" s="12">
        <f>K29+N29</f>
        <v>62309.33</v>
      </c>
      <c r="R29" s="15"/>
      <c r="S29" s="15"/>
      <c r="T29" s="15">
        <f>$I$20+R29+S29-H29</f>
        <v>3113.45</v>
      </c>
      <c r="U29" s="15">
        <f>V29</f>
        <v>2.5581469999999999</v>
      </c>
      <c r="V29" s="16">
        <f>T29*$F$23</f>
        <v>2.5581469999999999</v>
      </c>
      <c r="W29" s="16">
        <f>IF(T29=0,0,$I$20+R29+S29-H29)</f>
        <v>3113.45</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62347.72</v>
      </c>
      <c r="L30" s="13">
        <f>M30-M29</f>
        <v>38.416444460273979</v>
      </c>
      <c r="M30" s="13">
        <f>IF(K30=0,0,M29+K30*$F$22)</f>
        <v>76.80923436986302</v>
      </c>
      <c r="N30" s="13">
        <f t="shared" ref="N30:N57" si="3">ROUND(N29+I30+J30+O29-G30,2)</f>
        <v>0</v>
      </c>
      <c r="O30" s="13">
        <f>P30-P29</f>
        <v>0</v>
      </c>
      <c r="P30" s="13">
        <f>ROUND(P29+N30*$F$22,2)</f>
        <v>0</v>
      </c>
      <c r="Q30" s="13">
        <f>ROUND(N30+K30-M29-P29,2)</f>
        <v>62309.33</v>
      </c>
      <c r="R30" s="17"/>
      <c r="S30" s="17"/>
      <c r="T30" s="17">
        <f>T29+U29+R30+S30-H30</f>
        <v>3116.008147</v>
      </c>
      <c r="U30" s="17">
        <f t="shared" ref="U30:U57" si="4">V30-V29</f>
        <v>2.5602488857131505</v>
      </c>
      <c r="V30" s="18">
        <f>V29+T30*$F$23</f>
        <v>5.1183958857131504</v>
      </c>
      <c r="W30" s="16">
        <f>IF(T30=0,0,W29+R30+S30-H30)</f>
        <v>3113.45</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62386.14</v>
      </c>
      <c r="L31" s="13">
        <f t="shared" ref="L31:L57" si="7">M31-M30</f>
        <v>38.440117495890405</v>
      </c>
      <c r="M31" s="13">
        <f t="shared" ref="M31:M57" si="8">IF(K31=0,0,M30+K31*$F$22)</f>
        <v>115.24935186575343</v>
      </c>
      <c r="N31" s="13">
        <f t="shared" si="3"/>
        <v>0</v>
      </c>
      <c r="O31" s="13">
        <f t="shared" ref="O31:O57" si="9">P31-P30</f>
        <v>0</v>
      </c>
      <c r="P31" s="13">
        <f t="shared" ref="P31:P56" si="10">ROUND(P30+N31*$F$22,2)</f>
        <v>0</v>
      </c>
      <c r="Q31" s="13">
        <f t="shared" ref="Q31:Q57" si="11">ROUND(N31+K31-M30-P30,2)</f>
        <v>62309.33</v>
      </c>
      <c r="R31" s="17"/>
      <c r="S31" s="17"/>
      <c r="T31" s="17">
        <f>T30+U30+R31+S31-H31</f>
        <v>3118.568395885713</v>
      </c>
      <c r="U31" s="17">
        <f t="shared" si="4"/>
        <v>2.5623524984277406</v>
      </c>
      <c r="V31" s="18">
        <f t="shared" ref="V31:V57" si="12">V30+T31*$F$23</f>
        <v>7.680748384140891</v>
      </c>
      <c r="W31" s="16">
        <f t="shared" ref="W31:W57" si="13">IF(T31=0,0,W30+R31+S31-H31)</f>
        <v>3113.45</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62424.58</v>
      </c>
      <c r="L32" s="13">
        <f t="shared" si="7"/>
        <v>38.463802854794523</v>
      </c>
      <c r="M32" s="13">
        <f t="shared" si="8"/>
        <v>153.71315472054795</v>
      </c>
      <c r="N32" s="13">
        <f t="shared" si="3"/>
        <v>0</v>
      </c>
      <c r="O32" s="13">
        <f t="shared" si="9"/>
        <v>0</v>
      </c>
      <c r="P32" s="13">
        <f t="shared" si="10"/>
        <v>0</v>
      </c>
      <c r="Q32" s="13">
        <f t="shared" si="11"/>
        <v>62309.33</v>
      </c>
      <c r="R32" s="17"/>
      <c r="S32" s="17"/>
      <c r="T32" s="17">
        <f>T31+U31+R32+S32-H32</f>
        <v>3121.1307483841406</v>
      </c>
      <c r="U32" s="17">
        <f t="shared" si="4"/>
        <v>2.5644578395627491</v>
      </c>
      <c r="V32" s="18">
        <f t="shared" si="12"/>
        <v>10.24520622370364</v>
      </c>
      <c r="W32" s="16">
        <f t="shared" si="13"/>
        <v>3113.45</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62463.040000000001</v>
      </c>
      <c r="L33" s="13">
        <f t="shared" si="7"/>
        <v>38.487500536986317</v>
      </c>
      <c r="M33" s="13">
        <f t="shared" si="8"/>
        <v>192.20065525753427</v>
      </c>
      <c r="N33" s="13">
        <f t="shared" si="3"/>
        <v>0</v>
      </c>
      <c r="O33" s="13">
        <f t="shared" si="9"/>
        <v>0</v>
      </c>
      <c r="P33" s="13">
        <f t="shared" si="10"/>
        <v>0</v>
      </c>
      <c r="Q33" s="13">
        <f t="shared" si="11"/>
        <v>62309.33</v>
      </c>
      <c r="R33" s="17"/>
      <c r="S33" s="17"/>
      <c r="T33" s="17">
        <f t="shared" ref="T33:T57" si="14">T32+U32+R33+S33-H33</f>
        <v>3123.6952062237033</v>
      </c>
      <c r="U33" s="17">
        <f t="shared" si="4"/>
        <v>2.5665649105383253</v>
      </c>
      <c r="V33" s="18">
        <f t="shared" si="12"/>
        <v>12.811771134241965</v>
      </c>
      <c r="W33" s="16">
        <f t="shared" si="13"/>
        <v>3113.45</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62501.53</v>
      </c>
      <c r="L34" s="13">
        <f t="shared" si="7"/>
        <v>38.511216704109586</v>
      </c>
      <c r="M34" s="13">
        <f t="shared" si="8"/>
        <v>230.71187196164385</v>
      </c>
      <c r="N34" s="13">
        <f t="shared" si="3"/>
        <v>0</v>
      </c>
      <c r="O34" s="13">
        <f t="shared" si="9"/>
        <v>0</v>
      </c>
      <c r="P34" s="13">
        <f t="shared" si="10"/>
        <v>0</v>
      </c>
      <c r="Q34" s="13">
        <f t="shared" si="11"/>
        <v>62309.33</v>
      </c>
      <c r="R34" s="17"/>
      <c r="S34" s="17"/>
      <c r="T34" s="17">
        <f t="shared" si="14"/>
        <v>3126.2617711342418</v>
      </c>
      <c r="U34" s="17">
        <f t="shared" si="4"/>
        <v>2.5686737127757784</v>
      </c>
      <c r="V34" s="18">
        <f t="shared" si="12"/>
        <v>15.380444847017744</v>
      </c>
      <c r="W34" s="16">
        <f t="shared" si="13"/>
        <v>3113.45</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62540.04</v>
      </c>
      <c r="L35" s="13">
        <f t="shared" si="7"/>
        <v>38.53494519452056</v>
      </c>
      <c r="M35" s="13">
        <f t="shared" si="8"/>
        <v>269.24681715616441</v>
      </c>
      <c r="N35" s="13">
        <f t="shared" si="3"/>
        <v>0</v>
      </c>
      <c r="O35" s="13">
        <f t="shared" si="9"/>
        <v>0</v>
      </c>
      <c r="P35" s="13">
        <f t="shared" si="10"/>
        <v>0</v>
      </c>
      <c r="Q35" s="13">
        <f t="shared" si="11"/>
        <v>62309.33</v>
      </c>
      <c r="R35" s="17"/>
      <c r="S35" s="17"/>
      <c r="T35" s="17">
        <f>T34+U34+R35+S35-H35</f>
        <v>3128.8304448470176</v>
      </c>
      <c r="U35" s="17">
        <f t="shared" si="4"/>
        <v>2.5707842476975902</v>
      </c>
      <c r="V35" s="18">
        <f t="shared" si="12"/>
        <v>17.951229094715334</v>
      </c>
      <c r="W35" s="16">
        <f t="shared" si="13"/>
        <v>3113.45</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62578.57</v>
      </c>
      <c r="L36" s="13">
        <f t="shared" si="7"/>
        <v>38.558686008219183</v>
      </c>
      <c r="M36" s="13">
        <f t="shared" si="8"/>
        <v>307.80550316438359</v>
      </c>
      <c r="N36" s="13">
        <f t="shared" si="3"/>
        <v>0</v>
      </c>
      <c r="O36" s="13">
        <f t="shared" si="9"/>
        <v>0</v>
      </c>
      <c r="P36" s="13">
        <f t="shared" si="10"/>
        <v>0</v>
      </c>
      <c r="Q36" s="13">
        <f t="shared" si="11"/>
        <v>62309.32</v>
      </c>
      <c r="R36" s="17"/>
      <c r="S36" s="17"/>
      <c r="T36" s="17">
        <f t="shared" si="14"/>
        <v>3131.4012290947153</v>
      </c>
      <c r="U36" s="17">
        <f t="shared" si="4"/>
        <v>2.5728965167274112</v>
      </c>
      <c r="V36" s="18">
        <f t="shared" si="12"/>
        <v>20.524125611442745</v>
      </c>
      <c r="W36" s="16">
        <f t="shared" si="13"/>
        <v>3113.45</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62617.13</v>
      </c>
      <c r="L37" s="13">
        <f t="shared" si="7"/>
        <v>38.582445306849309</v>
      </c>
      <c r="M37" s="13">
        <f t="shared" si="8"/>
        <v>346.3879484712329</v>
      </c>
      <c r="N37" s="13">
        <f t="shared" si="3"/>
        <v>0</v>
      </c>
      <c r="O37" s="13">
        <f t="shared" si="9"/>
        <v>0</v>
      </c>
      <c r="P37" s="13">
        <f t="shared" si="10"/>
        <v>0</v>
      </c>
      <c r="Q37" s="13">
        <f t="shared" si="11"/>
        <v>62309.32</v>
      </c>
      <c r="R37" s="17"/>
      <c r="S37" s="17"/>
      <c r="T37" s="17">
        <f t="shared" si="14"/>
        <v>3133.9741256114426</v>
      </c>
      <c r="U37" s="17">
        <f t="shared" si="4"/>
        <v>2.5750105212900607</v>
      </c>
      <c r="V37" s="18">
        <f t="shared" si="12"/>
        <v>23.099136132732806</v>
      </c>
      <c r="W37" s="16">
        <f t="shared" si="13"/>
        <v>3113.45</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62655.71</v>
      </c>
      <c r="L38" s="13">
        <f t="shared" si="7"/>
        <v>38.60621692876714</v>
      </c>
      <c r="M38" s="13">
        <f t="shared" si="8"/>
        <v>384.99416540000004</v>
      </c>
      <c r="N38" s="13">
        <f t="shared" si="3"/>
        <v>0</v>
      </c>
      <c r="O38" s="13">
        <f t="shared" si="9"/>
        <v>0</v>
      </c>
      <c r="P38" s="13">
        <f t="shared" si="10"/>
        <v>0</v>
      </c>
      <c r="Q38" s="13">
        <f t="shared" si="11"/>
        <v>62309.32</v>
      </c>
      <c r="R38" s="17"/>
      <c r="S38" s="17"/>
      <c r="T38" s="17">
        <f t="shared" si="14"/>
        <v>3136.5491361327327</v>
      </c>
      <c r="U38" s="17">
        <f t="shared" si="4"/>
        <v>2.5771262628115252</v>
      </c>
      <c r="V38" s="18">
        <f t="shared" si="12"/>
        <v>25.676262395544331</v>
      </c>
      <c r="W38" s="16">
        <f t="shared" si="13"/>
        <v>3113.45</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62694.32</v>
      </c>
      <c r="L39" s="13">
        <f t="shared" si="7"/>
        <v>38.630007035616416</v>
      </c>
      <c r="M39" s="13">
        <f t="shared" si="8"/>
        <v>423.62417243561646</v>
      </c>
      <c r="N39" s="13">
        <f t="shared" si="3"/>
        <v>0</v>
      </c>
      <c r="O39" s="13">
        <f>P39-P38</f>
        <v>0</v>
      </c>
      <c r="P39" s="13">
        <f t="shared" si="10"/>
        <v>0</v>
      </c>
      <c r="Q39" s="13">
        <f t="shared" si="11"/>
        <v>62309.33</v>
      </c>
      <c r="R39" s="17"/>
      <c r="S39" s="17"/>
      <c r="T39" s="17">
        <f t="shared" si="14"/>
        <v>3139.126262395544</v>
      </c>
      <c r="U39" s="17">
        <f t="shared" si="4"/>
        <v>2.5792437427189689</v>
      </c>
      <c r="V39" s="18">
        <f t="shared" si="12"/>
        <v>28.2555061382633</v>
      </c>
      <c r="W39" s="16">
        <f t="shared" si="13"/>
        <v>3113.45</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62732.95</v>
      </c>
      <c r="L40" s="13">
        <f t="shared" si="7"/>
        <v>38.653809465753397</v>
      </c>
      <c r="M40" s="13">
        <f t="shared" si="8"/>
        <v>462.27798190136986</v>
      </c>
      <c r="N40" s="13">
        <f t="shared" si="3"/>
        <v>0</v>
      </c>
      <c r="O40" s="13">
        <f t="shared" si="9"/>
        <v>0</v>
      </c>
      <c r="P40" s="13">
        <f t="shared" si="10"/>
        <v>0</v>
      </c>
      <c r="Q40" s="13">
        <f t="shared" si="11"/>
        <v>62309.33</v>
      </c>
      <c r="R40" s="17"/>
      <c r="S40" s="17"/>
      <c r="T40" s="17">
        <f t="shared" si="14"/>
        <v>3141.705506138263</v>
      </c>
      <c r="U40" s="17">
        <f t="shared" si="4"/>
        <v>2.5813629624407248</v>
      </c>
      <c r="V40" s="18">
        <f t="shared" si="12"/>
        <v>30.836869100704025</v>
      </c>
      <c r="W40" s="16">
        <f t="shared" si="13"/>
        <v>3113.45</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62771.6</v>
      </c>
      <c r="L41" s="13">
        <f t="shared" si="7"/>
        <v>38.677624219178085</v>
      </c>
      <c r="M41" s="13">
        <f t="shared" si="8"/>
        <v>500.95560612054794</v>
      </c>
      <c r="N41" s="13">
        <f t="shared" si="3"/>
        <v>0</v>
      </c>
      <c r="O41" s="13">
        <f t="shared" si="9"/>
        <v>0</v>
      </c>
      <c r="P41" s="13">
        <f t="shared" si="10"/>
        <v>0</v>
      </c>
      <c r="Q41" s="13">
        <f t="shared" si="11"/>
        <v>62309.32</v>
      </c>
      <c r="R41" s="17"/>
      <c r="S41" s="17"/>
      <c r="T41" s="17">
        <f t="shared" si="14"/>
        <v>3144.2868691007038</v>
      </c>
      <c r="U41" s="17">
        <f t="shared" si="4"/>
        <v>2.5834839234063018</v>
      </c>
      <c r="V41" s="18">
        <f t="shared" si="12"/>
        <v>33.420353024110327</v>
      </c>
      <c r="W41" s="16">
        <f t="shared" si="13"/>
        <v>3113.45</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62810.28</v>
      </c>
      <c r="L42" s="13">
        <f t="shared" si="7"/>
        <v>38.701457457534275</v>
      </c>
      <c r="M42" s="13">
        <f t="shared" si="8"/>
        <v>539.65706357808222</v>
      </c>
      <c r="N42" s="13">
        <f t="shared" si="3"/>
        <v>0</v>
      </c>
      <c r="O42" s="13">
        <f t="shared" si="9"/>
        <v>0</v>
      </c>
      <c r="P42" s="13">
        <f t="shared" si="10"/>
        <v>0</v>
      </c>
      <c r="Q42" s="13">
        <f t="shared" si="11"/>
        <v>62309.32</v>
      </c>
      <c r="R42" s="17"/>
      <c r="S42" s="17"/>
      <c r="T42" s="17">
        <f>T41+U41+R42+S42-H42</f>
        <v>3146.87035302411</v>
      </c>
      <c r="U42" s="17">
        <f>V42-V41</f>
        <v>2.5856066270463884</v>
      </c>
      <c r="V42" s="18">
        <f t="shared" si="12"/>
        <v>36.005959651156715</v>
      </c>
      <c r="W42" s="16">
        <f t="shared" si="13"/>
        <v>3113.45</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62848.98</v>
      </c>
      <c r="L43" s="13">
        <f t="shared" si="7"/>
        <v>38.725303019178114</v>
      </c>
      <c r="M43" s="13">
        <f t="shared" si="8"/>
        <v>578.38236659726033</v>
      </c>
      <c r="N43" s="13">
        <f t="shared" si="3"/>
        <v>0</v>
      </c>
      <c r="O43" s="13">
        <f t="shared" si="9"/>
        <v>0</v>
      </c>
      <c r="P43" s="13">
        <f t="shared" si="10"/>
        <v>0</v>
      </c>
      <c r="Q43" s="13">
        <f t="shared" si="11"/>
        <v>62309.32</v>
      </c>
      <c r="R43" s="17"/>
      <c r="S43" s="17"/>
      <c r="T43" s="17">
        <f>T42+U42+R43+S43-H43</f>
        <v>3149.4559596511563</v>
      </c>
      <c r="U43" s="17">
        <f t="shared" si="4"/>
        <v>2.5877310747928277</v>
      </c>
      <c r="V43" s="18">
        <f t="shared" si="12"/>
        <v>38.593690725949543</v>
      </c>
      <c r="W43" s="16">
        <f t="shared" si="13"/>
        <v>3113.45</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62887.71</v>
      </c>
      <c r="L44" s="13">
        <f t="shared" si="7"/>
        <v>38.749167065753454</v>
      </c>
      <c r="M44" s="13">
        <f t="shared" si="8"/>
        <v>617.13153366301378</v>
      </c>
      <c r="N44" s="13">
        <f t="shared" si="3"/>
        <v>0</v>
      </c>
      <c r="O44" s="13">
        <f t="shared" si="9"/>
        <v>0</v>
      </c>
      <c r="P44" s="13">
        <f t="shared" si="10"/>
        <v>0</v>
      </c>
      <c r="Q44" s="13">
        <f t="shared" si="11"/>
        <v>62309.33</v>
      </c>
      <c r="R44" s="17"/>
      <c r="S44" s="17"/>
      <c r="T44" s="17">
        <f t="shared" si="14"/>
        <v>3152.0436907259491</v>
      </c>
      <c r="U44" s="17">
        <f t="shared" si="4"/>
        <v>2.58985726807866</v>
      </c>
      <c r="V44" s="18">
        <f t="shared" si="12"/>
        <v>41.183547994028203</v>
      </c>
      <c r="W44" s="16">
        <f t="shared" si="13"/>
        <v>3113.45</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62926.46</v>
      </c>
      <c r="L45" s="13">
        <f t="shared" si="7"/>
        <v>38.773043435616387</v>
      </c>
      <c r="M45" s="13">
        <f t="shared" si="8"/>
        <v>655.90457709863017</v>
      </c>
      <c r="N45" s="13">
        <f t="shared" si="3"/>
        <v>0</v>
      </c>
      <c r="O45" s="13">
        <f t="shared" si="9"/>
        <v>0</v>
      </c>
      <c r="P45" s="13">
        <f t="shared" si="10"/>
        <v>0</v>
      </c>
      <c r="Q45" s="13">
        <f t="shared" si="11"/>
        <v>62309.33</v>
      </c>
      <c r="R45" s="17"/>
      <c r="S45" s="17"/>
      <c r="T45" s="17">
        <f t="shared" si="14"/>
        <v>3154.6335479940276</v>
      </c>
      <c r="U45" s="17">
        <f t="shared" si="4"/>
        <v>2.5919852083381087</v>
      </c>
      <c r="V45" s="18">
        <f t="shared" si="12"/>
        <v>43.775533202366312</v>
      </c>
      <c r="W45" s="16">
        <f>IF(T45=0,0,W44+R45+S45-H45)</f>
        <v>3113.45</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62965.23</v>
      </c>
      <c r="L46" s="13">
        <f t="shared" si="7"/>
        <v>38.796932128767139</v>
      </c>
      <c r="M46" s="13">
        <f t="shared" si="8"/>
        <v>694.70150922739731</v>
      </c>
      <c r="N46" s="13">
        <f t="shared" si="3"/>
        <v>0</v>
      </c>
      <c r="O46" s="13">
        <f t="shared" si="9"/>
        <v>0</v>
      </c>
      <c r="P46" s="13">
        <f t="shared" si="10"/>
        <v>0</v>
      </c>
      <c r="Q46" s="13">
        <f t="shared" si="11"/>
        <v>62309.33</v>
      </c>
      <c r="R46" s="17"/>
      <c r="S46" s="17"/>
      <c r="T46" s="17">
        <f t="shared" si="14"/>
        <v>3157.2255332023656</v>
      </c>
      <c r="U46" s="17">
        <f t="shared" si="4"/>
        <v>2.5941148970065484</v>
      </c>
      <c r="V46" s="18">
        <f t="shared" si="12"/>
        <v>46.36964809937286</v>
      </c>
      <c r="W46" s="16">
        <f>IF(T46=0,0,W45+R46+S46-H46)</f>
        <v>3113.45</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63004.03</v>
      </c>
      <c r="L47" s="13">
        <f t="shared" si="7"/>
        <v>38.82083930684928</v>
      </c>
      <c r="M47" s="13">
        <f t="shared" si="8"/>
        <v>733.52234853424659</v>
      </c>
      <c r="N47" s="13">
        <f t="shared" si="3"/>
        <v>0</v>
      </c>
      <c r="O47" s="13">
        <f t="shared" si="9"/>
        <v>0</v>
      </c>
      <c r="P47" s="13">
        <f t="shared" si="10"/>
        <v>0</v>
      </c>
      <c r="Q47" s="13">
        <f t="shared" si="11"/>
        <v>62309.33</v>
      </c>
      <c r="R47" s="17"/>
      <c r="S47" s="17"/>
      <c r="T47" s="17">
        <f t="shared" si="14"/>
        <v>3159.819648099372</v>
      </c>
      <c r="U47" s="17">
        <f t="shared" si="4"/>
        <v>2.5962463355205543</v>
      </c>
      <c r="V47" s="18">
        <f t="shared" si="12"/>
        <v>48.965894434893414</v>
      </c>
      <c r="W47" s="16">
        <f t="shared" si="13"/>
        <v>3113.45</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63042.85</v>
      </c>
      <c r="L48" s="13">
        <f t="shared" si="7"/>
        <v>38.844758808219126</v>
      </c>
      <c r="M48" s="13">
        <f t="shared" si="8"/>
        <v>772.36710734246572</v>
      </c>
      <c r="N48" s="13">
        <f t="shared" si="3"/>
        <v>0</v>
      </c>
      <c r="O48" s="13">
        <f t="shared" si="9"/>
        <v>0</v>
      </c>
      <c r="P48" s="13">
        <f t="shared" si="10"/>
        <v>0</v>
      </c>
      <c r="Q48" s="13">
        <f t="shared" si="11"/>
        <v>62309.33</v>
      </c>
      <c r="R48" s="17"/>
      <c r="S48" s="17"/>
      <c r="T48" s="17">
        <f t="shared" si="14"/>
        <v>3162.4158944348924</v>
      </c>
      <c r="U48" s="17">
        <f t="shared" si="4"/>
        <v>2.5983795253178741</v>
      </c>
      <c r="V48" s="18">
        <f t="shared" si="12"/>
        <v>51.564273960211288</v>
      </c>
      <c r="W48" s="16">
        <f t="shared" si="13"/>
        <v>3113.45</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63081.69</v>
      </c>
      <c r="L49" s="13">
        <f t="shared" si="7"/>
        <v>38.868690632876678</v>
      </c>
      <c r="M49" s="13">
        <f t="shared" si="8"/>
        <v>811.23579797534239</v>
      </c>
      <c r="N49" s="13">
        <f t="shared" si="3"/>
        <v>0</v>
      </c>
      <c r="O49" s="13">
        <f t="shared" si="9"/>
        <v>0</v>
      </c>
      <c r="P49" s="13">
        <f t="shared" si="10"/>
        <v>0</v>
      </c>
      <c r="Q49" s="13">
        <f t="shared" si="11"/>
        <v>62309.32</v>
      </c>
      <c r="R49" s="17"/>
      <c r="S49" s="17"/>
      <c r="T49" s="17">
        <f t="shared" si="14"/>
        <v>3165.0142739602102</v>
      </c>
      <c r="U49" s="17">
        <f t="shared" si="4"/>
        <v>2.6005144678374421</v>
      </c>
      <c r="V49" s="18">
        <f t="shared" si="12"/>
        <v>54.16478842804873</v>
      </c>
      <c r="W49" s="16">
        <f t="shared" si="13"/>
        <v>3113.45</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63120.56</v>
      </c>
      <c r="L50" s="13">
        <f t="shared" si="7"/>
        <v>38.892640942465732</v>
      </c>
      <c r="M50" s="13">
        <f t="shared" si="8"/>
        <v>850.12843891780813</v>
      </c>
      <c r="N50" s="13">
        <f t="shared" si="3"/>
        <v>0</v>
      </c>
      <c r="O50" s="13">
        <f t="shared" si="9"/>
        <v>0</v>
      </c>
      <c r="P50" s="13">
        <f t="shared" si="10"/>
        <v>0</v>
      </c>
      <c r="Q50" s="13">
        <f t="shared" si="11"/>
        <v>62309.32</v>
      </c>
      <c r="R50" s="17"/>
      <c r="S50" s="17"/>
      <c r="T50" s="17">
        <f t="shared" si="14"/>
        <v>3167.6147884280476</v>
      </c>
      <c r="U50" s="17">
        <f t="shared" si="4"/>
        <v>2.6026511645193722</v>
      </c>
      <c r="V50" s="18">
        <f t="shared" si="12"/>
        <v>56.767439592568103</v>
      </c>
      <c r="W50" s="16">
        <f t="shared" si="13"/>
        <v>3113.45</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63159.45</v>
      </c>
      <c r="L51" s="13">
        <f t="shared" si="7"/>
        <v>38.916603575342492</v>
      </c>
      <c r="M51" s="13">
        <f t="shared" si="8"/>
        <v>889.04504249315062</v>
      </c>
      <c r="N51" s="13">
        <f t="shared" si="3"/>
        <v>0</v>
      </c>
      <c r="O51" s="13">
        <f t="shared" si="9"/>
        <v>0</v>
      </c>
      <c r="P51" s="13">
        <f t="shared" si="10"/>
        <v>0</v>
      </c>
      <c r="Q51" s="13">
        <f t="shared" si="11"/>
        <v>62309.32</v>
      </c>
      <c r="R51" s="17"/>
      <c r="S51" s="17"/>
      <c r="T51" s="17">
        <f t="shared" si="14"/>
        <v>3170.2174395925672</v>
      </c>
      <c r="U51" s="17">
        <f t="shared" si="4"/>
        <v>2.6047896168049647</v>
      </c>
      <c r="V51" s="18">
        <f t="shared" si="12"/>
        <v>59.372229209373067</v>
      </c>
      <c r="W51" s="16">
        <f t="shared" si="13"/>
        <v>3113.45</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63198.37</v>
      </c>
      <c r="L52" s="13">
        <f t="shared" si="7"/>
        <v>38.94058469315064</v>
      </c>
      <c r="M52" s="13">
        <f t="shared" si="8"/>
        <v>927.98562718630126</v>
      </c>
      <c r="N52" s="13">
        <f>ROUND(N51+I52+J52+O51-G52,2)</f>
        <v>0</v>
      </c>
      <c r="O52" s="13">
        <f t="shared" si="9"/>
        <v>0</v>
      </c>
      <c r="P52" s="13">
        <f t="shared" si="10"/>
        <v>0</v>
      </c>
      <c r="Q52" s="13">
        <f t="shared" si="11"/>
        <v>62309.32</v>
      </c>
      <c r="R52" s="17"/>
      <c r="S52" s="17"/>
      <c r="T52" s="17">
        <f t="shared" si="14"/>
        <v>3172.8222292093724</v>
      </c>
      <c r="U52" s="17">
        <f t="shared" si="4"/>
        <v>2.6069298261366853</v>
      </c>
      <c r="V52" s="18">
        <f t="shared" si="12"/>
        <v>61.979159035509753</v>
      </c>
      <c r="W52" s="16">
        <f t="shared" si="13"/>
        <v>3113.45</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63237.31</v>
      </c>
      <c r="L53" s="13">
        <f t="shared" si="7"/>
        <v>38.964578134246608</v>
      </c>
      <c r="M53" s="13">
        <f t="shared" si="8"/>
        <v>966.95020532054787</v>
      </c>
      <c r="N53" s="13">
        <f t="shared" si="3"/>
        <v>0</v>
      </c>
      <c r="O53" s="13">
        <f t="shared" si="9"/>
        <v>0</v>
      </c>
      <c r="P53" s="13">
        <f t="shared" si="10"/>
        <v>0</v>
      </c>
      <c r="Q53" s="13">
        <f t="shared" si="11"/>
        <v>62309.32</v>
      </c>
      <c r="R53" s="17"/>
      <c r="S53" s="17"/>
      <c r="T53" s="17">
        <f t="shared" si="14"/>
        <v>3175.4291590355092</v>
      </c>
      <c r="U53" s="17">
        <f t="shared" si="4"/>
        <v>2.609071793958222</v>
      </c>
      <c r="V53" s="18">
        <f t="shared" si="12"/>
        <v>64.588230829467975</v>
      </c>
      <c r="W53" s="16">
        <f t="shared" si="13"/>
        <v>3113.45</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63276.27</v>
      </c>
      <c r="L54" s="13">
        <f t="shared" si="7"/>
        <v>38.988583898630168</v>
      </c>
      <c r="M54" s="13">
        <f t="shared" si="8"/>
        <v>1005.938789219178</v>
      </c>
      <c r="N54" s="13">
        <f t="shared" si="3"/>
        <v>0</v>
      </c>
      <c r="O54" s="13">
        <f t="shared" si="9"/>
        <v>0</v>
      </c>
      <c r="P54" s="13">
        <f>ROUND(P53+N54*$F$22,2)</f>
        <v>0</v>
      </c>
      <c r="Q54" s="13">
        <f t="shared" si="11"/>
        <v>62309.32</v>
      </c>
      <c r="R54" s="17"/>
      <c r="S54" s="17"/>
      <c r="T54" s="17">
        <f t="shared" si="14"/>
        <v>3178.0382308294675</v>
      </c>
      <c r="U54" s="17">
        <f t="shared" si="4"/>
        <v>2.6112155217143993</v>
      </c>
      <c r="V54" s="18">
        <f t="shared" si="12"/>
        <v>67.199446351182374</v>
      </c>
      <c r="W54" s="16">
        <f t="shared" si="13"/>
        <v>3113.45</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63315.26</v>
      </c>
      <c r="L55" s="13">
        <f t="shared" si="7"/>
        <v>39.01260814794523</v>
      </c>
      <c r="M55" s="13">
        <f t="shared" si="8"/>
        <v>1044.9513973671233</v>
      </c>
      <c r="N55" s="13">
        <f t="shared" si="3"/>
        <v>0</v>
      </c>
      <c r="O55" s="13">
        <f t="shared" si="9"/>
        <v>0</v>
      </c>
      <c r="P55" s="13">
        <f t="shared" si="10"/>
        <v>0</v>
      </c>
      <c r="Q55" s="13">
        <f t="shared" si="11"/>
        <v>62309.32</v>
      </c>
      <c r="R55" s="17"/>
      <c r="S55" s="17"/>
      <c r="T55" s="17">
        <f t="shared" si="14"/>
        <v>3180.6494463511817</v>
      </c>
      <c r="U55" s="17">
        <f t="shared" si="4"/>
        <v>2.6133610108512926</v>
      </c>
      <c r="V55" s="18">
        <f t="shared" si="12"/>
        <v>69.812807362033666</v>
      </c>
      <c r="W55" s="16">
        <f t="shared" si="13"/>
        <v>3113.45</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63354.27</v>
      </c>
      <c r="L56" s="13">
        <f t="shared" si="7"/>
        <v>39.036644720547883</v>
      </c>
      <c r="M56" s="13">
        <f t="shared" si="8"/>
        <v>1083.9880420876711</v>
      </c>
      <c r="N56" s="13">
        <f t="shared" si="3"/>
        <v>0</v>
      </c>
      <c r="O56" s="13">
        <f t="shared" si="9"/>
        <v>0</v>
      </c>
      <c r="P56" s="13">
        <f t="shared" si="10"/>
        <v>0</v>
      </c>
      <c r="Q56" s="13">
        <f t="shared" si="11"/>
        <v>62309.32</v>
      </c>
      <c r="R56" s="17"/>
      <c r="S56" s="17"/>
      <c r="T56" s="17">
        <f t="shared" si="14"/>
        <v>3183.2628073620331</v>
      </c>
      <c r="U56" s="17">
        <f t="shared" si="4"/>
        <v>2.6155082628160926</v>
      </c>
      <c r="V56" s="18">
        <f t="shared" si="12"/>
        <v>72.428315624849759</v>
      </c>
      <c r="W56" s="16">
        <f t="shared" si="13"/>
        <v>3113.45</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63393.31</v>
      </c>
      <c r="L57" s="13">
        <f t="shared" si="7"/>
        <v>39.060699778082153</v>
      </c>
      <c r="M57" s="13">
        <f t="shared" si="8"/>
        <v>1123.0487418657533</v>
      </c>
      <c r="N57" s="13">
        <f t="shared" si="3"/>
        <v>0</v>
      </c>
      <c r="O57" s="13">
        <f t="shared" si="9"/>
        <v>0</v>
      </c>
      <c r="P57" s="13">
        <f>ROUND(P56+N57*$F$22,2)</f>
        <v>0</v>
      </c>
      <c r="Q57" s="13">
        <f t="shared" si="11"/>
        <v>62309.32</v>
      </c>
      <c r="R57" s="17"/>
      <c r="S57" s="17"/>
      <c r="T57" s="17">
        <f t="shared" si="14"/>
        <v>3185.8783156248492</v>
      </c>
      <c r="U57" s="17">
        <f t="shared" si="4"/>
        <v>2.6176572790572408</v>
      </c>
      <c r="V57" s="18">
        <f t="shared" si="12"/>
        <v>75.045972903907</v>
      </c>
      <c r="W57" s="16">
        <f t="shared" si="13"/>
        <v>3113.45</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63432.37</v>
      </c>
      <c r="L58" s="13">
        <f t="shared" ref="L58" si="18">M58-M57</f>
        <v>39.084767158904015</v>
      </c>
      <c r="M58" s="13">
        <f t="shared" ref="M58" si="19">IF(K58=0,0,M57+K58*$F$22)</f>
        <v>1162.1335090246573</v>
      </c>
      <c r="N58" s="13">
        <f t="shared" ref="N58" si="20">ROUND(N57+I58+J58+O57-G58,2)</f>
        <v>0</v>
      </c>
      <c r="O58" s="13">
        <f t="shared" ref="O58" si="21">P58-P57</f>
        <v>0</v>
      </c>
      <c r="P58" s="13">
        <f>ROUND(P57+N58*$F$22,2)</f>
        <v>0</v>
      </c>
      <c r="Q58" s="13">
        <f t="shared" ref="Q58" si="22">ROUND(N58+K58-M57-P57,2)</f>
        <v>62309.32</v>
      </c>
      <c r="R58" s="17"/>
      <c r="S58" s="17"/>
      <c r="T58" s="17">
        <f t="shared" ref="T58" si="23">T57+U57+R58+S58-H58</f>
        <v>3188.4959729039065</v>
      </c>
      <c r="U58" s="17">
        <f t="shared" ref="U58" si="24">V58-V57</f>
        <v>2.6198080610243295</v>
      </c>
      <c r="V58" s="18">
        <f t="shared" ref="V58" si="25">V57+T58*$F$23</f>
        <v>77.665780964931329</v>
      </c>
      <c r="W58" s="16">
        <f t="shared" ref="W58" si="26">IF(T58=0,0,W57+R58+S58-H58)</f>
        <v>3113.45</v>
      </c>
    </row>
    <row r="59" spans="2:23" ht="15" thickBot="1" x14ac:dyDescent="0.4">
      <c r="B59" s="120" t="s">
        <v>49</v>
      </c>
      <c r="C59" s="121"/>
      <c r="D59" s="67">
        <f t="shared" ref="D59:L59" si="27">SUM(D29:D58)</f>
        <v>0</v>
      </c>
      <c r="E59" s="21">
        <f t="shared" si="27"/>
        <v>0</v>
      </c>
      <c r="F59" s="21">
        <f t="shared" si="27"/>
        <v>0</v>
      </c>
      <c r="G59" s="21">
        <f t="shared" si="27"/>
        <v>0</v>
      </c>
      <c r="H59" s="22">
        <f t="shared" si="27"/>
        <v>0</v>
      </c>
      <c r="I59" s="20">
        <f t="shared" si="27"/>
        <v>0</v>
      </c>
      <c r="J59" s="21">
        <f t="shared" si="27"/>
        <v>0</v>
      </c>
      <c r="K59" s="21">
        <f t="shared" si="27"/>
        <v>1886077.0600000003</v>
      </c>
      <c r="L59" s="74">
        <f t="shared" si="27"/>
        <v>1162.1335090246573</v>
      </c>
      <c r="M59" s="20"/>
      <c r="N59" s="21">
        <f>SUM(N29:N58)</f>
        <v>0</v>
      </c>
      <c r="O59" s="21">
        <f>SUM(O29:O58)</f>
        <v>0</v>
      </c>
      <c r="P59" s="20"/>
      <c r="Q59" s="20"/>
      <c r="R59" s="22">
        <f>SUM(R29:R58)</f>
        <v>0</v>
      </c>
      <c r="S59" s="22">
        <f>SUM(S29:S58)</f>
        <v>0</v>
      </c>
      <c r="T59" s="22">
        <f>SUM(T29:T58)</f>
        <v>94524.87513237723</v>
      </c>
      <c r="U59" s="22">
        <f>SUM(U29:U58)</f>
        <v>77.665780964931329</v>
      </c>
      <c r="V59" s="23"/>
      <c r="W59" s="23"/>
    </row>
    <row r="60" spans="2:23" ht="15" thickBot="1" x14ac:dyDescent="0.4">
      <c r="G60" s="61"/>
      <c r="J60" s="82" t="s">
        <v>71</v>
      </c>
      <c r="K60" s="82">
        <f>K59/$C$18</f>
        <v>62869.235333333345</v>
      </c>
      <c r="M60" s="82" t="s">
        <v>69</v>
      </c>
      <c r="N60" s="82">
        <f>N59/$C$18</f>
        <v>0</v>
      </c>
      <c r="O60" s="61"/>
      <c r="S60" s="82" t="s">
        <v>65</v>
      </c>
      <c r="T60" s="82">
        <f>T59/$C$18</f>
        <v>3150.829171079241</v>
      </c>
    </row>
    <row r="61" spans="2:23" ht="15" thickBot="1" x14ac:dyDescent="0.4">
      <c r="H61" s="2"/>
      <c r="J61" s="82" t="s">
        <v>72</v>
      </c>
      <c r="K61" s="82">
        <f>M58</f>
        <v>1162.1335090246573</v>
      </c>
      <c r="M61" s="82" t="s">
        <v>70</v>
      </c>
      <c r="N61" s="82">
        <f>IF(ROUND(N58,2)=0,0,N60*$F$22*$C$18)</f>
        <v>0</v>
      </c>
      <c r="S61" s="82" t="s">
        <v>64</v>
      </c>
      <c r="T61" s="82">
        <f>T60*$F$23*$C$18</f>
        <v>77.665780964931315</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2025-01-09T10:46:09Z</dcterms:modified>
</cp:coreProperties>
</file>