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9A18A487-7B11-462F-B7B6-A46E95FBB268}" xr6:coauthVersionLast="47" xr6:coauthVersionMax="47" xr10:uidLastSave="{00000000-0000-0000-0000-000000000000}"/>
  <bookViews>
    <workbookView xWindow="-110" yWindow="-110" windowWidth="19420" windowHeight="1030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0" i="13" l="1"/>
  <c r="M79" i="13"/>
  <c r="M80" i="13" s="1"/>
  <c r="M29" i="13"/>
  <c r="L29" i="13" s="1"/>
  <c r="F4" i="15"/>
  <c r="C10" i="13"/>
  <c r="S60" i="16"/>
  <c r="R60" i="16"/>
  <c r="F7" i="16" s="1"/>
  <c r="J60" i="16"/>
  <c r="I7" i="16" s="1"/>
  <c r="F8" i="16" s="1"/>
  <c r="I60" i="16"/>
  <c r="F6" i="16" s="1"/>
  <c r="D60" i="16"/>
  <c r="E29" i="16"/>
  <c r="F23" i="16"/>
  <c r="F22" i="16"/>
  <c r="F18" i="16"/>
  <c r="C16" i="16"/>
  <c r="C11" i="16"/>
  <c r="C10" i="16"/>
  <c r="I8" i="16"/>
  <c r="C8" i="16"/>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s="1"/>
  <c r="C34" i="15"/>
  <c r="B33" i="15"/>
  <c r="C33" i="14"/>
  <c r="B32" i="14"/>
  <c r="E37" i="14"/>
  <c r="E33" i="1"/>
  <c r="E34" i="1" s="1"/>
  <c r="F32" i="1"/>
  <c r="E33" i="13"/>
  <c r="E37" i="15" l="1"/>
  <c r="E38" i="15" s="1"/>
  <c r="E36" i="15"/>
  <c r="E35" i="16"/>
  <c r="B33" i="16"/>
  <c r="C34" i="16"/>
  <c r="C35" i="15"/>
  <c r="B34"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N29" i="16" l="1"/>
  <c r="T29" i="16"/>
  <c r="F30" i="16"/>
  <c r="V29" i="16" l="1"/>
  <c r="W29" i="16"/>
  <c r="P29" i="16"/>
  <c r="O29" i="16" l="1"/>
  <c r="U29" i="16"/>
  <c r="H30" i="16" l="1"/>
  <c r="T30" i="16" s="1"/>
  <c r="W30" i="16" l="1"/>
  <c r="V30" i="16"/>
  <c r="G30" i="16"/>
  <c r="F31" i="16"/>
  <c r="U30" i="16" l="1"/>
  <c r="N30" i="16"/>
  <c r="P30" i="16" l="1"/>
  <c r="H31" i="16"/>
  <c r="G31" i="16" l="1"/>
  <c r="F32" i="16"/>
  <c r="T31" i="16"/>
  <c r="O30" i="16"/>
  <c r="W31" i="16" l="1"/>
  <c r="V31" i="16"/>
  <c r="N31" i="16"/>
  <c r="P31" i="16" l="1"/>
  <c r="U31" i="16"/>
  <c r="H32" i="16" l="1"/>
  <c r="T32" i="16" s="1"/>
  <c r="O31" i="16"/>
  <c r="W32" i="16" l="1"/>
  <c r="V32" i="16"/>
  <c r="F33" i="16"/>
  <c r="G32" i="16"/>
  <c r="N32" i="16" l="1"/>
  <c r="U32" i="16"/>
  <c r="H33" i="16" l="1"/>
  <c r="T33" i="16" s="1"/>
  <c r="P32" i="16"/>
  <c r="O32" i="16" l="1"/>
  <c r="W33" i="16"/>
  <c r="V33" i="16"/>
  <c r="G33" i="16"/>
  <c r="F34" i="16"/>
  <c r="N33" i="16" l="1"/>
  <c r="U33" i="16"/>
  <c r="H34" i="16" s="1"/>
  <c r="T34" i="16" s="1"/>
  <c r="V34" i="16" s="1"/>
  <c r="F35" i="16" l="1"/>
  <c r="G34" i="16"/>
  <c r="U34" i="16"/>
  <c r="W34" i="16"/>
  <c r="P33" i="16"/>
  <c r="H35" i="16" l="1"/>
  <c r="G35" i="16" s="1"/>
  <c r="O33" i="16"/>
  <c r="N34" i="16" s="1"/>
  <c r="P34" i="16" s="1"/>
  <c r="T35" i="16" l="1"/>
  <c r="W35" i="16" s="1"/>
  <c r="F36" i="16"/>
  <c r="O34" i="16"/>
  <c r="N35" i="16" s="1"/>
  <c r="V35" i="16" l="1"/>
  <c r="U35" i="16" s="1"/>
  <c r="P35" i="16"/>
  <c r="H36" i="16" l="1"/>
  <c r="T36" i="16" s="1"/>
  <c r="O35" i="16"/>
  <c r="W36" i="16" l="1"/>
  <c r="V36" i="16"/>
  <c r="F37" i="16"/>
  <c r="G36" i="16"/>
  <c r="N36" i="16" s="1"/>
  <c r="P36" i="16" l="1"/>
  <c r="U36" i="16"/>
  <c r="H37" i="16" l="1"/>
  <c r="O36" i="16"/>
  <c r="G37" i="16" l="1"/>
  <c r="N37" i="16" s="1"/>
  <c r="F38" i="16"/>
  <c r="T37" i="16"/>
  <c r="W37" i="16" l="1"/>
  <c r="V37" i="16"/>
  <c r="P37" i="16"/>
  <c r="O37" i="16" l="1"/>
  <c r="U37" i="16"/>
  <c r="H38" i="16" s="1"/>
  <c r="T38" i="16" l="1"/>
  <c r="G38" i="16"/>
  <c r="N38" i="16" s="1"/>
  <c r="F39" i="16"/>
  <c r="P38" i="16" l="1"/>
  <c r="W38" i="16"/>
  <c r="V38" i="16"/>
  <c r="U38" i="16" l="1"/>
  <c r="O38" i="16"/>
  <c r="H39" i="16" l="1"/>
  <c r="T39" i="16" s="1"/>
  <c r="W39" i="16" l="1"/>
  <c r="V39" i="16"/>
  <c r="G39" i="16"/>
  <c r="N39" i="16" s="1"/>
  <c r="F40" i="16"/>
  <c r="P39" i="16" l="1"/>
  <c r="U39" i="16"/>
  <c r="H40" i="16" s="1"/>
  <c r="T40" i="16" s="1"/>
  <c r="W40" i="16" l="1"/>
  <c r="F41" i="16"/>
  <c r="V40" i="16"/>
  <c r="O39" i="16"/>
  <c r="G40" i="16"/>
  <c r="N40" i="16" l="1"/>
  <c r="P40" i="16" s="1"/>
  <c r="U40" i="16"/>
  <c r="H41" i="16" l="1"/>
  <c r="T41" i="16" s="1"/>
  <c r="O40" i="16"/>
  <c r="W41" i="16" l="1"/>
  <c r="V41" i="16"/>
  <c r="F42" i="16"/>
  <c r="G41" i="16"/>
  <c r="N41" i="16" s="1"/>
  <c r="P41" i="16" l="1"/>
  <c r="U41" i="16"/>
  <c r="H42" i="16" l="1"/>
  <c r="T42" i="16" s="1"/>
  <c r="O41" i="16"/>
  <c r="W42" i="16" l="1"/>
  <c r="V42" i="16"/>
  <c r="G42" i="16"/>
  <c r="N42" i="16" s="1"/>
  <c r="F43" i="16"/>
  <c r="P42" i="16" l="1"/>
  <c r="U42" i="16"/>
  <c r="H43" i="16" l="1"/>
  <c r="T43" i="16" s="1"/>
  <c r="O42" i="16"/>
  <c r="W43" i="16" l="1"/>
  <c r="V43" i="16"/>
  <c r="G43" i="16"/>
  <c r="N43" i="16" s="1"/>
  <c r="F44" i="16"/>
  <c r="P43" i="16" l="1"/>
  <c r="U43" i="16"/>
  <c r="H44" i="16" l="1"/>
  <c r="T44" i="16" s="1"/>
  <c r="O43" i="16"/>
  <c r="W44" i="16" l="1"/>
  <c r="V44" i="16"/>
  <c r="G44" i="16"/>
  <c r="N44" i="16" s="1"/>
  <c r="F45" i="16"/>
  <c r="P44" i="16" l="1"/>
  <c r="U44" i="16"/>
  <c r="H45" i="16" l="1"/>
  <c r="O44" i="16"/>
  <c r="G45" i="16" l="1"/>
  <c r="N45" i="16" s="1"/>
  <c r="F46" i="16"/>
  <c r="T45" i="16"/>
  <c r="W45" i="16" l="1"/>
  <c r="V45" i="16"/>
  <c r="P45" i="16"/>
  <c r="U45" i="16" l="1"/>
  <c r="O45" i="16"/>
  <c r="H46" i="16" l="1"/>
  <c r="T46" i="16" s="1"/>
  <c r="W46" i="16" l="1"/>
  <c r="V46" i="16"/>
  <c r="G46" i="16"/>
  <c r="N46" i="16" s="1"/>
  <c r="F47" i="16"/>
  <c r="P46" i="16" l="1"/>
  <c r="U46" i="16"/>
  <c r="H47" i="16" l="1"/>
  <c r="T47" i="16" s="1"/>
  <c r="O46" i="16"/>
  <c r="W47" i="16" l="1"/>
  <c r="V47" i="16"/>
  <c r="G47" i="16"/>
  <c r="N47" i="16" s="1"/>
  <c r="F48" i="16"/>
  <c r="P47" i="16" l="1"/>
  <c r="U47" i="16"/>
  <c r="H48" i="16" l="1"/>
  <c r="T48" i="16" s="1"/>
  <c r="O47" i="16"/>
  <c r="W48" i="16" l="1"/>
  <c r="V48" i="16"/>
  <c r="G48" i="16"/>
  <c r="N48" i="16" s="1"/>
  <c r="F49" i="16"/>
  <c r="P48" i="16" l="1"/>
  <c r="U48" i="16"/>
  <c r="H49" i="16" s="1"/>
  <c r="T49" i="16" s="1"/>
  <c r="V49" i="16" s="1"/>
  <c r="U49" i="16" l="1"/>
  <c r="O48" i="16"/>
  <c r="F50" i="16"/>
  <c r="W49" i="16"/>
  <c r="G49" i="16"/>
  <c r="H50" i="16" l="1"/>
  <c r="T50" i="16" s="1"/>
  <c r="W50" i="16" s="1"/>
  <c r="N49" i="16"/>
  <c r="G50" i="16" l="1"/>
  <c r="F51" i="16"/>
  <c r="V50" i="16"/>
  <c r="U50" i="16" s="1"/>
  <c r="P49" i="16"/>
  <c r="H51" i="16" l="1"/>
  <c r="T51" i="16" s="1"/>
  <c r="O49" i="16"/>
  <c r="N50" i="16" s="1"/>
  <c r="P50" i="16" s="1"/>
  <c r="O50" i="16" l="1"/>
  <c r="W51" i="16"/>
  <c r="V51" i="16"/>
  <c r="G51" i="16"/>
  <c r="F52" i="16"/>
  <c r="N51" i="16" l="1"/>
  <c r="P51" i="16" s="1"/>
  <c r="U51" i="16"/>
  <c r="H52" i="16" l="1"/>
  <c r="T52" i="16" s="1"/>
  <c r="O51" i="16"/>
  <c r="W52" i="16" l="1"/>
  <c r="V52" i="16"/>
  <c r="F53" i="16"/>
  <c r="G52" i="16"/>
  <c r="N52" i="16" s="1"/>
  <c r="P52" i="16" l="1"/>
  <c r="K29" i="16"/>
  <c r="U52" i="16"/>
  <c r="Q29" i="16" l="1"/>
  <c r="M29" i="16"/>
  <c r="L29" i="16" s="1"/>
  <c r="K30" i="16" s="1"/>
  <c r="M30" i="16" s="1"/>
  <c r="L30" i="16" s="1"/>
  <c r="O52" i="16"/>
  <c r="H53" i="16"/>
  <c r="T53" i="16" s="1"/>
  <c r="Q30" i="16" l="1"/>
  <c r="K31" i="16"/>
  <c r="Q31" i="16" s="1"/>
  <c r="F54" i="16"/>
  <c r="G53" i="16"/>
  <c r="N53" i="16" s="1"/>
  <c r="W53" i="16"/>
  <c r="V53" i="16"/>
  <c r="M31" i="16" l="1"/>
  <c r="L31" i="16" s="1"/>
  <c r="K32" i="16" s="1"/>
  <c r="U53" i="16"/>
  <c r="P53" i="16"/>
  <c r="M32" i="16" l="1"/>
  <c r="Q32" i="16"/>
  <c r="O53" i="16"/>
  <c r="H54" i="16"/>
  <c r="T54" i="16" s="1"/>
  <c r="L32" i="16" l="1"/>
  <c r="K33" i="16" s="1"/>
  <c r="W54" i="16"/>
  <c r="V54" i="16"/>
  <c r="G54" i="16"/>
  <c r="N54" i="16" s="1"/>
  <c r="F55" i="16"/>
  <c r="M33" i="16" l="1"/>
  <c r="L33" i="16" s="1"/>
  <c r="K34" i="16" s="1"/>
  <c r="Q33" i="16"/>
  <c r="P54" i="16"/>
  <c r="U54" i="16"/>
  <c r="H55" i="16" s="1"/>
  <c r="T55" i="16" s="1"/>
  <c r="V55" i="16" s="1"/>
  <c r="M34" i="16" l="1"/>
  <c r="L34" i="16" s="1"/>
  <c r="K35" i="16" s="1"/>
  <c r="Q34" i="16"/>
  <c r="U55" i="16"/>
  <c r="O54" i="16"/>
  <c r="W55" i="16"/>
  <c r="F56" i="16"/>
  <c r="G55" i="16"/>
  <c r="H56" i="16" l="1"/>
  <c r="T56" i="16" s="1"/>
  <c r="W56" i="16" s="1"/>
  <c r="M35" i="16"/>
  <c r="L35" i="16" s="1"/>
  <c r="K36" i="16" s="1"/>
  <c r="Q35" i="16"/>
  <c r="N55" i="16"/>
  <c r="F57" i="16" l="1"/>
  <c r="V56" i="16"/>
  <c r="U56" i="16" s="1"/>
  <c r="G56" i="16"/>
  <c r="M36" i="16"/>
  <c r="L36" i="16" s="1"/>
  <c r="K37" i="16" s="1"/>
  <c r="Q36" i="16"/>
  <c r="P55" i="16"/>
  <c r="M37" i="16" l="1"/>
  <c r="Q37" i="16"/>
  <c r="H57" i="16"/>
  <c r="T57" i="16" s="1"/>
  <c r="O55" i="16"/>
  <c r="N56" i="16" s="1"/>
  <c r="P56" i="16" s="1"/>
  <c r="L37" i="16" l="1"/>
  <c r="K38" i="16" s="1"/>
  <c r="M38" i="16" s="1"/>
  <c r="L38" i="16" s="1"/>
  <c r="K39" i="16" s="1"/>
  <c r="O56" i="16"/>
  <c r="W57" i="16"/>
  <c r="V57" i="16"/>
  <c r="G57" i="16"/>
  <c r="F58" i="16"/>
  <c r="N57" i="16" l="1"/>
  <c r="P57" i="16" s="1"/>
  <c r="Q39" i="16"/>
  <c r="M39" i="16"/>
  <c r="Q38" i="16"/>
  <c r="U57" i="16"/>
  <c r="L39" i="16" l="1"/>
  <c r="H58" i="16"/>
  <c r="T58" i="16" s="1"/>
  <c r="O57" i="16"/>
  <c r="K40" i="16" l="1"/>
  <c r="W58" i="16"/>
  <c r="V58" i="16"/>
  <c r="G58" i="16"/>
  <c r="N58" i="16" s="1"/>
  <c r="F59" i="16"/>
  <c r="M40" i="16" l="1"/>
  <c r="L40" i="16" s="1"/>
  <c r="Q40" i="16"/>
  <c r="F60" i="16"/>
  <c r="U58" i="16"/>
  <c r="P58" i="16"/>
  <c r="K41" i="16" l="1"/>
  <c r="O58" i="16"/>
  <c r="H59" i="16"/>
  <c r="T59" i="16" s="1"/>
  <c r="M41" i="16" l="1"/>
  <c r="Q41" i="16"/>
  <c r="W59" i="16"/>
  <c r="T60" i="16"/>
  <c r="T61" i="16" s="1"/>
  <c r="T62" i="16" s="1"/>
  <c r="I16" i="16" s="1"/>
  <c r="V59" i="16"/>
  <c r="U59" i="16" s="1"/>
  <c r="U60" i="16" s="1"/>
  <c r="H60" i="16"/>
  <c r="I12" i="16" s="1"/>
  <c r="G59" i="16"/>
  <c r="G60" i="16" s="1"/>
  <c r="I11" i="16" s="1"/>
  <c r="L41" i="16" l="1"/>
  <c r="F5" i="16"/>
  <c r="N59" i="16"/>
  <c r="F16" i="16"/>
  <c r="K42" i="16" l="1"/>
  <c r="N60" i="16"/>
  <c r="P59" i="16"/>
  <c r="O59" i="16" s="1"/>
  <c r="O60" i="16" s="1"/>
  <c r="N61" i="16" l="1"/>
  <c r="N62" i="16" s="1"/>
  <c r="M42" i="16"/>
  <c r="L42" i="16" s="1"/>
  <c r="Q42" i="16"/>
  <c r="K43" i="16" l="1"/>
  <c r="M43" i="16" l="1"/>
  <c r="Q43" i="16"/>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L59" i="16"/>
  <c r="L60" i="16" s="1"/>
  <c r="F9" i="16" l="1"/>
  <c r="F11" i="16" s="1"/>
  <c r="F14" i="16" s="1"/>
  <c r="I19" i="15"/>
  <c r="F29" i="15" l="1"/>
  <c r="H29" i="15" s="1"/>
  <c r="I21" i="15"/>
  <c r="T29" i="15" l="1"/>
  <c r="F30" i="15"/>
  <c r="G29" i="15"/>
  <c r="W29" i="15" l="1"/>
  <c r="V29" i="15"/>
  <c r="U29" i="15" s="1"/>
  <c r="H30" i="15" s="1"/>
  <c r="G30" i="15"/>
  <c r="N29" i="15"/>
  <c r="T30" i="15" l="1"/>
  <c r="F31" i="15"/>
  <c r="P29" i="15"/>
  <c r="V30" i="15" l="1"/>
  <c r="U30" i="15" s="1"/>
  <c r="W30" i="15"/>
  <c r="H31" i="15"/>
  <c r="O29" i="15"/>
  <c r="T31" i="15" l="1"/>
  <c r="F32" i="15"/>
  <c r="G31" i="15"/>
  <c r="N30" i="15"/>
  <c r="V31" i="15" l="1"/>
  <c r="W31" i="15"/>
  <c r="P30" i="15"/>
  <c r="U31" i="15" l="1"/>
  <c r="H32" i="15" s="1"/>
  <c r="O30" i="15"/>
  <c r="T32" i="15" l="1"/>
  <c r="G32" i="15"/>
  <c r="F33" i="15"/>
  <c r="N31" i="15"/>
  <c r="W32" i="15" l="1"/>
  <c r="H33" i="15"/>
  <c r="V32" i="15"/>
  <c r="U32" i="15" s="1"/>
  <c r="T33" i="15" s="1"/>
  <c r="P31" i="15"/>
  <c r="V33" i="15" l="1"/>
  <c r="W33" i="15"/>
  <c r="G33" i="15"/>
  <c r="F34" i="15"/>
  <c r="O31" i="15"/>
  <c r="U33" i="15" l="1"/>
  <c r="N32" i="15"/>
  <c r="H34" i="15" l="1"/>
  <c r="T34" i="15"/>
  <c r="P32" i="15"/>
  <c r="W34" i="15" l="1"/>
  <c r="V34" i="15"/>
  <c r="F35" i="15"/>
  <c r="G34" i="15"/>
  <c r="O32" i="15"/>
  <c r="F36" i="15" l="1"/>
  <c r="U34" i="15"/>
  <c r="H35" i="15" s="1"/>
  <c r="T35" i="15" s="1"/>
  <c r="V35" i="15"/>
  <c r="N33" i="15"/>
  <c r="U35" i="15" l="1"/>
  <c r="H36" i="15" s="1"/>
  <c r="W35" i="15"/>
  <c r="G35" i="15"/>
  <c r="P33" i="15"/>
  <c r="T36" i="15" l="1"/>
  <c r="G36" i="15"/>
  <c r="F37" i="15"/>
  <c r="O33" i="15"/>
  <c r="W36" i="15" l="1"/>
  <c r="V36" i="15"/>
  <c r="N34" i="15"/>
  <c r="U36" i="15" l="1"/>
  <c r="H37" i="15" s="1"/>
  <c r="P34" i="15"/>
  <c r="T37" i="15" l="1"/>
  <c r="G37" i="15"/>
  <c r="F38" i="15"/>
  <c r="O34" i="15"/>
  <c r="N35" i="15" s="1"/>
  <c r="P35" i="15" s="1"/>
  <c r="W37" i="15" l="1"/>
  <c r="V37" i="15"/>
  <c r="O35" i="15"/>
  <c r="N36" i="15" s="1"/>
  <c r="U37" i="15" l="1"/>
  <c r="H38" i="15" s="1"/>
  <c r="P36" i="15"/>
  <c r="T38" i="15" l="1"/>
  <c r="G38" i="15"/>
  <c r="F39" i="15"/>
  <c r="M29" i="15"/>
  <c r="L29" i="15" s="1"/>
  <c r="Q29" i="15"/>
  <c r="O36" i="15"/>
  <c r="N37" i="15" s="1"/>
  <c r="P37" i="15" s="1"/>
  <c r="W38" i="15" l="1"/>
  <c r="V38" i="15"/>
  <c r="O37" i="15"/>
  <c r="N38" i="15" s="1"/>
  <c r="U38" i="15" l="1"/>
  <c r="H39" i="15" s="1"/>
  <c r="P38" i="15"/>
  <c r="T39" i="15" l="1"/>
  <c r="G39" i="15"/>
  <c r="F40" i="15"/>
  <c r="O38" i="15"/>
  <c r="N39" i="15" s="1"/>
  <c r="W39" i="15" l="1"/>
  <c r="V39" i="15"/>
  <c r="P39" i="15"/>
  <c r="U39" i="15" l="1"/>
  <c r="H40" i="15" s="1"/>
  <c r="O39" i="15"/>
  <c r="T40" i="15" l="1"/>
  <c r="G40" i="15"/>
  <c r="N40" i="15" s="1"/>
  <c r="P40" i="15" s="1"/>
  <c r="F41" i="15"/>
  <c r="W40" i="15" l="1"/>
  <c r="V40" i="15"/>
  <c r="O40" i="15"/>
  <c r="U40" i="15" l="1"/>
  <c r="H41" i="15" l="1"/>
  <c r="T41" i="15"/>
  <c r="W41" i="15" l="1"/>
  <c r="V41" i="15"/>
  <c r="G41" i="15"/>
  <c r="N41" i="15" s="1"/>
  <c r="P41" i="15" s="1"/>
  <c r="F42" i="15"/>
  <c r="O41" i="15" l="1"/>
  <c r="U41" i="15"/>
  <c r="H42" i="15" l="1"/>
  <c r="T42" i="15"/>
  <c r="W42" i="15" l="1"/>
  <c r="V42" i="15"/>
  <c r="G42" i="15"/>
  <c r="N42" i="15" s="1"/>
  <c r="P42" i="15" s="1"/>
  <c r="O42" i="15" s="1"/>
  <c r="F43" i="15"/>
  <c r="U42" i="15" l="1"/>
  <c r="H43" i="15" s="1"/>
  <c r="T43" i="15" s="1"/>
  <c r="W43" i="15" l="1"/>
  <c r="F44" i="15"/>
  <c r="V43" i="15"/>
  <c r="G43" i="15"/>
  <c r="N43" i="15" s="1"/>
  <c r="P43" i="15" s="1"/>
  <c r="O43" i="15" l="1"/>
  <c r="U43" i="15"/>
  <c r="H44" i="15" l="1"/>
  <c r="T44" i="15"/>
  <c r="W44" i="15" l="1"/>
  <c r="V44" i="15"/>
  <c r="F45" i="15"/>
  <c r="G44" i="15"/>
  <c r="N44" i="15" s="1"/>
  <c r="P44" i="15" l="1"/>
  <c r="O44" i="15" s="1"/>
  <c r="U44" i="15"/>
  <c r="H45" i="15" s="1"/>
  <c r="T45" i="15" s="1"/>
  <c r="V45" i="15"/>
  <c r="F46" i="15" l="1"/>
  <c r="G45" i="15"/>
  <c r="U45" i="15"/>
  <c r="W45" i="15"/>
  <c r="H46" i="15"/>
  <c r="T46" i="15" s="1"/>
  <c r="V46" i="15" s="1"/>
  <c r="N45" i="15"/>
  <c r="U46" i="15" l="1"/>
  <c r="P45" i="15"/>
  <c r="W46" i="15"/>
  <c r="F47" i="15"/>
  <c r="G46" i="15"/>
  <c r="H47" i="15" l="1"/>
  <c r="T47" i="15" s="1"/>
  <c r="O45" i="15"/>
  <c r="N46" i="15" s="1"/>
  <c r="P46" i="15" l="1"/>
  <c r="W47" i="15"/>
  <c r="V47" i="15"/>
  <c r="F48" i="15"/>
  <c r="G47" i="15"/>
  <c r="U47" i="15" l="1"/>
  <c r="H48" i="15" s="1"/>
  <c r="T48" i="15" s="1"/>
  <c r="W48" i="15" s="1"/>
  <c r="V48" i="15"/>
  <c r="G48" i="15"/>
  <c r="F49" i="15"/>
  <c r="O46" i="15"/>
  <c r="N47" i="15" s="1"/>
  <c r="P47" i="15" l="1"/>
  <c r="U48" i="15"/>
  <c r="H49" i="15" s="1"/>
  <c r="T49" i="15" s="1"/>
  <c r="W49" i="15" l="1"/>
  <c r="G49" i="15"/>
  <c r="V49" i="15"/>
  <c r="F50" i="15"/>
  <c r="O47" i="15"/>
  <c r="N48" i="15" s="1"/>
  <c r="P48" i="15" l="1"/>
  <c r="U49" i="15"/>
  <c r="H50" i="15" s="1"/>
  <c r="T50" i="15" s="1"/>
  <c r="W50" i="15" s="1"/>
  <c r="V50" i="15" l="1"/>
  <c r="F51" i="15"/>
  <c r="G50" i="15"/>
  <c r="O48" i="15"/>
  <c r="N49" i="15" s="1"/>
  <c r="P49" i="15"/>
  <c r="O49" i="15" s="1"/>
  <c r="N50" i="15" s="1"/>
  <c r="P50" i="15" l="1"/>
  <c r="U50" i="15"/>
  <c r="H51" i="15" s="1"/>
  <c r="T51" i="15" s="1"/>
  <c r="V51" i="15"/>
  <c r="U51" i="15" s="1"/>
  <c r="F52" i="15" l="1"/>
  <c r="W51" i="15"/>
  <c r="H52" i="15"/>
  <c r="G52" i="15" s="1"/>
  <c r="G51" i="15"/>
  <c r="O50" i="15"/>
  <c r="N51" i="15" s="1"/>
  <c r="P51" i="15" l="1"/>
  <c r="O51" i="15" s="1"/>
  <c r="N52" i="15" s="1"/>
  <c r="T52" i="15"/>
  <c r="F53" i="15"/>
  <c r="K30" i="15" l="1"/>
  <c r="V52" i="15"/>
  <c r="W52" i="15"/>
  <c r="P52" i="15"/>
  <c r="O52" i="15" l="1"/>
  <c r="U52" i="15"/>
  <c r="H53" i="15" s="1"/>
  <c r="M30" i="15"/>
  <c r="L30" i="15" s="1"/>
  <c r="K31" i="15" s="1"/>
  <c r="Q30" i="15"/>
  <c r="F29" i="13"/>
  <c r="H29" i="13" s="1"/>
  <c r="I21" i="13"/>
  <c r="T29" i="13" l="1"/>
  <c r="Q31" i="15"/>
  <c r="M31" i="15"/>
  <c r="L31" i="15" s="1"/>
  <c r="K32" i="15"/>
  <c r="T53" i="15"/>
  <c r="G53" i="15"/>
  <c r="F54" i="15"/>
  <c r="N53" i="15"/>
  <c r="F30" i="13"/>
  <c r="G29" i="13"/>
  <c r="N29" i="13" s="1"/>
  <c r="W29" i="13" l="1"/>
  <c r="V29" i="13"/>
  <c r="P53" i="15"/>
  <c r="M32" i="15"/>
  <c r="L32" i="15" s="1"/>
  <c r="K33" i="15" s="1"/>
  <c r="Q32" i="15"/>
  <c r="W53" i="15"/>
  <c r="V53" i="15"/>
  <c r="P29" i="13"/>
  <c r="U29" i="13" l="1"/>
  <c r="Q33" i="15"/>
  <c r="M33" i="15"/>
  <c r="L33" i="15" s="1"/>
  <c r="K34" i="15" s="1"/>
  <c r="U53" i="15"/>
  <c r="H54" i="15" s="1"/>
  <c r="O53" i="15"/>
  <c r="O29" i="13"/>
  <c r="H30" i="13" l="1"/>
  <c r="T30" i="13" s="1"/>
  <c r="T54" i="15"/>
  <c r="G54" i="15"/>
  <c r="N54" i="15" s="1"/>
  <c r="F55" i="15"/>
  <c r="Q34" i="15"/>
  <c r="M34" i="15"/>
  <c r="L34" i="15" s="1"/>
  <c r="K35" i="15" s="1"/>
  <c r="W30" i="13" l="1"/>
  <c r="G30" i="13"/>
  <c r="N30" i="13" s="1"/>
  <c r="F31" i="13"/>
  <c r="P54" i="15"/>
  <c r="M35" i="15"/>
  <c r="L35" i="15" s="1"/>
  <c r="K36" i="15" s="1"/>
  <c r="Q35" i="15"/>
  <c r="W54" i="15"/>
  <c r="V54" i="15"/>
  <c r="P30" i="13" l="1"/>
  <c r="U30" i="13"/>
  <c r="H31" i="13" s="1"/>
  <c r="F32" i="13" s="1"/>
  <c r="M36" i="15"/>
  <c r="L36" i="15" s="1"/>
  <c r="K37" i="15" s="1"/>
  <c r="Q36" i="15"/>
  <c r="O54" i="15"/>
  <c r="U54" i="15"/>
  <c r="H55" i="15" s="1"/>
  <c r="T31" i="13" l="1"/>
  <c r="V31" i="13" s="1"/>
  <c r="O30" i="13"/>
  <c r="G31" i="13"/>
  <c r="T55" i="15"/>
  <c r="G55" i="15"/>
  <c r="F56" i="15"/>
  <c r="N55" i="15"/>
  <c r="M37" i="15"/>
  <c r="L37" i="15" s="1"/>
  <c r="K38" i="15" s="1"/>
  <c r="Q37" i="15"/>
  <c r="N31" i="13" l="1"/>
  <c r="P31" i="13" s="1"/>
  <c r="O31" i="13" s="1"/>
  <c r="W31" i="13"/>
  <c r="P55" i="15"/>
  <c r="O55" i="15" s="1"/>
  <c r="Q38" i="15"/>
  <c r="M38" i="15"/>
  <c r="L38" i="15" s="1"/>
  <c r="K39" i="15" s="1"/>
  <c r="W55" i="15"/>
  <c r="V55" i="15"/>
  <c r="U31" i="13" l="1"/>
  <c r="Q39" i="15"/>
  <c r="M39" i="15"/>
  <c r="L39" i="15" s="1"/>
  <c r="K40" i="15" s="1"/>
  <c r="U55" i="15"/>
  <c r="H56" i="15" s="1"/>
  <c r="H32" i="13" l="1"/>
  <c r="T32" i="13" s="1"/>
  <c r="V32" i="13" s="1"/>
  <c r="T56" i="15"/>
  <c r="G56" i="15"/>
  <c r="N56" i="15" s="1"/>
  <c r="F57" i="15"/>
  <c r="M40" i="15"/>
  <c r="L40" i="15" s="1"/>
  <c r="K41" i="15" s="1"/>
  <c r="Q40" i="15"/>
  <c r="W32" i="13" l="1"/>
  <c r="G32" i="13"/>
  <c r="N32" i="13" s="1"/>
  <c r="F33" i="13"/>
  <c r="M41" i="15"/>
  <c r="L41" i="15" s="1"/>
  <c r="K42" i="15" s="1"/>
  <c r="Q41" i="15"/>
  <c r="P56" i="15"/>
  <c r="W56" i="15"/>
  <c r="V56" i="15"/>
  <c r="P32" i="13" l="1"/>
  <c r="U32" i="13"/>
  <c r="H33" i="13" s="1"/>
  <c r="O56" i="15"/>
  <c r="U56" i="15"/>
  <c r="H57" i="15" s="1"/>
  <c r="M42" i="15"/>
  <c r="L42" i="15" s="1"/>
  <c r="K43" i="15" s="1"/>
  <c r="Q42" i="15"/>
  <c r="T33" i="13" l="1"/>
  <c r="V33" i="13" s="1"/>
  <c r="F34" i="13"/>
  <c r="O32" i="13"/>
  <c r="G33" i="13"/>
  <c r="M43" i="15"/>
  <c r="L43" i="15" s="1"/>
  <c r="K44" i="15" s="1"/>
  <c r="Q43" i="15"/>
  <c r="T57" i="15"/>
  <c r="G57" i="15"/>
  <c r="F58" i="15"/>
  <c r="N57" i="15"/>
  <c r="N33" i="13" l="1"/>
  <c r="P33" i="13" s="1"/>
  <c r="O33" i="13" s="1"/>
  <c r="W33" i="13"/>
  <c r="P57" i="15"/>
  <c r="O57" i="15" s="1"/>
  <c r="F59" i="15"/>
  <c r="W57" i="15"/>
  <c r="V57" i="15"/>
  <c r="M44" i="15"/>
  <c r="L44" i="15" s="1"/>
  <c r="K45" i="15" s="1"/>
  <c r="Q44" i="15"/>
  <c r="U33" i="13" l="1"/>
  <c r="H34" i="13" s="1"/>
  <c r="M45" i="15"/>
  <c r="L45" i="15" s="1"/>
  <c r="Q45" i="15"/>
  <c r="K46" i="15"/>
  <c r="U57" i="15"/>
  <c r="T34" i="13" l="1"/>
  <c r="V34" i="13" s="1"/>
  <c r="F35" i="13"/>
  <c r="G34" i="13"/>
  <c r="N34" i="13" s="1"/>
  <c r="P34" i="13" s="1"/>
  <c r="H58" i="15"/>
  <c r="M46" i="15"/>
  <c r="L46" i="15" s="1"/>
  <c r="K47" i="15" s="1"/>
  <c r="Q46" i="15"/>
  <c r="W34" i="13" l="1"/>
  <c r="O34" i="13"/>
  <c r="M47" i="15"/>
  <c r="L47" i="15" s="1"/>
  <c r="K48" i="15" s="1"/>
  <c r="Q47" i="15"/>
  <c r="H59" i="15"/>
  <c r="I12" i="15" s="1"/>
  <c r="G58" i="15"/>
  <c r="T58" i="15"/>
  <c r="U34" i="13" l="1"/>
  <c r="G59" i="15"/>
  <c r="I11" i="15" s="1"/>
  <c r="F5" i="15" s="1"/>
  <c r="N58" i="15"/>
  <c r="W58" i="15"/>
  <c r="T59" i="15"/>
  <c r="T60" i="15" s="1"/>
  <c r="T61" i="15" s="1"/>
  <c r="I16" i="15" s="1"/>
  <c r="F16" i="15" s="1"/>
  <c r="V58" i="15"/>
  <c r="U58" i="15" s="1"/>
  <c r="U59" i="15" s="1"/>
  <c r="M48" i="15"/>
  <c r="L48" i="15" s="1"/>
  <c r="K49" i="15" s="1"/>
  <c r="Q48" i="15"/>
  <c r="Q29" i="13"/>
  <c r="H35" i="13" l="1"/>
  <c r="M49" i="15"/>
  <c r="L49" i="15" s="1"/>
  <c r="K50" i="15" s="1"/>
  <c r="Q49" i="15"/>
  <c r="P58" i="15"/>
  <c r="O58" i="15" s="1"/>
  <c r="O59" i="15" s="1"/>
  <c r="N59" i="15"/>
  <c r="N60" i="15" s="1"/>
  <c r="N61" i="15" s="1"/>
  <c r="G35" i="13" l="1"/>
  <c r="N35" i="13" s="1"/>
  <c r="P35" i="13" s="1"/>
  <c r="F36" i="13"/>
  <c r="T35" i="13"/>
  <c r="V35" i="13" s="1"/>
  <c r="M50" i="15"/>
  <c r="L50" i="15" s="1"/>
  <c r="K51" i="15" s="1"/>
  <c r="Q50" i="15"/>
  <c r="W35" i="13" l="1"/>
  <c r="O35" i="13"/>
  <c r="M51" i="15"/>
  <c r="L51" i="15" s="1"/>
  <c r="K52" i="15" s="1"/>
  <c r="Q51" i="15"/>
  <c r="U35" i="13" l="1"/>
  <c r="H36" i="13" s="1"/>
  <c r="M52" i="15"/>
  <c r="L52" i="15" s="1"/>
  <c r="K53" i="15" s="1"/>
  <c r="Q52" i="15"/>
  <c r="T36" i="13" l="1"/>
  <c r="V36" i="13" s="1"/>
  <c r="F37" i="13"/>
  <c r="G36" i="13"/>
  <c r="N36" i="13" s="1"/>
  <c r="P36" i="13" s="1"/>
  <c r="O36" i="13" s="1"/>
  <c r="M53" i="15"/>
  <c r="L53" i="15" s="1"/>
  <c r="K54" i="15" s="1"/>
  <c r="Q53" i="15"/>
  <c r="W36" i="13" l="1"/>
  <c r="M54" i="15"/>
  <c r="L54" i="15" s="1"/>
  <c r="K55" i="15" s="1"/>
  <c r="Q54" i="15"/>
  <c r="U36" i="13" l="1"/>
  <c r="H37" i="13" s="1"/>
  <c r="M55" i="15"/>
  <c r="L55" i="15" s="1"/>
  <c r="K56" i="15" s="1"/>
  <c r="Q55" i="15"/>
  <c r="T37" i="13" l="1"/>
  <c r="V37" i="13" s="1"/>
  <c r="G37" i="13"/>
  <c r="N37" i="13" s="1"/>
  <c r="P37" i="13" s="1"/>
  <c r="F38" i="13"/>
  <c r="M56" i="15"/>
  <c r="L56" i="15" s="1"/>
  <c r="K57" i="15" s="1"/>
  <c r="Q56" i="15"/>
  <c r="W37" i="13" l="1"/>
  <c r="O37" i="13"/>
  <c r="M57" i="15"/>
  <c r="L57" i="15" s="1"/>
  <c r="K58" i="15" s="1"/>
  <c r="Q57" i="15"/>
  <c r="U37" i="13" l="1"/>
  <c r="H38" i="13" s="1"/>
  <c r="M58" i="15"/>
  <c r="L58" i="15" s="1"/>
  <c r="L59" i="15" s="1"/>
  <c r="K59" i="15"/>
  <c r="K60" i="15" s="1"/>
  <c r="K61" i="15" s="1"/>
  <c r="Q58" i="15"/>
  <c r="T38" i="13" l="1"/>
  <c r="V38" i="13" s="1"/>
  <c r="F39" i="13"/>
  <c r="G38" i="13"/>
  <c r="N38" i="13" s="1"/>
  <c r="I15" i="15"/>
  <c r="F9" i="15" s="1"/>
  <c r="L64" i="15"/>
  <c r="N65" i="15"/>
  <c r="P38" i="13" l="1"/>
  <c r="O38" i="13" s="1"/>
  <c r="W38" i="13"/>
  <c r="U38" i="13" l="1"/>
  <c r="H39" i="13" s="1"/>
  <c r="T39" i="13" l="1"/>
  <c r="V39" i="13" s="1"/>
  <c r="G39" i="13"/>
  <c r="N39" i="13" s="1"/>
  <c r="F40" i="13"/>
  <c r="P39" i="13" l="1"/>
  <c r="W39" i="13"/>
  <c r="U39" i="13" l="1"/>
  <c r="H40" i="13" s="1"/>
  <c r="O39" i="13"/>
  <c r="T40" i="13" l="1"/>
  <c r="V40" i="13" s="1"/>
  <c r="F41" i="13"/>
  <c r="G40" i="13"/>
  <c r="N40" i="13" s="1"/>
  <c r="P40" i="13" l="1"/>
  <c r="W40" i="13"/>
  <c r="U40" i="13" l="1"/>
  <c r="H41" i="13" s="1"/>
  <c r="O40" i="13"/>
  <c r="T41" i="13" l="1"/>
  <c r="V41" i="13" s="1"/>
  <c r="F42" i="13"/>
  <c r="G41" i="13"/>
  <c r="N41" i="13" s="1"/>
  <c r="P41" i="13" l="1"/>
  <c r="W41" i="13"/>
  <c r="U41" i="13" l="1"/>
  <c r="H42" i="13" s="1"/>
  <c r="O41" i="13"/>
  <c r="T42" i="13" l="1"/>
  <c r="V42" i="13" s="1"/>
  <c r="F43" i="13"/>
  <c r="G42" i="13"/>
  <c r="N42" i="13" s="1"/>
  <c r="P42" i="13" l="1"/>
  <c r="W42" i="13"/>
  <c r="O42" i="13" l="1"/>
  <c r="U42" i="13"/>
  <c r="H43" i="13" s="1"/>
  <c r="T43" i="13" l="1"/>
  <c r="V43" i="13" s="1"/>
  <c r="F44" i="13"/>
  <c r="G43" i="13"/>
  <c r="N43" i="13" s="1"/>
  <c r="P43" i="13" l="1"/>
  <c r="W43" i="13"/>
  <c r="O43" i="13" l="1"/>
  <c r="U43" i="13"/>
  <c r="H44" i="13" s="1"/>
  <c r="T44" i="13" l="1"/>
  <c r="V44" i="13" s="1"/>
  <c r="G44" i="13"/>
  <c r="F45" i="13"/>
  <c r="N44" i="13"/>
  <c r="P44" i="13" l="1"/>
  <c r="W44" i="13"/>
  <c r="O44" i="13" l="1"/>
  <c r="U44" i="13"/>
  <c r="H45" i="13" s="1"/>
  <c r="T45" i="13" l="1"/>
  <c r="V45" i="13" s="1"/>
  <c r="G45" i="13"/>
  <c r="N45" i="13" s="1"/>
  <c r="F46" i="13"/>
  <c r="P45" i="13" l="1"/>
  <c r="W45" i="13"/>
  <c r="O45" i="13" l="1"/>
  <c r="U45" i="13"/>
  <c r="H46" i="13" s="1"/>
  <c r="T46" i="13" l="1"/>
  <c r="V46" i="13" s="1"/>
  <c r="G46" i="13"/>
  <c r="N46" i="13" s="1"/>
  <c r="F47" i="13"/>
  <c r="F11" i="15"/>
  <c r="F14" i="15" s="1"/>
  <c r="P46" i="13" l="1"/>
  <c r="W46" i="13"/>
  <c r="O46" i="13" l="1"/>
  <c r="U46" i="13"/>
  <c r="H47" i="13" s="1"/>
  <c r="T47" i="13" l="1"/>
  <c r="V47" i="13" s="1"/>
  <c r="F48" i="13"/>
  <c r="G47" i="13"/>
  <c r="N47" i="13" s="1"/>
  <c r="P47" i="13" l="1"/>
  <c r="W47" i="13"/>
  <c r="O47" i="13" l="1"/>
  <c r="U47" i="13"/>
  <c r="H48" i="13" s="1"/>
  <c r="T48" i="13" l="1"/>
  <c r="V48" i="13" s="1"/>
  <c r="G48" i="13"/>
  <c r="F49" i="13"/>
  <c r="N48" i="13"/>
  <c r="P48" i="13" l="1"/>
  <c r="O48" i="13" s="1"/>
  <c r="W48" i="13"/>
  <c r="U48" i="13" l="1"/>
  <c r="H49" i="13" s="1"/>
  <c r="T49" i="13" l="1"/>
  <c r="V49" i="13" s="1"/>
  <c r="F50" i="13"/>
  <c r="G49" i="13"/>
  <c r="N49" i="13" s="1"/>
  <c r="P49" i="13" l="1"/>
  <c r="O49" i="13" s="1"/>
  <c r="W49" i="13"/>
  <c r="U49" i="13" l="1"/>
  <c r="H50" i="13" s="1"/>
  <c r="T50" i="13" l="1"/>
  <c r="V50" i="13" s="1"/>
  <c r="F51" i="13"/>
  <c r="G50" i="13"/>
  <c r="N50" i="13" s="1"/>
  <c r="P50" i="13" l="1"/>
  <c r="O50" i="13" s="1"/>
  <c r="W50" i="13"/>
  <c r="U50" i="13" l="1"/>
  <c r="H51" i="13" s="1"/>
  <c r="T51" i="13" l="1"/>
  <c r="V51" i="13" s="1"/>
  <c r="G51" i="13"/>
  <c r="N51" i="13" s="1"/>
  <c r="F52" i="13"/>
  <c r="P51" i="13" l="1"/>
  <c r="O51" i="13" s="1"/>
  <c r="W51" i="13"/>
  <c r="U51" i="13" l="1"/>
  <c r="H52" i="13" s="1"/>
  <c r="T52" i="13" l="1"/>
  <c r="V52" i="13" s="1"/>
  <c r="G52" i="13"/>
  <c r="N52" i="13" s="1"/>
  <c r="F53" i="13"/>
  <c r="P52" i="13" l="1"/>
  <c r="K30" i="13"/>
  <c r="W52" i="13"/>
  <c r="U52" i="13" l="1"/>
  <c r="H53" i="13" s="1"/>
  <c r="M30" i="13"/>
  <c r="L30" i="13" s="1"/>
  <c r="Q30" i="13"/>
  <c r="O52" i="13"/>
  <c r="K31" i="13" l="1"/>
  <c r="T53" i="13"/>
  <c r="V53" i="13" s="1"/>
  <c r="F54" i="13"/>
  <c r="G53" i="13"/>
  <c r="N53" i="13" s="1"/>
  <c r="P53" i="13" l="1"/>
  <c r="O53" i="13" s="1"/>
  <c r="M31" i="13"/>
  <c r="L31" i="13" s="1"/>
  <c r="Q31" i="13"/>
  <c r="W53" i="13"/>
  <c r="K32" i="13" l="1"/>
  <c r="U53" i="13"/>
  <c r="H54" i="13" s="1"/>
  <c r="T54" i="13" l="1"/>
  <c r="V54" i="13" s="1"/>
  <c r="G54" i="13"/>
  <c r="N54" i="13" s="1"/>
  <c r="F55" i="13"/>
  <c r="M32" i="13"/>
  <c r="L32" i="13" s="1"/>
  <c r="Q32" i="13"/>
  <c r="K33" i="13" l="1"/>
  <c r="P54" i="13"/>
  <c r="W54" i="13"/>
  <c r="O54" i="13" l="1"/>
  <c r="U54" i="13"/>
  <c r="H55" i="13" s="1"/>
  <c r="Q33" i="13"/>
  <c r="M33" i="13"/>
  <c r="L33" i="13" s="1"/>
  <c r="K34" i="13" l="1"/>
  <c r="T55" i="13"/>
  <c r="V55" i="13" s="1"/>
  <c r="F56" i="13"/>
  <c r="G55" i="13"/>
  <c r="N55" i="13" s="1"/>
  <c r="N66" i="13" l="1"/>
  <c r="N67" i="13" s="1"/>
  <c r="N68" i="13" s="1"/>
  <c r="P55" i="13"/>
  <c r="O55" i="13" s="1"/>
  <c r="O67" i="13" s="1"/>
  <c r="O69" i="13" s="1"/>
  <c r="W55" i="13"/>
  <c r="M34" i="13"/>
  <c r="L34" i="13" s="1"/>
  <c r="Q34" i="13"/>
  <c r="K35" i="13" l="1"/>
  <c r="U55" i="13"/>
  <c r="H56" i="13" s="1"/>
  <c r="T56" i="13" l="1"/>
  <c r="V56" i="13" s="1"/>
  <c r="F57" i="13"/>
  <c r="G56" i="13"/>
  <c r="N56" i="13" s="1"/>
  <c r="M35" i="13"/>
  <c r="L35" i="13" s="1"/>
  <c r="K36" i="13" s="1"/>
  <c r="Q35" i="13"/>
  <c r="M36" i="13" l="1"/>
  <c r="L36" i="13" s="1"/>
  <c r="K37" i="13" s="1"/>
  <c r="Q36" i="13"/>
  <c r="P56" i="13"/>
  <c r="O56" i="13" s="1"/>
  <c r="W56" i="13"/>
  <c r="M37" i="13" l="1"/>
  <c r="L37" i="13" s="1"/>
  <c r="K38" i="13" s="1"/>
  <c r="Q37" i="13"/>
  <c r="U56" i="13"/>
  <c r="H57" i="13" s="1"/>
  <c r="T57" i="13" l="1"/>
  <c r="V57" i="13" s="1"/>
  <c r="G57" i="13"/>
  <c r="N57" i="13" s="1"/>
  <c r="F58" i="13"/>
  <c r="M38" i="13"/>
  <c r="L38" i="13" s="1"/>
  <c r="K39" i="13" s="1"/>
  <c r="Q38" i="13"/>
  <c r="M39" i="13" l="1"/>
  <c r="L39" i="13" s="1"/>
  <c r="K40" i="13" s="1"/>
  <c r="Q39" i="13"/>
  <c r="P57" i="13"/>
  <c r="O57" i="13" s="1"/>
  <c r="W57" i="13"/>
  <c r="U57" i="13" l="1"/>
  <c r="M40" i="13"/>
  <c r="L40" i="13" s="1"/>
  <c r="K41" i="13" s="1"/>
  <c r="Q40" i="13"/>
  <c r="H58" i="13" l="1"/>
  <c r="T58" i="13" s="1"/>
  <c r="V58" i="13" s="1"/>
  <c r="M41" i="13"/>
  <c r="L41" i="13" s="1"/>
  <c r="K42" i="13" s="1"/>
  <c r="Q41" i="13"/>
  <c r="M42" i="13" l="1"/>
  <c r="L42" i="13" s="1"/>
  <c r="K43" i="13" s="1"/>
  <c r="Q42" i="13"/>
  <c r="W58" i="13"/>
  <c r="F59" i="13"/>
  <c r="G58" i="13"/>
  <c r="N58" i="13" s="1"/>
  <c r="P58" i="13" l="1"/>
  <c r="O58" i="13" s="1"/>
  <c r="U58" i="13"/>
  <c r="F60" i="13"/>
  <c r="M43" i="13"/>
  <c r="L43" i="13" s="1"/>
  <c r="K44" i="13" s="1"/>
  <c r="Q43" i="13"/>
  <c r="M44" i="13" l="1"/>
  <c r="L44" i="13" s="1"/>
  <c r="K45" i="13" s="1"/>
  <c r="Q44" i="13"/>
  <c r="H59" i="13"/>
  <c r="T59" i="13" s="1"/>
  <c r="V59" i="13" s="1"/>
  <c r="W59" i="13" l="1"/>
  <c r="T60" i="13"/>
  <c r="T61" i="13" s="1"/>
  <c r="T62" i="13" s="1"/>
  <c r="I16" i="13" s="1"/>
  <c r="U59" i="13"/>
  <c r="U60" i="13" s="1"/>
  <c r="M45" i="13"/>
  <c r="L45" i="13" s="1"/>
  <c r="K46" i="13" s="1"/>
  <c r="Q45" i="13"/>
  <c r="H60" i="13"/>
  <c r="I12" i="13" s="1"/>
  <c r="G59" i="13"/>
  <c r="M46" i="13" l="1"/>
  <c r="L46" i="13" s="1"/>
  <c r="K47" i="13" s="1"/>
  <c r="Q46" i="13"/>
  <c r="G60" i="13"/>
  <c r="I11" i="13" s="1"/>
  <c r="N59" i="13"/>
  <c r="I20" i="14"/>
  <c r="F16" i="13"/>
  <c r="F9" i="13"/>
  <c r="F5" i="13" l="1"/>
  <c r="F11" i="13" s="1"/>
  <c r="I19" i="14"/>
  <c r="P59" i="13"/>
  <c r="O59" i="13" s="1"/>
  <c r="N60" i="13"/>
  <c r="N61" i="13" s="1"/>
  <c r="N62" i="13" s="1"/>
  <c r="P65" i="13" s="1"/>
  <c r="M47" i="13"/>
  <c r="L47" i="13" s="1"/>
  <c r="K48" i="13" s="1"/>
  <c r="Q47" i="13"/>
  <c r="F4" i="14" l="1"/>
  <c r="F14" i="13"/>
  <c r="M48" i="13"/>
  <c r="L48" i="13" s="1"/>
  <c r="K49" i="13" s="1"/>
  <c r="Q48" i="13"/>
  <c r="F29" i="14"/>
  <c r="I21" i="14"/>
  <c r="O60" i="13"/>
  <c r="P66" i="13"/>
  <c r="H29" i="14" l="1"/>
  <c r="F30" i="14" s="1"/>
  <c r="M49" i="13"/>
  <c r="L49" i="13" s="1"/>
  <c r="K50" i="13" s="1"/>
  <c r="Q49" i="13"/>
  <c r="G29" i="14" l="1"/>
  <c r="N29" i="14" s="1"/>
  <c r="P29" i="14" s="1"/>
  <c r="O29" i="14" s="1"/>
  <c r="T29" i="14"/>
  <c r="M50" i="13"/>
  <c r="L50" i="13" s="1"/>
  <c r="K51" i="13" s="1"/>
  <c r="Q50" i="13"/>
  <c r="V29" i="14" l="1"/>
  <c r="W29" i="14"/>
  <c r="M51" i="13"/>
  <c r="L51" i="13" s="1"/>
  <c r="K52" i="13" s="1"/>
  <c r="Q51" i="13"/>
  <c r="M52" i="13" l="1"/>
  <c r="L52" i="13" s="1"/>
  <c r="K53" i="13" s="1"/>
  <c r="Q52" i="13"/>
  <c r="K66" i="13"/>
  <c r="K67" i="13" s="1"/>
  <c r="K68" i="13" s="1"/>
  <c r="U29" i="14"/>
  <c r="H30" i="14" l="1"/>
  <c r="T30" i="14" s="1"/>
  <c r="M70" i="13"/>
  <c r="M53" i="13"/>
  <c r="L53" i="13" s="1"/>
  <c r="K54" i="13" s="1"/>
  <c r="Q53" i="13"/>
  <c r="M54" i="13" l="1"/>
  <c r="L54" i="13" s="1"/>
  <c r="K55" i="13" s="1"/>
  <c r="Q54" i="13"/>
  <c r="W30" i="14"/>
  <c r="V30" i="14"/>
  <c r="F31" i="14"/>
  <c r="G30" i="14"/>
  <c r="N30" i="14" s="1"/>
  <c r="U30" i="14" l="1"/>
  <c r="P30" i="14"/>
  <c r="M55" i="13"/>
  <c r="Q55" i="13"/>
  <c r="O30" i="14" l="1"/>
  <c r="M75" i="13"/>
  <c r="L55" i="13"/>
  <c r="K56" i="13" s="1"/>
  <c r="H31" i="14"/>
  <c r="T31" i="14" s="1"/>
  <c r="W31" i="14" l="1"/>
  <c r="V31" i="14"/>
  <c r="M56" i="13"/>
  <c r="L56" i="13" s="1"/>
  <c r="Q56" i="13"/>
  <c r="F32" i="14"/>
  <c r="G31" i="14"/>
  <c r="N31" i="14" s="1"/>
  <c r="U31" i="14" l="1"/>
  <c r="K57" i="13"/>
  <c r="P31" i="14"/>
  <c r="O31" i="14" s="1"/>
  <c r="M57" i="13" l="1"/>
  <c r="L57" i="13" s="1"/>
  <c r="Q57" i="13"/>
  <c r="H32" i="14"/>
  <c r="F33" i="14" l="1"/>
  <c r="G32" i="14"/>
  <c r="N32" i="14" s="1"/>
  <c r="T32" i="14"/>
  <c r="K58" i="13"/>
  <c r="P32" i="14" l="1"/>
  <c r="M58" i="13"/>
  <c r="L58" i="13" s="1"/>
  <c r="Q58" i="13"/>
  <c r="W32" i="14"/>
  <c r="V32" i="14"/>
  <c r="K59" i="13" l="1"/>
  <c r="U32" i="14"/>
  <c r="O32" i="14"/>
  <c r="H33" i="14" l="1"/>
  <c r="M59" i="13"/>
  <c r="L59" i="13" s="1"/>
  <c r="K60" i="13"/>
  <c r="K61" i="13" s="1"/>
  <c r="K62" i="13" s="1"/>
  <c r="M65" i="13" s="1"/>
  <c r="M72" i="13" s="1"/>
  <c r="Q59" i="13"/>
  <c r="L60" i="13" l="1"/>
  <c r="S70" i="13" s="1"/>
  <c r="N74" i="13"/>
  <c r="G33" i="14"/>
  <c r="N33" i="14" s="1"/>
  <c r="F34" i="14"/>
  <c r="T33" i="14"/>
  <c r="P33" i="14" l="1"/>
  <c r="O33" i="14" s="1"/>
  <c r="W33" i="14"/>
  <c r="V33" i="14"/>
  <c r="U33" i="14" s="1"/>
  <c r="H34" i="14" s="1"/>
  <c r="G34" i="14" s="1"/>
  <c r="F35" i="14" l="1"/>
  <c r="T34" i="14"/>
  <c r="N34" i="14"/>
  <c r="P34" i="14" l="1"/>
  <c r="V34" i="14"/>
  <c r="W34" i="14"/>
  <c r="U34" i="14" l="1"/>
  <c r="O34" i="14"/>
  <c r="H35" i="14" l="1"/>
  <c r="F36" i="14" l="1"/>
  <c r="G35" i="14"/>
  <c r="N35" i="14" s="1"/>
  <c r="T35" i="14"/>
  <c r="W35" i="14" l="1"/>
  <c r="V35" i="14"/>
  <c r="P35" i="14"/>
  <c r="O35" i="14" s="1"/>
  <c r="U35" i="14" l="1"/>
  <c r="H36" i="14" l="1"/>
  <c r="T36" i="14" s="1"/>
  <c r="W36" i="14" l="1"/>
  <c r="V36" i="14"/>
  <c r="G36" i="14"/>
  <c r="N36" i="14" s="1"/>
  <c r="F37" i="14"/>
  <c r="P36" i="14" l="1"/>
  <c r="U36" i="14"/>
  <c r="H37" i="14" l="1"/>
  <c r="T37" i="14" s="1"/>
  <c r="O36" i="14"/>
  <c r="W37" i="14" l="1"/>
  <c r="V37" i="14"/>
  <c r="G37" i="14"/>
  <c r="N37" i="14" s="1"/>
  <c r="F38" i="14"/>
  <c r="P37" i="14" l="1"/>
  <c r="O37" i="14" s="1"/>
  <c r="U37" i="14"/>
  <c r="H38" i="14" l="1"/>
  <c r="T38" i="14" s="1"/>
  <c r="W38" i="14" l="1"/>
  <c r="V38" i="14"/>
  <c r="F39" i="14"/>
  <c r="G38" i="14"/>
  <c r="N38" i="14" s="1"/>
  <c r="P38" i="14" l="1"/>
  <c r="U38" i="14"/>
  <c r="O38" i="14" l="1"/>
  <c r="H39" i="14"/>
  <c r="T39" i="14" s="1"/>
  <c r="W39" i="14" l="1"/>
  <c r="V39" i="14"/>
  <c r="G39" i="14"/>
  <c r="F40" i="14"/>
  <c r="N39" i="14"/>
  <c r="P39" i="14" l="1"/>
  <c r="O39" i="14" s="1"/>
  <c r="U39" i="14"/>
  <c r="H40" i="14" l="1"/>
  <c r="T40" i="14" s="1"/>
  <c r="W40" i="14" l="1"/>
  <c r="V40" i="14"/>
  <c r="U40" i="14" s="1"/>
  <c r="G40" i="14"/>
  <c r="N40" i="14" s="1"/>
  <c r="F41" i="14"/>
  <c r="H41" i="14" l="1"/>
  <c r="G41" i="14"/>
  <c r="F42" i="14"/>
  <c r="P40" i="14"/>
  <c r="T41" i="14"/>
  <c r="O40" i="14" l="1"/>
  <c r="N41" i="14" s="1"/>
  <c r="P41" i="14" s="1"/>
  <c r="O41" i="14" s="1"/>
  <c r="V41" i="14"/>
  <c r="W41" i="14"/>
  <c r="U41" i="14" l="1"/>
  <c r="H42" i="14" l="1"/>
  <c r="T42" i="14" s="1"/>
  <c r="W42" i="14" l="1"/>
  <c r="V42" i="14"/>
  <c r="G42" i="14"/>
  <c r="N42" i="14" s="1"/>
  <c r="F43" i="14"/>
  <c r="P42" i="14" l="1"/>
  <c r="U42" i="14"/>
  <c r="H43" i="14" l="1"/>
  <c r="O42" i="14"/>
  <c r="G43" i="14" l="1"/>
  <c r="N43" i="14" s="1"/>
  <c r="F44" i="14"/>
  <c r="T43" i="14"/>
  <c r="P43" i="14" l="1"/>
  <c r="O43" i="14" s="1"/>
  <c r="W43" i="14"/>
  <c r="V43" i="14"/>
  <c r="U43" i="14" s="1"/>
  <c r="H44" i="14" s="1"/>
  <c r="F45" i="14" l="1"/>
  <c r="G44" i="14"/>
  <c r="N44" i="14" s="1"/>
  <c r="T44" i="14"/>
  <c r="P44" i="14" l="1"/>
  <c r="V44" i="14"/>
  <c r="W44" i="14"/>
  <c r="U44" i="14" l="1"/>
  <c r="O44" i="14"/>
  <c r="H45" i="14" l="1"/>
  <c r="G45" i="14" l="1"/>
  <c r="N45" i="14" s="1"/>
  <c r="F46" i="14"/>
  <c r="T45" i="14"/>
  <c r="W45" i="14" l="1"/>
  <c r="V45" i="14"/>
  <c r="P45" i="14"/>
  <c r="O45" i="14" s="1"/>
  <c r="U45" i="14" l="1"/>
  <c r="H46" i="14" l="1"/>
  <c r="T46" i="14"/>
  <c r="W46" i="14" l="1"/>
  <c r="V46" i="14"/>
  <c r="G46" i="14"/>
  <c r="N46" i="14" s="1"/>
  <c r="F47" i="14"/>
  <c r="P46" i="14" l="1"/>
  <c r="U46" i="14"/>
  <c r="H47" i="14" s="1"/>
  <c r="T47" i="14" s="1"/>
  <c r="V47" i="14" s="1"/>
  <c r="U47" i="14" l="1"/>
  <c r="O46" i="14"/>
  <c r="W47" i="14"/>
  <c r="F48" i="14"/>
  <c r="G47" i="14"/>
  <c r="N47" i="14" l="1"/>
  <c r="H48" i="14"/>
  <c r="T48" i="14" s="1"/>
  <c r="P47" i="14"/>
  <c r="O47" i="14" s="1"/>
  <c r="W48" i="14" l="1"/>
  <c r="V48" i="14"/>
  <c r="F49" i="14"/>
  <c r="G48" i="14"/>
  <c r="N48" i="14" s="1"/>
  <c r="P48" i="14" l="1"/>
  <c r="O48" i="14" s="1"/>
  <c r="U48" i="14"/>
  <c r="H49" i="14" l="1"/>
  <c r="T49" i="14" s="1"/>
  <c r="W49" i="14" l="1"/>
  <c r="V49" i="14"/>
  <c r="G49" i="14"/>
  <c r="N49" i="14" s="1"/>
  <c r="F50" i="14"/>
  <c r="P49" i="14" l="1"/>
  <c r="U49" i="14"/>
  <c r="O49" i="14" l="1"/>
  <c r="H50" i="14"/>
  <c r="T50" i="14" s="1"/>
  <c r="W50" i="14" l="1"/>
  <c r="V50" i="14"/>
  <c r="G50" i="14"/>
  <c r="F51" i="14"/>
  <c r="N50" i="14"/>
  <c r="P50" i="14" l="1"/>
  <c r="O50" i="14" s="1"/>
  <c r="U50" i="14"/>
  <c r="H51" i="14" s="1"/>
  <c r="T51" i="14" s="1"/>
  <c r="V51" i="14" s="1"/>
  <c r="U51" i="14" l="1"/>
  <c r="W51" i="14"/>
  <c r="F52" i="14"/>
  <c r="H52" i="14" s="1"/>
  <c r="T52" i="14" s="1"/>
  <c r="G51" i="14"/>
  <c r="N51" i="14" s="1"/>
  <c r="P51" i="14" l="1"/>
  <c r="W52" i="14"/>
  <c r="V52" i="14"/>
  <c r="G52" i="14"/>
  <c r="F53" i="14"/>
  <c r="K29" i="14" l="1"/>
  <c r="U52" i="14"/>
  <c r="O51" i="14"/>
  <c r="N52" i="14" s="1"/>
  <c r="P52" i="14" s="1"/>
  <c r="O52" i="14" s="1"/>
  <c r="M29" i="14" l="1"/>
  <c r="L29" i="14" s="1"/>
  <c r="K30" i="14" s="1"/>
  <c r="Q29" i="14"/>
  <c r="H53" i="14"/>
  <c r="G53" i="14" l="1"/>
  <c r="N53" i="14" s="1"/>
  <c r="F54" i="14"/>
  <c r="T53" i="14"/>
  <c r="M30" i="14"/>
  <c r="L30" i="14" s="1"/>
  <c r="K31" i="14" s="1"/>
  <c r="Q30" i="14"/>
  <c r="M31" i="14" l="1"/>
  <c r="L31" i="14" s="1"/>
  <c r="K32" i="14" s="1"/>
  <c r="Q31" i="14"/>
  <c r="W53" i="14"/>
  <c r="V53" i="14"/>
  <c r="P53" i="14"/>
  <c r="U53" i="14" l="1"/>
  <c r="M32" i="14"/>
  <c r="L32" i="14" s="1"/>
  <c r="K33" i="14" s="1"/>
  <c r="Q32" i="14"/>
  <c r="O53" i="14"/>
  <c r="M33" i="14" l="1"/>
  <c r="L33" i="14" s="1"/>
  <c r="K34" i="14" s="1"/>
  <c r="Q33" i="14"/>
  <c r="H54" i="14"/>
  <c r="G54" i="14" l="1"/>
  <c r="N54" i="14" s="1"/>
  <c r="F55" i="14"/>
  <c r="T54" i="14"/>
  <c r="M34" i="14"/>
  <c r="L34" i="14" s="1"/>
  <c r="K35" i="14" s="1"/>
  <c r="Q34" i="14"/>
  <c r="M35" i="14" l="1"/>
  <c r="L35" i="14" s="1"/>
  <c r="K36" i="14" s="1"/>
  <c r="Q35" i="14"/>
  <c r="W54" i="14"/>
  <c r="V54" i="14"/>
  <c r="U54" i="14" s="1"/>
  <c r="P54" i="14"/>
  <c r="O54" i="14" s="1"/>
  <c r="H55" i="14" l="1"/>
  <c r="M36" i="14"/>
  <c r="L36" i="14" s="1"/>
  <c r="K37" i="14" s="1"/>
  <c r="Q36" i="14"/>
  <c r="M37" i="14" l="1"/>
  <c r="L37" i="14" s="1"/>
  <c r="K38" i="14" s="1"/>
  <c r="Q37" i="14"/>
  <c r="F56" i="14"/>
  <c r="G55" i="14"/>
  <c r="N55" i="14" s="1"/>
  <c r="T55" i="14"/>
  <c r="P55" i="14" l="1"/>
  <c r="V55" i="14"/>
  <c r="W55" i="14"/>
  <c r="M38" i="14"/>
  <c r="L38" i="14" s="1"/>
  <c r="K39" i="14" s="1"/>
  <c r="Q38" i="14"/>
  <c r="U55" i="14" l="1"/>
  <c r="M39" i="14"/>
  <c r="L39" i="14" s="1"/>
  <c r="K40" i="14" s="1"/>
  <c r="Q39" i="14"/>
  <c r="O55" i="14"/>
  <c r="M40" i="14" l="1"/>
  <c r="L40" i="14" s="1"/>
  <c r="K41" i="14" s="1"/>
  <c r="Q40" i="14"/>
  <c r="H56" i="14"/>
  <c r="G56" i="14" l="1"/>
  <c r="N56" i="14" s="1"/>
  <c r="F57" i="14"/>
  <c r="T56" i="14"/>
  <c r="M41" i="14"/>
  <c r="L41" i="14" s="1"/>
  <c r="K42" i="14" s="1"/>
  <c r="Q41" i="14"/>
  <c r="M42" i="14" l="1"/>
  <c r="L42" i="14" s="1"/>
  <c r="K43" i="14" s="1"/>
  <c r="Q42" i="14"/>
  <c r="W56" i="14"/>
  <c r="V56" i="14"/>
  <c r="P56" i="14"/>
  <c r="O56" i="14" s="1"/>
  <c r="U56" i="14" l="1"/>
  <c r="M43" i="14"/>
  <c r="L43" i="14" s="1"/>
  <c r="K44" i="14" s="1"/>
  <c r="Q43" i="14"/>
  <c r="M44" i="14" l="1"/>
  <c r="L44" i="14" s="1"/>
  <c r="K45" i="14" s="1"/>
  <c r="Q44" i="14"/>
  <c r="H57" i="14"/>
  <c r="G57" i="14" l="1"/>
  <c r="N57" i="14" s="1"/>
  <c r="F58" i="14"/>
  <c r="T57" i="14"/>
  <c r="M45" i="14"/>
  <c r="L45" i="14" s="1"/>
  <c r="K46" i="14" s="1"/>
  <c r="Q45" i="14"/>
  <c r="F59" i="14" l="1"/>
  <c r="M46" i="14"/>
  <c r="L46" i="14" s="1"/>
  <c r="K47" i="14" s="1"/>
  <c r="Q46" i="14"/>
  <c r="W57" i="14"/>
  <c r="V57" i="14"/>
  <c r="P57" i="14"/>
  <c r="U57" i="14" l="1"/>
  <c r="M47" i="14"/>
  <c r="L47" i="14" s="1"/>
  <c r="K48" i="14" s="1"/>
  <c r="Q47" i="14"/>
  <c r="O57" i="14"/>
  <c r="M48" i="14" l="1"/>
  <c r="L48" i="14" s="1"/>
  <c r="K49" i="14" s="1"/>
  <c r="Q48" i="14"/>
  <c r="H58" i="14"/>
  <c r="H59" i="14" l="1"/>
  <c r="I12" i="14" s="1"/>
  <c r="G58" i="14"/>
  <c r="T58" i="14"/>
  <c r="M49" i="14"/>
  <c r="L49" i="14" s="1"/>
  <c r="K50" i="14" s="1"/>
  <c r="Q49" i="14"/>
  <c r="M50" i="14" l="1"/>
  <c r="L50" i="14" s="1"/>
  <c r="K51" i="14" s="1"/>
  <c r="Q50" i="14"/>
  <c r="W58" i="14"/>
  <c r="T59" i="14"/>
  <c r="T60" i="14" s="1"/>
  <c r="T61" i="14" s="1"/>
  <c r="I16" i="14" s="1"/>
  <c r="F16" i="14" s="1"/>
  <c r="V58" i="14"/>
  <c r="U58" i="14" s="1"/>
  <c r="U59" i="14" s="1"/>
  <c r="G59" i="14"/>
  <c r="I11" i="14" s="1"/>
  <c r="F5" i="14" s="1"/>
  <c r="N58" i="14"/>
  <c r="N61" i="14" l="1"/>
  <c r="N59" i="14"/>
  <c r="N60" i="14" s="1"/>
  <c r="P58" i="14"/>
  <c r="O58" i="14" s="1"/>
  <c r="O59" i="14" s="1"/>
  <c r="M51" i="14"/>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<sst xmlns="http://schemas.openxmlformats.org/spreadsheetml/2006/main" count="488" uniqueCount="76">
  <si>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</si>
  <si>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</si>
  <si>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</si>
  <si>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</si>
  <si>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</si>
  <si>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</si>
  <si>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</si>
  <si>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</si>
  <si>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</si>
  <si>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</si>
  <si>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</si>
  <si>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</si>
  <si>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</si>
  <si>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</si>
  <si>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</si>
  <si>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</si>
  <si>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</si>
  <si>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</si>
  <si>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</si>
  <si>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</si>
  <si>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</si>
  <si>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</si>
  <si>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</si>
  <si>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</si>
  <si>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</si>
  <si>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</si>
  <si>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</si>
  <si>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</si>
  <si>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</si>
  <si>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</si>
  <si>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</si>
  <si>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</si>
  <si>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</si>
  <si>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</si>
  <si>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</si>
  <si>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</si>
  <si>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</si>
  <si>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</si>
  <si>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</si>
  <si>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</si>
  <si>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</si>
  <si>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</si>
  <si>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</si>
  <si>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</si>
  <si>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</si>
  <si>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</si>
  <si>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</si>
  <si>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</si>
  <si>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</si>
  <si>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</si>
  <si>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</si>
  <si>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</si>
  <si>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</si>
  <si>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</si>
  <si>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</si>
  <si>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</si>
  <si>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</si>
  <si>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</si>
  <si>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</si>
  <si>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</si>
  <si>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</si>
  <si>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</si>
  <si>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</si>
  <si>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</si>
  <si>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</si>
  <si>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</si>
  <si>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</si>
  <si>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</si>
  <si>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</si>
  <si>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</si>
  <si>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</si>
  <si>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</si>
  <si>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</si>
  <si>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</si>
  <si>
    <t xml:space="preserve">Interest calculated as per excel </t>
  </si>
  <si>
    <t xml:space="preserve">Interest posted as per system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</si>
</sst>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9"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
      <sz val="11"/>
      <color rgb="FFFF0000"/>
      <name val="Calibri"/>
      <family val="2"/>
      <scheme val="minor"/>
    </font>
    <font>
      <b/>
      <sz val="11"/>
      <color rgb="FFFF0000"/>
      <name val="Calibri"/>
      <family val="2"/>
      <scheme val="minor"/>
    </font>
  </fonts>
  <fills count="17">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28">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164" fontId="0" fillId="9" borderId="18" xfId="0" applyNumberFormat="1" applyFill="1" applyBorder="1"/>
    <xf numFmtId="165" fontId="0" fillId="16" borderId="16" xfId="0" applyNumberFormat="1" applyFill="1" applyBorder="1"/>
    <xf numFmtId="165" fontId="0" fillId="16" borderId="15" xfId="0" applyNumberFormat="1" applyFill="1" applyBorder="1"/>
    <xf numFmtId="164" fontId="0" fillId="16" borderId="8" xfId="0" applyNumberFormat="1" applyFill="1" applyBorder="1" applyAlignment="1">
      <alignment wrapText="1"/>
    </xf>
    <xf numFmtId="164" fontId="0" fillId="16" borderId="1" xfId="0" applyNumberFormat="1" applyFill="1" applyBorder="1"/>
    <xf numFmtId="164" fontId="0" fillId="16" borderId="10" xfId="0" applyNumberFormat="1" applyFill="1" applyBorder="1"/>
    <xf numFmtId="0" fontId="0" fillId="16" borderId="0" xfId="0" applyFill="1"/>
    <xf numFmtId="164" fontId="8" fillId="9" borderId="1" xfId="0" applyNumberFormat="1" applyFont="1" applyFill="1" applyBorder="1"/>
    <xf numFmtId="164" fontId="7" fillId="9" borderId="0" xfId="0" applyNumberFormat="1" applyFont="1" applyFill="1"/>
    <xf numFmtId="0" fontId="7" fillId="9" borderId="0" xfId="0" applyFont="1" applyFill="1"/>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xf numFmtId="164" fontId="0" fillId="9" borderId="0" xfId="0" applyNumberFormat="1" applyFill="1"/>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04" t="s">
        <v>50</v>
      </c>
      <c r="F2" s="105"/>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106" t="s">
        <v>40</v>
      </c>
      <c r="I6" s="107"/>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106" t="s">
        <v>41</v>
      </c>
      <c r="I10" s="107"/>
    </row>
    <row r="11" spans="2:12" x14ac:dyDescent="0.35">
      <c r="B11" s="30" t="s">
        <v>13</v>
      </c>
      <c r="C11" s="39">
        <v>44926</v>
      </c>
      <c r="E11" s="55" t="s">
        <v>30</v>
      </c>
      <c r="F11" s="56">
        <f>F4+F6+F7+F8+F9-F5</f>
        <v>0</v>
      </c>
      <c r="G11" s="61"/>
      <c r="H11" s="7" t="s">
        <v>42</v>
      </c>
      <c r="I11" s="8">
        <f>SUM(F60:G60)</f>
        <v>0</v>
      </c>
      <c r="J11" s="102" t="s">
        <v>73</v>
      </c>
    </row>
    <row r="12" spans="2:12" ht="15" thickBot="1" x14ac:dyDescent="0.4">
      <c r="B12" s="30" t="s">
        <v>14</v>
      </c>
      <c r="C12" s="40">
        <v>31</v>
      </c>
      <c r="E12" s="4"/>
      <c r="F12" s="6"/>
      <c r="H12" s="49" t="s">
        <v>43</v>
      </c>
      <c r="I12" s="50">
        <f>H60</f>
        <v>0</v>
      </c>
      <c r="J12" s="103"/>
    </row>
    <row r="13" spans="2:12" ht="15" thickBot="1" x14ac:dyDescent="0.4">
      <c r="B13" s="31" t="s">
        <v>15</v>
      </c>
      <c r="C13" s="41">
        <v>44951</v>
      </c>
      <c r="E13" s="53" t="s">
        <v>31</v>
      </c>
      <c r="F13" s="54">
        <v>5000</v>
      </c>
    </row>
    <row r="14" spans="2:12" x14ac:dyDescent="0.35">
      <c r="E14" s="51" t="s">
        <v>32</v>
      </c>
      <c r="F14" s="52">
        <f>F13-F11</f>
        <v>5000</v>
      </c>
      <c r="H14" s="106" t="s">
        <v>44</v>
      </c>
      <c r="I14" s="107"/>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106" t="s">
        <v>51</v>
      </c>
      <c r="I18" s="107"/>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106" t="s">
        <v>17</v>
      </c>
      <c r="C21" s="107"/>
      <c r="E21" s="106" t="s">
        <v>22</v>
      </c>
      <c r="F21" s="107"/>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108" t="s">
        <v>10</v>
      </c>
      <c r="E27" s="109"/>
      <c r="F27" s="109"/>
      <c r="G27" s="109"/>
      <c r="H27" s="110"/>
      <c r="I27" s="114" t="s">
        <v>47</v>
      </c>
      <c r="J27" s="115"/>
      <c r="K27" s="115"/>
      <c r="L27" s="115"/>
      <c r="M27" s="115"/>
      <c r="N27" s="115"/>
      <c r="O27" s="115"/>
      <c r="P27" s="115"/>
      <c r="Q27" s="116"/>
      <c r="R27" s="111" t="s">
        <v>48</v>
      </c>
      <c r="S27" s="112"/>
      <c r="T27" s="112"/>
      <c r="U27" s="112"/>
      <c r="V27" s="112"/>
      <c r="W27" s="113"/>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H18:I18"/>
    <mergeCell ref="D27:H27"/>
    <mergeCell ref="R27:W27"/>
    <mergeCell ref="B21:C21"/>
    <mergeCell ref="E21:F21"/>
    <mergeCell ref="I27:Q27"/>
    <mergeCell ref="J11:J12"/>
    <mergeCell ref="E2:F2"/>
    <mergeCell ref="H6:I6"/>
    <mergeCell ref="H10:I10"/>
    <mergeCell ref="H14:I14"/>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04" t="s">
        <v>50</v>
      </c>
      <c r="F2" s="105"/>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106" t="s">
        <v>40</v>
      </c>
      <c r="I6" s="107"/>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24" t="s">
        <v>41</v>
      </c>
      <c r="I10" s="125"/>
      <c r="J10" s="126"/>
    </row>
    <row r="11" spans="2:13" ht="14.5" customHeight="1" x14ac:dyDescent="0.35">
      <c r="B11" s="30" t="s">
        <v>13</v>
      </c>
      <c r="C11" s="39">
        <f>C10+C12-1</f>
        <v>44957</v>
      </c>
      <c r="E11" s="55" t="s">
        <v>30</v>
      </c>
      <c r="F11" s="56">
        <f>F4+F6+F7+F8+F9-F5</f>
        <v>0</v>
      </c>
      <c r="H11" s="72" t="s">
        <v>42</v>
      </c>
      <c r="I11" s="73">
        <f>SUM(F57:G57)</f>
        <v>0</v>
      </c>
      <c r="J11" s="102" t="s">
        <v>73</v>
      </c>
      <c r="K11" s="123"/>
    </row>
    <row r="12" spans="2:13" ht="15" thickBot="1" x14ac:dyDescent="0.4">
      <c r="B12" s="30" t="s">
        <v>14</v>
      </c>
      <c r="C12" s="40">
        <v>31</v>
      </c>
      <c r="E12" s="4"/>
      <c r="F12" s="6"/>
      <c r="H12" s="49" t="s">
        <v>43</v>
      </c>
      <c r="I12" s="50">
        <f>H57</f>
        <v>0</v>
      </c>
      <c r="J12" s="103"/>
      <c r="K12" s="123"/>
    </row>
    <row r="13" spans="2:13" ht="15" thickBot="1" x14ac:dyDescent="0.4">
      <c r="B13" s="31" t="s">
        <v>15</v>
      </c>
      <c r="C13" s="41">
        <f>C11+C3</f>
        <v>44982</v>
      </c>
      <c r="E13" s="53" t="s">
        <v>31</v>
      </c>
      <c r="F13" s="91">
        <v>2895.94</v>
      </c>
    </row>
    <row r="14" spans="2:13" x14ac:dyDescent="0.35">
      <c r="E14" s="51" t="s">
        <v>32</v>
      </c>
      <c r="F14" s="52">
        <f>F13-F11</f>
        <v>2895.94</v>
      </c>
      <c r="H14" s="106" t="s">
        <v>44</v>
      </c>
      <c r="I14" s="107"/>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106" t="s">
        <v>51</v>
      </c>
      <c r="I18" s="107"/>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106" t="s">
        <v>17</v>
      </c>
      <c r="C21" s="107"/>
      <c r="E21" s="106" t="s">
        <v>22</v>
      </c>
      <c r="F21" s="107"/>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20" t="s">
        <v>10</v>
      </c>
      <c r="E27" s="120"/>
      <c r="F27" s="120"/>
      <c r="G27" s="120"/>
      <c r="H27" s="120"/>
      <c r="I27" s="119" t="s">
        <v>47</v>
      </c>
      <c r="J27" s="119"/>
      <c r="K27" s="119"/>
      <c r="L27" s="119"/>
      <c r="M27" s="119"/>
      <c r="N27" s="119"/>
      <c r="O27" s="119"/>
      <c r="P27" s="119"/>
      <c r="Q27" s="119"/>
      <c r="R27" s="117" t="s">
        <v>48</v>
      </c>
      <c r="S27" s="117"/>
      <c r="T27" s="117"/>
      <c r="U27" s="117"/>
      <c r="V27" s="117"/>
      <c r="W27" s="11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21" t="s">
        <v>49</v>
      </c>
      <c r="C57" s="122"/>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H53" zoomScale="63" zoomScaleNormal="66" workbookViewId="0">
      <selection activeCell="J30" sqref="J30"/>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4" t="s">
        <v>50</v>
      </c>
      <c r="F2" s="105"/>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500</v>
      </c>
      <c r="H6" s="106" t="s">
        <v>40</v>
      </c>
      <c r="I6" s="107"/>
    </row>
    <row r="7" spans="2:12" ht="29" x14ac:dyDescent="0.35">
      <c r="B7" s="30" t="s">
        <v>6</v>
      </c>
      <c r="C7" s="40">
        <v>31</v>
      </c>
      <c r="E7" s="34" t="s">
        <v>27</v>
      </c>
      <c r="F7" s="35">
        <f>R60</f>
        <v>500</v>
      </c>
      <c r="H7" s="7" t="s">
        <v>37</v>
      </c>
      <c r="I7" s="8">
        <f>J60</f>
        <v>40</v>
      </c>
      <c r="L7" s="61"/>
    </row>
    <row r="8" spans="2:12" ht="29.5" thickBot="1" x14ac:dyDescent="0.4">
      <c r="B8" s="31" t="s">
        <v>7</v>
      </c>
      <c r="C8" s="41">
        <f>C6+C3</f>
        <v>44982</v>
      </c>
      <c r="E8" s="34" t="s">
        <v>28</v>
      </c>
      <c r="F8" s="35">
        <f>SUM(I7:I8)</f>
        <v>40</v>
      </c>
      <c r="H8" s="49" t="s">
        <v>38</v>
      </c>
      <c r="I8" s="50">
        <f>S60</f>
        <v>0</v>
      </c>
      <c r="L8" s="61"/>
    </row>
    <row r="9" spans="2:12" ht="29.5" customHeight="1" thickBot="1" x14ac:dyDescent="0.4">
      <c r="B9"/>
      <c r="C9" s="3"/>
      <c r="E9" s="34" t="s">
        <v>29</v>
      </c>
      <c r="F9" s="35">
        <f>SUM(I15:I16)</f>
        <v>9.1164848628640414</v>
      </c>
      <c r="L9" s="61"/>
    </row>
    <row r="10" spans="2:12" ht="15" thickBot="1" x14ac:dyDescent="0.4">
      <c r="B10" s="29" t="s">
        <v>12</v>
      </c>
      <c r="C10" s="38">
        <f>'Feb Statement'!C16</f>
        <v>44958</v>
      </c>
      <c r="E10" s="4"/>
      <c r="F10" s="6"/>
      <c r="H10" s="124" t="s">
        <v>41</v>
      </c>
      <c r="I10" s="125"/>
      <c r="J10" s="126"/>
    </row>
    <row r="11" spans="2:12" ht="14.5" customHeight="1" x14ac:dyDescent="0.35">
      <c r="B11" s="30" t="s">
        <v>13</v>
      </c>
      <c r="C11" s="39">
        <f>C10+C12-1</f>
        <v>44985</v>
      </c>
      <c r="E11" s="55" t="s">
        <v>30</v>
      </c>
      <c r="F11" s="56">
        <f>F4+F6+F7+F8+F9-F5</f>
        <v>1049.1164848628641</v>
      </c>
      <c r="H11" s="72" t="s">
        <v>42</v>
      </c>
      <c r="I11" s="73">
        <f>SUM(F60:G60)</f>
        <v>0</v>
      </c>
      <c r="J11" s="102" t="s">
        <v>73</v>
      </c>
      <c r="K11" s="123"/>
    </row>
    <row r="12" spans="2:12" ht="15" thickBot="1" x14ac:dyDescent="0.4">
      <c r="B12" s="30" t="s">
        <v>14</v>
      </c>
      <c r="C12" s="40">
        <v>28</v>
      </c>
      <c r="E12" s="4"/>
      <c r="F12" s="6"/>
      <c r="H12" s="49" t="s">
        <v>43</v>
      </c>
      <c r="I12" s="50">
        <f>H60</f>
        <v>0</v>
      </c>
      <c r="J12" s="103"/>
      <c r="K12" s="123"/>
    </row>
    <row r="13" spans="2:12" ht="15" thickBot="1" x14ac:dyDescent="0.4">
      <c r="B13" s="31" t="s">
        <v>15</v>
      </c>
      <c r="C13" s="41">
        <v>45010</v>
      </c>
      <c r="E13" s="53" t="s">
        <v>31</v>
      </c>
      <c r="F13" s="54">
        <v>0</v>
      </c>
    </row>
    <row r="14" spans="2:12" x14ac:dyDescent="0.35">
      <c r="E14" s="51" t="s">
        <v>32</v>
      </c>
      <c r="F14" s="52">
        <f>F13-F11</f>
        <v>-1049.1164848628641</v>
      </c>
      <c r="H14" s="106" t="s">
        <v>44</v>
      </c>
      <c r="I14" s="107"/>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-509.11648486286401</v>
      </c>
      <c r="H16" s="49" t="s">
        <v>43</v>
      </c>
      <c r="I16" s="50">
        <f>T62</f>
        <v>9.1164848628640414</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106" t="s">
        <v>51</v>
      </c>
      <c r="I18" s="107"/>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106" t="s">
        <v>17</v>
      </c>
      <c r="C21" s="107"/>
      <c r="E21" s="106" t="s">
        <v>22</v>
      </c>
      <c r="F21" s="107"/>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20" t="s">
        <v>10</v>
      </c>
      <c r="E27" s="120"/>
      <c r="F27" s="120"/>
      <c r="G27" s="120"/>
      <c r="H27" s="120"/>
      <c r="I27" s="119" t="s">
        <v>47</v>
      </c>
      <c r="J27" s="119"/>
      <c r="K27" s="119"/>
      <c r="L27" s="119"/>
      <c r="M27" s="119"/>
      <c r="N27" s="119"/>
      <c r="O27" s="119"/>
      <c r="P27" s="119"/>
      <c r="Q27" s="119"/>
      <c r="R27" s="117" t="s">
        <v>48</v>
      </c>
      <c r="S27" s="117"/>
      <c r="T27" s="117"/>
      <c r="U27" s="117"/>
      <c r="V27" s="117"/>
      <c r="W27" s="11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IF(SUM($F$29:$F$53)&gt;=$I$19,0,$I$19+'Feb Statement'!N59-$F$29)</f>
        <v>0</v>
      </c>
      <c r="L29" s="12">
        <f>M29</f>
        <v>0</v>
      </c>
      <c r="M29" s="12">
        <f>K29*$F$22</f>
        <v>0</v>
      </c>
      <c r="N29" s="12">
        <f>I29+J29-G29</f>
        <v>40</v>
      </c>
      <c r="O29" s="12">
        <f>P29</f>
        <v>2.4646575342465754E-2</v>
      </c>
      <c r="P29" s="12">
        <f>N29*$F$22</f>
        <v>2.4646575342465754E-2</v>
      </c>
      <c r="Q29" s="12">
        <f>K29+N29</f>
        <v>40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40.020000000000003</v>
      </c>
      <c r="O30" s="13">
        <f>P30-P29</f>
        <v>2.5353424657534249E-2</v>
      </c>
      <c r="P30" s="13">
        <f>ROUND(P29+N30*$F$22,2)</f>
        <v>0.05</v>
      </c>
      <c r="Q30" s="13">
        <f>ROUND(N30+K30-M29-P29,2)</f>
        <v>40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40.049999999999997</v>
      </c>
      <c r="O31" s="13">
        <f t="shared" ref="O31:O59" si="9">P31-P30</f>
        <v>2.0000000000000004E-2</v>
      </c>
      <c r="P31" s="13">
        <f t="shared" ref="P31:P58" si="10">ROUND(P30+N31*$F$22,2)</f>
        <v>7.0000000000000007E-2</v>
      </c>
      <c r="Q31" s="13">
        <f t="shared" ref="Q31:Q59" si="11">ROUND(N31+K31-M30-P30,2)</f>
        <v>40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v>
      </c>
      <c r="U37" s="17">
        <f t="shared" si="4"/>
        <v>0</v>
      </c>
      <c r="V37" s="18">
        <f t="shared" si="12"/>
        <v>0</v>
      </c>
      <c r="W37" s="16">
        <f t="shared" si="13"/>
        <v>0</v>
      </c>
    </row>
    <row r="38" spans="2:23" s="90" customFormat="1" x14ac:dyDescent="0.35">
      <c r="B38" s="84">
        <f t="shared" si="0"/>
        <v>44994</v>
      </c>
      <c r="C38" s="85">
        <f t="shared" si="1"/>
        <v>44995</v>
      </c>
      <c r="D38" s="86"/>
      <c r="E38" s="87">
        <f>IF(SUM(E$29:E37)=$I$24,0,IF((D38&lt;=$I$24-SUM(E$29:E37)),D38,$I$24-SUM(E$29:E37)))</f>
        <v>0</v>
      </c>
      <c r="F38" s="87">
        <f>IF($I$19&gt;0,IF(SUM(F$29:F37)&lt;$I$19,IF((D38-E38)&gt;0,IF($I$20=0,IF($I$19-SUM(F$29:F37)&gt;D38,D38,$I$19-SUM(F$29:F37)),E38),D38),0)+IF($I$20&gt;0,IF(D38-$I$20-SUM($H$29:H37)-IF($I$19=0,0,E38)&gt;0,IF(D38-$I$20-SUM($H$29:H37)-IF($I$19=0,0,E38)&gt;$I$19,$I$19-SUM(F$29:F37)-E38,D38-$I$20-SUM($H$29:H37)-IF($I$19=0,0,E38)),0),0),0)</f>
        <v>0</v>
      </c>
      <c r="G38" s="87">
        <f t="shared" si="2"/>
        <v>0</v>
      </c>
      <c r="H38" s="87">
        <f t="shared" si="5"/>
        <v>0</v>
      </c>
      <c r="I38" s="87">
        <v>500</v>
      </c>
      <c r="J38" s="87"/>
      <c r="K38" s="87">
        <f t="shared" si="6"/>
        <v>0</v>
      </c>
      <c r="L38" s="87">
        <f t="shared" si="7"/>
        <v>0</v>
      </c>
      <c r="M38" s="87">
        <f t="shared" si="8"/>
        <v>0</v>
      </c>
      <c r="N38" s="87">
        <f t="shared" si="3"/>
        <v>540.19000000000005</v>
      </c>
      <c r="O38" s="87">
        <f t="shared" si="9"/>
        <v>0.33</v>
      </c>
      <c r="P38" s="87">
        <f t="shared" si="10"/>
        <v>0.52</v>
      </c>
      <c r="Q38" s="87">
        <f t="shared" si="11"/>
        <v>540</v>
      </c>
      <c r="R38" s="87">
        <v>500</v>
      </c>
      <c r="S38" s="87"/>
      <c r="T38" s="87">
        <f t="shared" si="14"/>
        <v>500</v>
      </c>
      <c r="U38" s="87">
        <f t="shared" si="4"/>
        <v>0.41082191780821919</v>
      </c>
      <c r="V38" s="88">
        <f t="shared" si="12"/>
        <v>0.41082191780821919</v>
      </c>
      <c r="W38" s="89">
        <f t="shared" si="13"/>
        <v>500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540.52</v>
      </c>
      <c r="O39" s="13">
        <f>P39-P38</f>
        <v>0.32999999999999996</v>
      </c>
      <c r="P39" s="13">
        <f t="shared" si="10"/>
        <v>0.85</v>
      </c>
      <c r="Q39" s="13">
        <f t="shared" si="11"/>
        <v>540</v>
      </c>
      <c r="R39" s="17"/>
      <c r="S39" s="17"/>
      <c r="T39" s="17">
        <f t="shared" si="14"/>
        <v>500.41082191780822</v>
      </c>
      <c r="U39" s="17">
        <f t="shared" si="4"/>
        <v>0.41115946710452245</v>
      </c>
      <c r="V39" s="18">
        <f t="shared" si="12"/>
        <v>0.82198138491274164</v>
      </c>
      <c r="W39" s="16">
        <f t="shared" si="13"/>
        <v>500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540.85</v>
      </c>
      <c r="O40" s="13">
        <f t="shared" si="9"/>
        <v>0.32999999999999996</v>
      </c>
      <c r="P40" s="13">
        <f t="shared" si="10"/>
        <v>1.18</v>
      </c>
      <c r="Q40" s="13">
        <f t="shared" si="11"/>
        <v>540</v>
      </c>
      <c r="R40" s="17"/>
      <c r="S40" s="17"/>
      <c r="T40" s="17">
        <f t="shared" si="14"/>
        <v>500.82198138491276</v>
      </c>
      <c r="U40" s="17">
        <f t="shared" si="4"/>
        <v>0.4114972937461242</v>
      </c>
      <c r="V40" s="18">
        <f t="shared" si="12"/>
        <v>1.2334786786588658</v>
      </c>
      <c r="W40" s="16">
        <f t="shared" si="13"/>
        <v>500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541.17999999999995</v>
      </c>
      <c r="O41" s="13">
        <f t="shared" si="9"/>
        <v>0.33000000000000007</v>
      </c>
      <c r="P41" s="13">
        <f t="shared" si="10"/>
        <v>1.51</v>
      </c>
      <c r="Q41" s="13">
        <f t="shared" si="11"/>
        <v>540</v>
      </c>
      <c r="R41" s="17"/>
      <c r="S41" s="17"/>
      <c r="T41" s="17">
        <f t="shared" si="14"/>
        <v>501.23347867865891</v>
      </c>
      <c r="U41" s="17">
        <f t="shared" si="4"/>
        <v>0.41183539796090374</v>
      </c>
      <c r="V41" s="18">
        <f t="shared" si="12"/>
        <v>1.6453140766197696</v>
      </c>
      <c r="W41" s="16">
        <f t="shared" si="13"/>
        <v>500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541.51</v>
      </c>
      <c r="O42" s="13">
        <f t="shared" si="9"/>
        <v>0.33000000000000007</v>
      </c>
      <c r="P42" s="13">
        <f t="shared" si="10"/>
        <v>1.84</v>
      </c>
      <c r="Q42" s="13">
        <f t="shared" si="11"/>
        <v>540</v>
      </c>
      <c r="R42" s="17"/>
      <c r="S42" s="17"/>
      <c r="T42" s="17">
        <f>T41+U41+R42+S42-H42</f>
        <v>501.6453140766198</v>
      </c>
      <c r="U42" s="17">
        <f>V42-V41</f>
        <v>0.41217377997692672</v>
      </c>
      <c r="V42" s="18">
        <f t="shared" si="12"/>
        <v>2.0574878565966963</v>
      </c>
      <c r="W42" s="16">
        <f t="shared" si="13"/>
        <v>500</v>
      </c>
    </row>
    <row r="43" spans="2:23" s="90" customFormat="1" x14ac:dyDescent="0.35">
      <c r="B43" s="84">
        <f t="shared" si="0"/>
        <v>44999</v>
      </c>
      <c r="C43" s="85">
        <f t="shared" si="1"/>
        <v>45000</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0</v>
      </c>
      <c r="L43" s="87">
        <f t="shared" si="7"/>
        <v>0</v>
      </c>
      <c r="M43" s="87">
        <f t="shared" si="8"/>
        <v>0</v>
      </c>
      <c r="N43" s="87">
        <f t="shared" si="3"/>
        <v>541.84</v>
      </c>
      <c r="O43" s="87">
        <f t="shared" si="9"/>
        <v>0.32999999999999985</v>
      </c>
      <c r="P43" s="87">
        <f t="shared" si="10"/>
        <v>2.17</v>
      </c>
      <c r="Q43" s="87">
        <f t="shared" si="11"/>
        <v>540</v>
      </c>
      <c r="R43" s="87"/>
      <c r="S43" s="87"/>
      <c r="T43" s="87">
        <f>T42+U42+R43+S43-H43</f>
        <v>502.05748785659671</v>
      </c>
      <c r="U43" s="87">
        <f t="shared" si="4"/>
        <v>0.4125124400224478</v>
      </c>
      <c r="V43" s="88">
        <f t="shared" si="12"/>
        <v>2.4700002966191441</v>
      </c>
      <c r="W43" s="89">
        <f t="shared" si="13"/>
        <v>500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542.16999999999996</v>
      </c>
      <c r="O44" s="13">
        <f t="shared" si="9"/>
        <v>0.33000000000000007</v>
      </c>
      <c r="P44" s="13">
        <f t="shared" si="10"/>
        <v>2.5</v>
      </c>
      <c r="Q44" s="13">
        <f t="shared" si="11"/>
        <v>540</v>
      </c>
      <c r="R44" s="17"/>
      <c r="S44" s="17"/>
      <c r="T44" s="17">
        <f t="shared" si="14"/>
        <v>502.47000029661916</v>
      </c>
      <c r="U44" s="17">
        <f t="shared" si="4"/>
        <v>0.41285137832590735</v>
      </c>
      <c r="V44" s="18">
        <f t="shared" si="12"/>
        <v>2.8828516749450515</v>
      </c>
      <c r="W44" s="16">
        <f t="shared" si="13"/>
        <v>500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542.5</v>
      </c>
      <c r="O45" s="13">
        <f t="shared" si="9"/>
        <v>0.33000000000000007</v>
      </c>
      <c r="P45" s="13">
        <f t="shared" si="10"/>
        <v>2.83</v>
      </c>
      <c r="Q45" s="13">
        <f t="shared" si="11"/>
        <v>540</v>
      </c>
      <c r="R45" s="17"/>
      <c r="S45" s="17"/>
      <c r="T45" s="17">
        <f t="shared" si="14"/>
        <v>502.88285167494507</v>
      </c>
      <c r="U45" s="17">
        <f t="shared" si="4"/>
        <v>0.41319059511593448</v>
      </c>
      <c r="V45" s="18">
        <f t="shared" si="12"/>
        <v>3.2960422700609859</v>
      </c>
      <c r="W45" s="16">
        <f>IF(T45=0,0,W44+R45+S45-H45)</f>
        <v>500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542.83000000000004</v>
      </c>
      <c r="O46" s="13">
        <f t="shared" si="9"/>
        <v>0.33000000000000007</v>
      </c>
      <c r="P46" s="13">
        <f t="shared" si="10"/>
        <v>3.16</v>
      </c>
      <c r="Q46" s="13">
        <f t="shared" si="11"/>
        <v>540</v>
      </c>
      <c r="R46" s="17"/>
      <c r="S46" s="17"/>
      <c r="T46" s="17">
        <f t="shared" si="14"/>
        <v>503.29604227006098</v>
      </c>
      <c r="U46" s="17">
        <f t="shared" si="4"/>
        <v>0.41353009062134616</v>
      </c>
      <c r="V46" s="18">
        <f t="shared" si="12"/>
        <v>3.7095723606823321</v>
      </c>
      <c r="W46" s="16">
        <f>IF(T46=0,0,W45+R46+S46-H46)</f>
        <v>500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543.16</v>
      </c>
      <c r="O47" s="13">
        <f t="shared" si="9"/>
        <v>0.33000000000000007</v>
      </c>
      <c r="P47" s="13">
        <f t="shared" si="10"/>
        <v>3.49</v>
      </c>
      <c r="Q47" s="13">
        <f t="shared" si="11"/>
        <v>540</v>
      </c>
      <c r="R47" s="17"/>
      <c r="S47" s="17"/>
      <c r="T47" s="17">
        <f t="shared" si="14"/>
        <v>503.70957236068233</v>
      </c>
      <c r="U47" s="17">
        <f t="shared" si="4"/>
        <v>0.41386986507114676</v>
      </c>
      <c r="V47" s="18">
        <f t="shared" si="12"/>
        <v>4.1234422257534789</v>
      </c>
      <c r="W47" s="16">
        <f t="shared" si="13"/>
        <v>500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543.49</v>
      </c>
      <c r="O48" s="13">
        <f t="shared" si="9"/>
        <v>0.32999999999999963</v>
      </c>
      <c r="P48" s="13">
        <f t="shared" si="10"/>
        <v>3.82</v>
      </c>
      <c r="Q48" s="13">
        <f t="shared" si="11"/>
        <v>540</v>
      </c>
      <c r="R48" s="17"/>
      <c r="S48" s="17"/>
      <c r="T48" s="17">
        <f t="shared" si="14"/>
        <v>504.12344222575348</v>
      </c>
      <c r="U48" s="17">
        <f t="shared" si="4"/>
        <v>0.41420991869452983</v>
      </c>
      <c r="V48" s="18">
        <f t="shared" si="12"/>
        <v>4.5376521444480087</v>
      </c>
      <c r="W48" s="16">
        <f t="shared" si="13"/>
        <v>500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543.82000000000005</v>
      </c>
      <c r="O49" s="13">
        <f t="shared" si="9"/>
        <v>0.3400000000000003</v>
      </c>
      <c r="P49" s="13">
        <f t="shared" si="10"/>
        <v>4.16</v>
      </c>
      <c r="Q49" s="13">
        <f t="shared" si="11"/>
        <v>540</v>
      </c>
      <c r="R49" s="17"/>
      <c r="S49" s="17"/>
      <c r="T49" s="17">
        <f t="shared" si="14"/>
        <v>504.53765214444803</v>
      </c>
      <c r="U49" s="17">
        <f t="shared" si="4"/>
        <v>0.41455025172087634</v>
      </c>
      <c r="V49" s="18">
        <f t="shared" si="12"/>
        <v>4.952202396168885</v>
      </c>
      <c r="W49" s="16">
        <f t="shared" si="13"/>
        <v>500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544.16</v>
      </c>
      <c r="O50" s="13">
        <f t="shared" si="9"/>
        <v>0.33999999999999986</v>
      </c>
      <c r="P50" s="13">
        <f t="shared" si="10"/>
        <v>4.5</v>
      </c>
      <c r="Q50" s="13">
        <f t="shared" si="11"/>
        <v>540</v>
      </c>
      <c r="R50" s="17"/>
      <c r="S50" s="17"/>
      <c r="T50" s="17">
        <f t="shared" si="14"/>
        <v>504.9522023961689</v>
      </c>
      <c r="U50" s="17">
        <f t="shared" si="4"/>
        <v>0.41489086437975597</v>
      </c>
      <c r="V50" s="18">
        <f t="shared" si="12"/>
        <v>5.367093260548641</v>
      </c>
      <c r="W50" s="16">
        <f t="shared" si="13"/>
        <v>500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544.5</v>
      </c>
      <c r="O51" s="13">
        <f t="shared" si="9"/>
        <v>0.33999999999999986</v>
      </c>
      <c r="P51" s="13">
        <f t="shared" si="10"/>
        <v>4.84</v>
      </c>
      <c r="Q51" s="13">
        <f t="shared" si="11"/>
        <v>540</v>
      </c>
      <c r="R51" s="17"/>
      <c r="S51" s="17"/>
      <c r="T51" s="17">
        <f t="shared" si="14"/>
        <v>505.36709326054864</v>
      </c>
      <c r="U51" s="17">
        <f t="shared" si="4"/>
        <v>0.41523175690092717</v>
      </c>
      <c r="V51" s="18">
        <f t="shared" si="12"/>
        <v>5.7823250174495682</v>
      </c>
      <c r="W51" s="16">
        <f t="shared" si="13"/>
        <v>500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544.84</v>
      </c>
      <c r="O52" s="13">
        <f t="shared" si="9"/>
        <v>0.33999999999999986</v>
      </c>
      <c r="P52" s="13">
        <f t="shared" si="10"/>
        <v>5.18</v>
      </c>
      <c r="Q52" s="13">
        <f t="shared" si="11"/>
        <v>540</v>
      </c>
      <c r="R52" s="17"/>
      <c r="S52" s="17"/>
      <c r="T52" s="17">
        <f t="shared" si="14"/>
        <v>505.78232501744958</v>
      </c>
      <c r="U52" s="17">
        <f t="shared" si="4"/>
        <v>0.41557292951433755</v>
      </c>
      <c r="V52" s="18">
        <f t="shared" si="12"/>
        <v>6.1978979469639057</v>
      </c>
      <c r="W52" s="16">
        <f t="shared" si="13"/>
        <v>500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545.17999999999995</v>
      </c>
      <c r="O53" s="13">
        <f t="shared" si="9"/>
        <v>0.33999999999999986</v>
      </c>
      <c r="P53" s="13">
        <f t="shared" si="10"/>
        <v>5.52</v>
      </c>
      <c r="Q53" s="13">
        <f t="shared" si="11"/>
        <v>540</v>
      </c>
      <c r="R53" s="17"/>
      <c r="S53" s="17"/>
      <c r="T53" s="17">
        <f t="shared" si="14"/>
        <v>506.19789794696391</v>
      </c>
      <c r="U53" s="17">
        <f t="shared" si="4"/>
        <v>0.41591438245012213</v>
      </c>
      <c r="V53" s="18">
        <f t="shared" si="12"/>
        <v>6.6138123294140279</v>
      </c>
      <c r="W53" s="16">
        <f t="shared" si="13"/>
        <v>500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545.52</v>
      </c>
      <c r="O54" s="13">
        <f t="shared" si="9"/>
        <v>0.34000000000000075</v>
      </c>
      <c r="P54" s="13">
        <f t="shared" si="10"/>
        <v>5.86</v>
      </c>
      <c r="Q54" s="13">
        <f t="shared" si="11"/>
        <v>540</v>
      </c>
      <c r="R54" s="17"/>
      <c r="S54" s="17"/>
      <c r="T54" s="17">
        <f t="shared" si="14"/>
        <v>506.61381232941403</v>
      </c>
      <c r="U54" s="17">
        <f t="shared" si="4"/>
        <v>0.41625611593860601</v>
      </c>
      <c r="V54" s="18">
        <f t="shared" si="12"/>
        <v>7.0300684453526339</v>
      </c>
      <c r="W54" s="16">
        <f t="shared" si="13"/>
        <v>500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545.86</v>
      </c>
      <c r="O55" s="13">
        <f t="shared" si="9"/>
        <v>0.33999999999999986</v>
      </c>
      <c r="P55" s="13">
        <f t="shared" si="10"/>
        <v>6.2</v>
      </c>
      <c r="Q55" s="13">
        <f t="shared" si="11"/>
        <v>540</v>
      </c>
      <c r="R55" s="17"/>
      <c r="S55" s="17"/>
      <c r="T55" s="17">
        <f t="shared" si="14"/>
        <v>507.03006844535264</v>
      </c>
      <c r="U55" s="17">
        <f t="shared" si="4"/>
        <v>0.41659813021030523</v>
      </c>
      <c r="V55" s="18">
        <f t="shared" si="12"/>
        <v>7.4466665755629391</v>
      </c>
      <c r="W55" s="16">
        <f t="shared" si="13"/>
        <v>500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546.20000000000005</v>
      </c>
      <c r="O56" s="13">
        <f t="shared" si="9"/>
        <v>0.33999999999999986</v>
      </c>
      <c r="P56" s="13">
        <f t="shared" si="10"/>
        <v>6.54</v>
      </c>
      <c r="Q56" s="13">
        <f t="shared" si="11"/>
        <v>540</v>
      </c>
      <c r="R56" s="17"/>
      <c r="S56" s="17"/>
      <c r="T56" s="17">
        <f t="shared" si="14"/>
        <v>507.44666657556297</v>
      </c>
      <c r="U56" s="17">
        <f t="shared" si="4"/>
        <v>0.41694042549592147</v>
      </c>
      <c r="V56" s="18">
        <f t="shared" si="12"/>
        <v>7.8636070010588606</v>
      </c>
      <c r="W56" s="16">
        <f t="shared" si="13"/>
        <v>500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546.54</v>
      </c>
      <c r="O57" s="13">
        <f t="shared" si="9"/>
        <v>0.33999999999999986</v>
      </c>
      <c r="P57" s="13">
        <f t="shared" si="10"/>
        <v>6.88</v>
      </c>
      <c r="Q57" s="13">
        <f t="shared" si="11"/>
        <v>540</v>
      </c>
      <c r="R57" s="17"/>
      <c r="S57" s="17"/>
      <c r="T57" s="17">
        <f t="shared" si="14"/>
        <v>507.86360700105888</v>
      </c>
      <c r="U57" s="17">
        <f t="shared" si="4"/>
        <v>0.41728300202634916</v>
      </c>
      <c r="V57" s="18">
        <f t="shared" si="12"/>
        <v>8.2808900030852097</v>
      </c>
      <c r="W57" s="16">
        <f t="shared" si="13"/>
        <v>500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546.88</v>
      </c>
      <c r="O58" s="13">
        <f t="shared" si="9"/>
        <v>0.33999999999999986</v>
      </c>
      <c r="P58" s="13">
        <f t="shared" si="10"/>
        <v>7.22</v>
      </c>
      <c r="Q58" s="13">
        <f t="shared" si="11"/>
        <v>540</v>
      </c>
      <c r="R58" s="17"/>
      <c r="S58" s="17"/>
      <c r="T58" s="17">
        <f t="shared" si="14"/>
        <v>508.28089000308523</v>
      </c>
      <c r="U58" s="17">
        <f t="shared" si="4"/>
        <v>0.41762586003267188</v>
      </c>
      <c r="V58" s="18">
        <f t="shared" si="12"/>
        <v>8.6985158631178816</v>
      </c>
      <c r="W58" s="16">
        <f t="shared" si="13"/>
        <v>500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547.22</v>
      </c>
      <c r="O59" s="13">
        <f t="shared" si="9"/>
        <v>0.33999999999999986</v>
      </c>
      <c r="P59" s="13">
        <f>ROUND(P58+N59*$F$22,2)</f>
        <v>7.56</v>
      </c>
      <c r="Q59" s="13">
        <f t="shared" si="11"/>
        <v>540</v>
      </c>
      <c r="R59" s="17"/>
      <c r="S59" s="17"/>
      <c r="T59" s="17">
        <f t="shared" si="14"/>
        <v>508.6985158631179</v>
      </c>
      <c r="U59" s="17">
        <f t="shared" si="4"/>
        <v>0.41796899974616153</v>
      </c>
      <c r="V59" s="18">
        <f t="shared" si="12"/>
        <v>9.1164848628640431</v>
      </c>
      <c r="W59" s="16">
        <f t="shared" si="13"/>
        <v>500</v>
      </c>
    </row>
    <row r="60" spans="2:23" ht="15" thickBot="1" x14ac:dyDescent="0.4">
      <c r="B60" s="121" t="s">
        <v>49</v>
      </c>
      <c r="C60" s="122"/>
      <c r="D60" s="67">
        <f t="shared" ref="D60:L60" si="15">SUM(D29:D59)</f>
        <v>0</v>
      </c>
      <c r="E60" s="21">
        <f t="shared" si="15"/>
        <v>0</v>
      </c>
      <c r="F60" s="21">
        <f t="shared" si="15"/>
        <v>0</v>
      </c>
      <c r="G60" s="21">
        <f t="shared" si="15"/>
        <v>0</v>
      </c>
      <c r="H60" s="22">
        <f t="shared" si="15"/>
        <v>0</v>
      </c>
      <c r="I60" s="20">
        <f t="shared" si="15"/>
        <v>500</v>
      </c>
      <c r="J60" s="21">
        <f t="shared" si="15"/>
        <v>40</v>
      </c>
      <c r="K60" s="21">
        <f t="shared" si="15"/>
        <v>0</v>
      </c>
      <c r="L60" s="74">
        <f t="shared" si="15"/>
        <v>0</v>
      </c>
      <c r="M60" s="20"/>
      <c r="N60" s="21">
        <f>SUM(N29:N59)</f>
        <v>12321.75</v>
      </c>
      <c r="O60" s="21">
        <f>SUM(O29:O59)</f>
        <v>7.56</v>
      </c>
      <c r="P60" s="20"/>
      <c r="Q60" s="20"/>
      <c r="R60" s="22">
        <f>SUM(R29:R59)</f>
        <v>500</v>
      </c>
      <c r="S60" s="22">
        <f>SUM(S29:S59)</f>
        <v>0</v>
      </c>
      <c r="T60" s="22">
        <f>SUM(T29:T59)</f>
        <v>11095.421723725825</v>
      </c>
      <c r="U60" s="22">
        <f>SUM(U29:U59)</f>
        <v>9.1164848628640431</v>
      </c>
      <c r="V60" s="23"/>
      <c r="W60" s="23"/>
    </row>
    <row r="61" spans="2:23" ht="15" thickBot="1" x14ac:dyDescent="0.4">
      <c r="G61" s="61"/>
      <c r="J61" s="82" t="s">
        <v>71</v>
      </c>
      <c r="K61" s="82">
        <f>K60/$C$18</f>
        <v>0</v>
      </c>
      <c r="M61" s="82" t="s">
        <v>69</v>
      </c>
      <c r="N61" s="82">
        <f>N60/$C$18</f>
        <v>397.47580645161293</v>
      </c>
      <c r="O61" s="61"/>
      <c r="S61" s="82" t="s">
        <v>65</v>
      </c>
      <c r="T61" s="82">
        <f>T60/$C$18</f>
        <v>357.91682979760725</v>
      </c>
    </row>
    <row r="62" spans="2:23" ht="15" thickBot="1" x14ac:dyDescent="0.4">
      <c r="H62" s="2"/>
      <c r="J62" s="82" t="s">
        <v>72</v>
      </c>
      <c r="K62" s="82">
        <f>M59</f>
        <v>0</v>
      </c>
      <c r="M62" s="82" t="s">
        <v>70</v>
      </c>
      <c r="N62" s="82">
        <f>IF(ROUND(N59,2)=0,0,N61*$F$22*$C$18)</f>
        <v>7.5922234931506853</v>
      </c>
      <c r="S62" s="82" t="s">
        <v>64</v>
      </c>
      <c r="T62" s="82">
        <f>T61*$F$23*$C$18</f>
        <v>9.1164848628640414</v>
      </c>
    </row>
    <row r="63" spans="2:23" x14ac:dyDescent="0.35">
      <c r="M63" s="61"/>
      <c r="N63" s="61"/>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6"/>
  <sheetViews>
    <sheetView topLeftCell="J35" zoomScale="66" zoomScaleNormal="66" workbookViewId="0">
      <selection activeCell="O69" sqref="O69"/>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41.08984375"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4" t="s">
        <v>50</v>
      </c>
      <c r="F2" s="105"/>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500</v>
      </c>
      <c r="H6" s="106" t="s">
        <v>40</v>
      </c>
      <c r="I6" s="107"/>
    </row>
    <row r="7" spans="2:12" ht="29" x14ac:dyDescent="0.35">
      <c r="B7" s="30" t="s">
        <v>6</v>
      </c>
      <c r="C7" s="40">
        <v>28</v>
      </c>
      <c r="E7" s="34" t="s">
        <v>27</v>
      </c>
      <c r="F7" s="35">
        <f>R59</f>
        <v>500</v>
      </c>
      <c r="H7" s="7" t="s">
        <v>37</v>
      </c>
      <c r="I7" s="8">
        <f>J59</f>
        <v>0</v>
      </c>
      <c r="L7" s="61"/>
    </row>
    <row r="8" spans="2:12" ht="29.5" thickBot="1" x14ac:dyDescent="0.4">
      <c r="B8" s="31" t="s">
        <v>7</v>
      </c>
      <c r="C8" s="41">
        <f>C6+C3</f>
        <v>45010</v>
      </c>
      <c r="E8" s="34" t="s">
        <v>28</v>
      </c>
      <c r="F8" s="35">
        <f>SUM(I7:I8)</f>
        <v>0</v>
      </c>
      <c r="H8" s="49" t="s">
        <v>38</v>
      </c>
      <c r="I8" s="50">
        <f>S59</f>
        <v>0</v>
      </c>
      <c r="L8" s="61"/>
    </row>
    <row r="9" spans="2:12" ht="29.5" customHeight="1" thickBot="1" x14ac:dyDescent="0.4">
      <c r="B9"/>
      <c r="C9" s="3"/>
      <c r="E9" s="34" t="s">
        <v>29</v>
      </c>
      <c r="F9" s="35">
        <f>SUM(I15:I16)</f>
        <v>31.468640292566192</v>
      </c>
      <c r="L9" s="61"/>
    </row>
    <row r="10" spans="2:12" ht="15" thickBot="1" x14ac:dyDescent="0.4">
      <c r="B10" s="29" t="s">
        <v>12</v>
      </c>
      <c r="C10" s="38">
        <v>44986</v>
      </c>
      <c r="E10" s="4"/>
      <c r="F10" s="6"/>
      <c r="H10" s="124" t="s">
        <v>41</v>
      </c>
      <c r="I10" s="125"/>
      <c r="J10" s="126"/>
    </row>
    <row r="11" spans="2:12" ht="14.5" customHeight="1" x14ac:dyDescent="0.35">
      <c r="B11" s="30" t="s">
        <v>13</v>
      </c>
      <c r="C11" s="39">
        <f>C10+C12-1</f>
        <v>45016</v>
      </c>
      <c r="E11" s="55" t="s">
        <v>30</v>
      </c>
      <c r="F11" s="56">
        <f>F4+F6+F7+F8+F9-F5</f>
        <v>1031.4686402925663</v>
      </c>
      <c r="H11" s="72" t="s">
        <v>42</v>
      </c>
      <c r="I11" s="73">
        <f>SUM(F59:G59)</f>
        <v>0</v>
      </c>
      <c r="J11" s="102" t="s">
        <v>73</v>
      </c>
      <c r="K11" s="123"/>
    </row>
    <row r="12" spans="2:12" ht="15" thickBot="1" x14ac:dyDescent="0.4">
      <c r="B12" s="30" t="s">
        <v>14</v>
      </c>
      <c r="C12" s="40">
        <v>31</v>
      </c>
      <c r="E12" s="4"/>
      <c r="F12" s="6"/>
      <c r="H12" s="49" t="s">
        <v>43</v>
      </c>
      <c r="I12" s="50">
        <f>H59</f>
        <v>0</v>
      </c>
      <c r="J12" s="103"/>
      <c r="K12" s="123"/>
    </row>
    <row r="13" spans="2:12" ht="15" thickBot="1" x14ac:dyDescent="0.4">
      <c r="B13" s="31" t="s">
        <v>15</v>
      </c>
      <c r="C13" s="41">
        <v>45041</v>
      </c>
      <c r="E13" s="53" t="s">
        <v>31</v>
      </c>
      <c r="F13" s="54">
        <v>50000</v>
      </c>
    </row>
    <row r="14" spans="2:12" x14ac:dyDescent="0.35">
      <c r="E14" s="51" t="s">
        <v>32</v>
      </c>
      <c r="F14" s="52">
        <f>F13-F11</f>
        <v>48968.531359707435</v>
      </c>
      <c r="H14" s="106" t="s">
        <v>44</v>
      </c>
      <c r="I14" s="107"/>
    </row>
    <row r="15" spans="2:12" ht="29.5" thickBot="1" x14ac:dyDescent="0.4">
      <c r="B15"/>
      <c r="C15" s="3"/>
      <c r="E15" s="53" t="s">
        <v>33</v>
      </c>
      <c r="F15" s="54">
        <v>20000</v>
      </c>
      <c r="H15" s="7" t="s">
        <v>45</v>
      </c>
      <c r="I15" s="8">
        <f>K61</f>
        <v>10.07</v>
      </c>
    </row>
    <row r="16" spans="2:12" ht="29.5" thickBot="1" x14ac:dyDescent="0.4">
      <c r="B16" s="29" t="s">
        <v>3</v>
      </c>
      <c r="C16" s="38">
        <f>C10+C12</f>
        <v>45017</v>
      </c>
      <c r="E16" s="51" t="s">
        <v>34</v>
      </c>
      <c r="F16" s="52">
        <f>F15-F7-I16</f>
        <v>19478.601359707434</v>
      </c>
      <c r="H16" s="49" t="s">
        <v>43</v>
      </c>
      <c r="I16" s="50">
        <f>T61</f>
        <v>21.398640292566192</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106" t="s">
        <v>51</v>
      </c>
      <c r="I18" s="107"/>
    </row>
    <row r="19" spans="2:23" ht="15" thickBot="1" x14ac:dyDescent="0.4">
      <c r="B19" s="31" t="s">
        <v>16</v>
      </c>
      <c r="C19" s="41">
        <f>C17+C3</f>
        <v>45071</v>
      </c>
      <c r="H19" s="7" t="s">
        <v>42</v>
      </c>
      <c r="I19" s="8">
        <f>'March Statement'!I19+'March Statement'!F6+'March Statement'!I7+'March Statement'!I15-'March Statement'!I11</f>
        <v>540</v>
      </c>
    </row>
    <row r="20" spans="2:23" ht="15" thickBot="1" x14ac:dyDescent="0.4">
      <c r="H20" s="49" t="s">
        <v>43</v>
      </c>
      <c r="I20" s="50">
        <v>509.12</v>
      </c>
      <c r="J20" s="5"/>
    </row>
    <row r="21" spans="2:23" x14ac:dyDescent="0.35">
      <c r="B21" s="106" t="s">
        <v>17</v>
      </c>
      <c r="C21" s="107"/>
      <c r="E21" s="106" t="s">
        <v>22</v>
      </c>
      <c r="F21" s="107"/>
      <c r="I21" s="62">
        <f>SUM(I19:I20)</f>
        <v>1049.1199999999999</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50</v>
      </c>
      <c r="M24" s="61"/>
    </row>
    <row r="25" spans="2:23" x14ac:dyDescent="0.35">
      <c r="C25" s="9"/>
      <c r="E25" s="1"/>
      <c r="F25" s="10"/>
    </row>
    <row r="26" spans="2:23" ht="15" thickBot="1" x14ac:dyDescent="0.4">
      <c r="C26" s="9"/>
      <c r="E26" s="1"/>
      <c r="F26" s="10"/>
    </row>
    <row r="27" spans="2:23" ht="15" customHeight="1" thickBot="1" x14ac:dyDescent="0.4">
      <c r="B27" s="70"/>
      <c r="C27" s="71"/>
      <c r="D27" s="120" t="s">
        <v>10</v>
      </c>
      <c r="E27" s="120"/>
      <c r="F27" s="120"/>
      <c r="G27" s="120"/>
      <c r="H27" s="120"/>
      <c r="I27" s="119" t="s">
        <v>47</v>
      </c>
      <c r="J27" s="119"/>
      <c r="K27" s="119"/>
      <c r="L27" s="119"/>
      <c r="M27" s="119"/>
      <c r="N27" s="119"/>
      <c r="O27" s="119"/>
      <c r="P27" s="119"/>
      <c r="Q27" s="119"/>
      <c r="R27" s="117" t="s">
        <v>48</v>
      </c>
      <c r="S27" s="117"/>
      <c r="T27" s="117"/>
      <c r="U27" s="117"/>
      <c r="V27" s="117"/>
      <c r="W27" s="11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540</v>
      </c>
      <c r="L29" s="12">
        <f>M29</f>
        <v>0.33272876712328764</v>
      </c>
      <c r="M29" s="12">
        <f>K29*$F$22</f>
        <v>0.33272876712328764</v>
      </c>
      <c r="N29" s="12">
        <f>I29+J29-G29</f>
        <v>0</v>
      </c>
      <c r="O29" s="12">
        <f>P29</f>
        <v>0</v>
      </c>
      <c r="P29" s="12">
        <f>N29*$F$22</f>
        <v>0</v>
      </c>
      <c r="Q29" s="12">
        <f>K29+N29</f>
        <v>540</v>
      </c>
      <c r="R29" s="15"/>
      <c r="S29" s="15"/>
      <c r="T29" s="15">
        <f>$I$20+R29+S29-H29</f>
        <v>509.12</v>
      </c>
      <c r="U29" s="15">
        <f>V29</f>
        <v>0.41831530958904112</v>
      </c>
      <c r="V29" s="16">
        <f>T29*$F$23</f>
        <v>0.41831530958904112</v>
      </c>
      <c r="W29" s="16">
        <f>IF(T29=0,0,$I$20+R29+S29-H29)</f>
        <v>509.12</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540.33000000000004</v>
      </c>
      <c r="L30" s="13">
        <f>M30-M29</f>
        <v>0.33293210136986301</v>
      </c>
      <c r="M30" s="13">
        <f>IF(K30=0,0,M29+K30*$F$22)</f>
        <v>0.66566086849315065</v>
      </c>
      <c r="N30" s="13">
        <f t="shared" ref="N30:N58" si="3">ROUND(N29+I30+J30+O29-G30,2)</f>
        <v>0</v>
      </c>
      <c r="O30" s="13">
        <f>P30-P29</f>
        <v>0</v>
      </c>
      <c r="P30" s="13">
        <f>ROUND(P29+N30*$F$22,2)</f>
        <v>0</v>
      </c>
      <c r="Q30" s="13">
        <f>ROUND(N30+K30-M29-P29,2)</f>
        <v>540</v>
      </c>
      <c r="R30" s="17"/>
      <c r="S30" s="17"/>
      <c r="T30" s="17">
        <f>T29+U29+R30+S30-H30</f>
        <v>509.53831530958905</v>
      </c>
      <c r="U30" s="17">
        <f t="shared" ref="U30:U58" si="4">V30-V29</f>
        <v>0.41865901578450887</v>
      </c>
      <c r="V30" s="18">
        <f>V29+T30*$F$23</f>
        <v>0.83697432537354999</v>
      </c>
      <c r="W30" s="16">
        <f>IF(T30=0,0,W29+R30+S30-H30)</f>
        <v>509.12</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540.66</v>
      </c>
      <c r="L31" s="13">
        <f t="shared" ref="L31:L58" si="7">M31-M30</f>
        <v>0.33313543561643832</v>
      </c>
      <c r="M31" s="13">
        <f t="shared" ref="M31:M58" si="8">IF(K31=0,0,M30+K31*$F$22)</f>
        <v>0.99879630410958897</v>
      </c>
      <c r="N31" s="13">
        <f t="shared" si="3"/>
        <v>0</v>
      </c>
      <c r="O31" s="13">
        <f t="shared" ref="O31:O58" si="9">P31-P30</f>
        <v>0</v>
      </c>
      <c r="P31" s="13">
        <f t="shared" ref="P31:P56" si="10">ROUND(P30+N31*$F$22,2)</f>
        <v>0</v>
      </c>
      <c r="Q31" s="13">
        <f t="shared" ref="Q31:Q58" si="11">ROUND(N31+K31-M30-P30,2)</f>
        <v>539.99</v>
      </c>
      <c r="R31" s="17"/>
      <c r="S31" s="17"/>
      <c r="T31" s="17">
        <f>T30+U30+R31+S31-H31</f>
        <v>509.95697432537355</v>
      </c>
      <c r="U31" s="17">
        <f t="shared" si="4"/>
        <v>0.41900300438405358</v>
      </c>
      <c r="V31" s="18">
        <f t="shared" ref="V31:V58" si="12">V30+T31*$F$23</f>
        <v>1.2559773297576036</v>
      </c>
      <c r="W31" s="16">
        <f t="shared" ref="W31:W58" si="13">IF(T31=0,0,W30+R31+S31-H31)</f>
        <v>509.12</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540.99</v>
      </c>
      <c r="L32" s="13">
        <f t="shared" si="7"/>
        <v>0.33333876986301381</v>
      </c>
      <c r="M32" s="13">
        <f t="shared" si="8"/>
        <v>1.3321350739726028</v>
      </c>
      <c r="N32" s="13">
        <f t="shared" si="3"/>
        <v>0</v>
      </c>
      <c r="O32" s="13">
        <f t="shared" si="9"/>
        <v>0</v>
      </c>
      <c r="P32" s="13">
        <f t="shared" si="10"/>
        <v>0</v>
      </c>
      <c r="Q32" s="13">
        <f t="shared" si="11"/>
        <v>539.99</v>
      </c>
      <c r="R32" s="17"/>
      <c r="S32" s="17"/>
      <c r="T32" s="17">
        <f>T31+U31+R32+S32-H32</f>
        <v>510.37597732975763</v>
      </c>
      <c r="U32" s="17">
        <f t="shared" si="4"/>
        <v>0.41934727561971052</v>
      </c>
      <c r="V32" s="18">
        <f t="shared" si="12"/>
        <v>1.6753246053773141</v>
      </c>
      <c r="W32" s="16">
        <f t="shared" si="13"/>
        <v>509.12</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541.32000000000005</v>
      </c>
      <c r="L33" s="13">
        <f t="shared" si="7"/>
        <v>0.33354210410958895</v>
      </c>
      <c r="M33" s="13">
        <f t="shared" si="8"/>
        <v>1.6656771780821917</v>
      </c>
      <c r="N33" s="13">
        <f t="shared" si="3"/>
        <v>0</v>
      </c>
      <c r="O33" s="13">
        <f t="shared" si="9"/>
        <v>0</v>
      </c>
      <c r="P33" s="13">
        <f t="shared" si="10"/>
        <v>0</v>
      </c>
      <c r="Q33" s="13">
        <f t="shared" si="11"/>
        <v>539.99</v>
      </c>
      <c r="R33" s="17"/>
      <c r="S33" s="17"/>
      <c r="T33" s="17">
        <f t="shared" ref="T33:T58" si="14">T32+U32+R33+S33-H33</f>
        <v>510.79532460537735</v>
      </c>
      <c r="U33" s="17">
        <f t="shared" si="4"/>
        <v>0.41969182972370578</v>
      </c>
      <c r="V33" s="18">
        <f t="shared" si="12"/>
        <v>2.0950164351010199</v>
      </c>
      <c r="W33" s="16">
        <f t="shared" si="13"/>
        <v>509.12</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541.65</v>
      </c>
      <c r="L34" s="13">
        <f t="shared" si="7"/>
        <v>0.33374543835616444</v>
      </c>
      <c r="M34" s="13">
        <f t="shared" si="8"/>
        <v>1.9994226164383562</v>
      </c>
      <c r="N34" s="13">
        <f t="shared" si="3"/>
        <v>0</v>
      </c>
      <c r="O34" s="13">
        <f t="shared" si="9"/>
        <v>0</v>
      </c>
      <c r="P34" s="13">
        <f t="shared" si="10"/>
        <v>0</v>
      </c>
      <c r="Q34" s="13">
        <f t="shared" si="11"/>
        <v>539.98</v>
      </c>
      <c r="R34" s="17"/>
      <c r="S34" s="17"/>
      <c r="T34" s="17">
        <f t="shared" si="14"/>
        <v>511.21501643510106</v>
      </c>
      <c r="U34" s="17">
        <f t="shared" si="4"/>
        <v>0.42003666692845698</v>
      </c>
      <c r="V34" s="18">
        <f t="shared" si="12"/>
        <v>2.5150531020294769</v>
      </c>
      <c r="W34" s="16">
        <f t="shared" si="13"/>
        <v>509.12</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541.98</v>
      </c>
      <c r="L35" s="13">
        <f t="shared" si="7"/>
        <v>0.3339487726027397</v>
      </c>
      <c r="M35" s="13">
        <f t="shared" si="8"/>
        <v>2.3333713890410959</v>
      </c>
      <c r="N35" s="13">
        <f t="shared" si="3"/>
        <v>0</v>
      </c>
      <c r="O35" s="13">
        <f t="shared" si="9"/>
        <v>0</v>
      </c>
      <c r="P35" s="13">
        <f t="shared" si="10"/>
        <v>0</v>
      </c>
      <c r="Q35" s="13">
        <f t="shared" si="11"/>
        <v>539.98</v>
      </c>
      <c r="R35" s="17"/>
      <c r="S35" s="17"/>
      <c r="T35" s="17">
        <f>T34+U34+R35+S35-H35</f>
        <v>511.63505310202953</v>
      </c>
      <c r="U35" s="17">
        <f t="shared" si="4"/>
        <v>0.42038178746657184</v>
      </c>
      <c r="V35" s="18">
        <f t="shared" si="12"/>
        <v>2.9354348894960487</v>
      </c>
      <c r="W35" s="16">
        <f t="shared" si="13"/>
        <v>509.12</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542.30999999999995</v>
      </c>
      <c r="L36" s="13">
        <f t="shared" si="7"/>
        <v>0.33415210684931518</v>
      </c>
      <c r="M36" s="13">
        <f t="shared" si="8"/>
        <v>2.667523495890411</v>
      </c>
      <c r="N36" s="13">
        <f t="shared" si="3"/>
        <v>0</v>
      </c>
      <c r="O36" s="13">
        <f t="shared" si="9"/>
        <v>0</v>
      </c>
      <c r="P36" s="13">
        <f t="shared" si="10"/>
        <v>0</v>
      </c>
      <c r="Q36" s="13">
        <f t="shared" si="11"/>
        <v>539.98</v>
      </c>
      <c r="R36" s="17"/>
      <c r="S36" s="17"/>
      <c r="T36" s="17">
        <f t="shared" si="14"/>
        <v>512.05543488949615</v>
      </c>
      <c r="U36" s="17">
        <f t="shared" si="4"/>
        <v>0.42072719157084881</v>
      </c>
      <c r="V36" s="18">
        <f t="shared" si="12"/>
        <v>3.3561620810668975</v>
      </c>
      <c r="W36" s="16">
        <f t="shared" si="13"/>
        <v>509.12</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542.64</v>
      </c>
      <c r="L37" s="13">
        <f t="shared" si="7"/>
        <v>0.33435544109589044</v>
      </c>
      <c r="M37" s="13">
        <f t="shared" si="8"/>
        <v>3.0018789369863015</v>
      </c>
      <c r="N37" s="13">
        <f t="shared" si="3"/>
        <v>0</v>
      </c>
      <c r="O37" s="13">
        <f t="shared" si="9"/>
        <v>0</v>
      </c>
      <c r="P37" s="13">
        <f t="shared" si="10"/>
        <v>0</v>
      </c>
      <c r="Q37" s="13">
        <f t="shared" si="11"/>
        <v>539.97</v>
      </c>
      <c r="R37" s="17"/>
      <c r="S37" s="17"/>
      <c r="T37" s="17">
        <f t="shared" si="14"/>
        <v>512.47616208106706</v>
      </c>
      <c r="U37" s="17">
        <f t="shared" si="4"/>
        <v>0.42107287947427974</v>
      </c>
      <c r="V37" s="18">
        <f t="shared" si="12"/>
        <v>3.7772349605411772</v>
      </c>
      <c r="W37" s="16">
        <f t="shared" si="13"/>
        <v>509.12</v>
      </c>
    </row>
    <row r="38" spans="2:23" s="90" customFormat="1" x14ac:dyDescent="0.35">
      <c r="B38" s="84">
        <f t="shared" si="0"/>
        <v>45025</v>
      </c>
      <c r="C38" s="85">
        <f t="shared" si="1"/>
        <v>45026</v>
      </c>
      <c r="D38" s="86"/>
      <c r="E38" s="87">
        <f>IF(SUM(E$29:E37)=$I$24,0,IF((D38&lt;=$I$24-SUM(E$29:E37)),D38,$I$24-SUM(E$29:E37)))</f>
        <v>0</v>
      </c>
      <c r="F38" s="87">
        <f>IF($I$19&gt;0,IF(SUM(F$29:F37)&lt;$I$19,IF((D38-E38)&gt;0,IF($I$20=0,IF($I$19-SUM(F$29:F37)&gt;D38,D38,$I$19-SUM(F$29:F37)),E38),D38),0)+IF($I$20&gt;0,IF(D38-$I$20-SUM($H$29:H37)-IF($I$19=0,0,E38)&gt;0,IF(D38-$I$20-SUM($H$29:H37)-IF($I$19=0,0,E38)&gt;$I$19,$I$19-SUM(F$29:F37)-E38,D38-$I$20-SUM($H$29:H37)-IF($I$19=0,0,E38)),0),0),0)</f>
        <v>0</v>
      </c>
      <c r="G38" s="87">
        <f t="shared" si="2"/>
        <v>0</v>
      </c>
      <c r="H38" s="87">
        <f t="shared" si="5"/>
        <v>0</v>
      </c>
      <c r="I38" s="87">
        <v>500</v>
      </c>
      <c r="J38" s="87"/>
      <c r="K38" s="87">
        <f t="shared" si="6"/>
        <v>542.97</v>
      </c>
      <c r="L38" s="87">
        <f t="shared" si="7"/>
        <v>0.3345587753424657</v>
      </c>
      <c r="M38" s="87">
        <f t="shared" si="8"/>
        <v>3.3364377123287672</v>
      </c>
      <c r="N38" s="87">
        <f t="shared" si="3"/>
        <v>500</v>
      </c>
      <c r="O38" s="87">
        <f t="shared" si="9"/>
        <v>0.31</v>
      </c>
      <c r="P38" s="87">
        <f t="shared" si="10"/>
        <v>0.31</v>
      </c>
      <c r="Q38" s="87">
        <f t="shared" si="11"/>
        <v>1039.97</v>
      </c>
      <c r="R38" s="87">
        <v>500</v>
      </c>
      <c r="S38" s="87"/>
      <c r="T38" s="87">
        <f t="shared" si="14"/>
        <v>1012.8972349605414</v>
      </c>
      <c r="U38" s="87">
        <f t="shared" si="4"/>
        <v>0.83224076921826384</v>
      </c>
      <c r="V38" s="88">
        <f t="shared" si="12"/>
        <v>4.6094757297594411</v>
      </c>
      <c r="W38" s="89">
        <f t="shared" si="13"/>
        <v>1009.12</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543.29999999999995</v>
      </c>
      <c r="L39" s="13">
        <f t="shared" si="7"/>
        <v>0.33476210958904096</v>
      </c>
      <c r="M39" s="13">
        <f t="shared" si="8"/>
        <v>3.6711998219178081</v>
      </c>
      <c r="N39" s="13">
        <f t="shared" si="3"/>
        <v>500.31</v>
      </c>
      <c r="O39" s="13">
        <f>P39-P38</f>
        <v>0.31</v>
      </c>
      <c r="P39" s="13">
        <f t="shared" si="10"/>
        <v>0.62</v>
      </c>
      <c r="Q39" s="13">
        <f t="shared" si="11"/>
        <v>1039.96</v>
      </c>
      <c r="R39" s="17"/>
      <c r="S39" s="17"/>
      <c r="T39" s="17">
        <f t="shared" si="14"/>
        <v>1013.7294757297597</v>
      </c>
      <c r="U39" s="17">
        <f t="shared" si="4"/>
        <v>0.8329245747160412</v>
      </c>
      <c r="V39" s="18">
        <f t="shared" si="12"/>
        <v>5.4424003044754823</v>
      </c>
      <c r="W39" s="16">
        <f t="shared" si="13"/>
        <v>1009.12</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543.63</v>
      </c>
      <c r="L40" s="13">
        <f t="shared" si="7"/>
        <v>0.33496544383561666</v>
      </c>
      <c r="M40" s="13">
        <f t="shared" si="8"/>
        <v>4.0061652657534248</v>
      </c>
      <c r="N40" s="13">
        <f t="shared" si="3"/>
        <v>500.62</v>
      </c>
      <c r="O40" s="13">
        <f t="shared" si="9"/>
        <v>0.31000000000000005</v>
      </c>
      <c r="P40" s="13">
        <f t="shared" si="10"/>
        <v>0.93</v>
      </c>
      <c r="Q40" s="13">
        <f t="shared" si="11"/>
        <v>1039.96</v>
      </c>
      <c r="R40" s="17"/>
      <c r="S40" s="17"/>
      <c r="T40" s="17">
        <f t="shared" si="14"/>
        <v>1014.5624003044757</v>
      </c>
      <c r="U40" s="17">
        <f t="shared" si="4"/>
        <v>0.83360894205838942</v>
      </c>
      <c r="V40" s="18">
        <f t="shared" si="12"/>
        <v>6.2760092465338717</v>
      </c>
      <c r="W40" s="16">
        <f t="shared" si="13"/>
        <v>1009.12</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543.96</v>
      </c>
      <c r="L41" s="13">
        <f t="shared" si="7"/>
        <v>0.33516877808219192</v>
      </c>
      <c r="M41" s="13">
        <f t="shared" si="8"/>
        <v>4.3413340438356167</v>
      </c>
      <c r="N41" s="13">
        <f t="shared" si="3"/>
        <v>500.93</v>
      </c>
      <c r="O41" s="13">
        <f t="shared" si="9"/>
        <v>0.30999999999999994</v>
      </c>
      <c r="P41" s="13">
        <f t="shared" si="10"/>
        <v>1.24</v>
      </c>
      <c r="Q41" s="13">
        <f t="shared" si="11"/>
        <v>1039.95</v>
      </c>
      <c r="R41" s="17"/>
      <c r="S41" s="17"/>
      <c r="T41" s="17">
        <f t="shared" si="14"/>
        <v>1015.396009246534</v>
      </c>
      <c r="U41" s="17">
        <f t="shared" si="4"/>
        <v>0.83429387170694636</v>
      </c>
      <c r="V41" s="18">
        <f t="shared" si="12"/>
        <v>7.1103031182408181</v>
      </c>
      <c r="W41" s="16">
        <f t="shared" si="13"/>
        <v>1009.12</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544.29999999999995</v>
      </c>
      <c r="L42" s="13">
        <f t="shared" si="7"/>
        <v>0.33537827397260234</v>
      </c>
      <c r="M42" s="13">
        <f t="shared" si="8"/>
        <v>4.6767123178082191</v>
      </c>
      <c r="N42" s="13">
        <f t="shared" si="3"/>
        <v>501.24</v>
      </c>
      <c r="O42" s="13">
        <f t="shared" si="9"/>
        <v>0.31000000000000005</v>
      </c>
      <c r="P42" s="13">
        <f t="shared" si="10"/>
        <v>1.55</v>
      </c>
      <c r="Q42" s="13">
        <f t="shared" si="11"/>
        <v>1039.96</v>
      </c>
      <c r="R42" s="17"/>
      <c r="S42" s="17"/>
      <c r="T42" s="17">
        <f>T41+U41+R42+S42-H42</f>
        <v>1016.230303118241</v>
      </c>
      <c r="U42" s="17">
        <f>V42-V41</f>
        <v>0.83497936412372731</v>
      </c>
      <c r="V42" s="18">
        <f t="shared" si="12"/>
        <v>7.9452824823645454</v>
      </c>
      <c r="W42" s="16">
        <f t="shared" si="13"/>
        <v>1009.12</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544.64</v>
      </c>
      <c r="L43" s="13">
        <f t="shared" si="7"/>
        <v>0.33558776986301364</v>
      </c>
      <c r="M43" s="13">
        <f t="shared" si="8"/>
        <v>5.0123000876712327</v>
      </c>
      <c r="N43" s="13">
        <f t="shared" si="3"/>
        <v>501.55</v>
      </c>
      <c r="O43" s="13">
        <f t="shared" si="9"/>
        <v>0.31000000000000005</v>
      </c>
      <c r="P43" s="13">
        <f t="shared" si="10"/>
        <v>1.86</v>
      </c>
      <c r="Q43" s="13">
        <f t="shared" si="11"/>
        <v>1039.96</v>
      </c>
      <c r="R43" s="17"/>
      <c r="S43" s="17"/>
      <c r="T43" s="17">
        <f>T42+U42+R43+S43-H43</f>
        <v>1017.0652824823646</v>
      </c>
      <c r="U43" s="17">
        <f t="shared" si="4"/>
        <v>0.83566541977112685</v>
      </c>
      <c r="V43" s="18">
        <f t="shared" si="12"/>
        <v>8.7809479021356722</v>
      </c>
      <c r="W43" s="16">
        <f t="shared" si="13"/>
        <v>1009.12</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544.98</v>
      </c>
      <c r="L44" s="13">
        <f t="shared" si="7"/>
        <v>0.33579726575342494</v>
      </c>
      <c r="M44" s="13">
        <f t="shared" si="8"/>
        <v>5.3480973534246576</v>
      </c>
      <c r="N44" s="13">
        <f t="shared" si="3"/>
        <v>501.86</v>
      </c>
      <c r="O44" s="13">
        <f t="shared" si="9"/>
        <v>0.30999999999999983</v>
      </c>
      <c r="P44" s="13">
        <f t="shared" si="10"/>
        <v>2.17</v>
      </c>
      <c r="Q44" s="13">
        <f t="shared" si="11"/>
        <v>1039.97</v>
      </c>
      <c r="R44" s="17"/>
      <c r="S44" s="17"/>
      <c r="T44" s="17">
        <f t="shared" si="14"/>
        <v>1017.9009479021357</v>
      </c>
      <c r="U44" s="17">
        <f t="shared" si="4"/>
        <v>0.8363520391119188</v>
      </c>
      <c r="V44" s="18">
        <f t="shared" si="12"/>
        <v>9.617299941247591</v>
      </c>
      <c r="W44" s="16">
        <f t="shared" si="13"/>
        <v>1009.12</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545.32000000000005</v>
      </c>
      <c r="L45" s="13">
        <f t="shared" si="7"/>
        <v>0.33600676164383536</v>
      </c>
      <c r="M45" s="13">
        <f t="shared" si="8"/>
        <v>5.684104115068493</v>
      </c>
      <c r="N45" s="13">
        <f t="shared" si="3"/>
        <v>502.17</v>
      </c>
      <c r="O45" s="13">
        <f t="shared" si="9"/>
        <v>0.31000000000000005</v>
      </c>
      <c r="P45" s="13">
        <f t="shared" si="10"/>
        <v>2.48</v>
      </c>
      <c r="Q45" s="13">
        <f t="shared" si="11"/>
        <v>1039.97</v>
      </c>
      <c r="R45" s="17"/>
      <c r="S45" s="17"/>
      <c r="T45" s="17">
        <f t="shared" si="14"/>
        <v>1018.7372999412477</v>
      </c>
      <c r="U45" s="17">
        <f t="shared" si="4"/>
        <v>0.83703922260926156</v>
      </c>
      <c r="V45" s="18">
        <f t="shared" si="12"/>
        <v>10.454339163856853</v>
      </c>
      <c r="W45" s="16">
        <f>IF(T45=0,0,W44+R45+S45-H45)</f>
        <v>1009.12</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545.66</v>
      </c>
      <c r="L46" s="13">
        <f t="shared" si="7"/>
        <v>0.33621625753424667</v>
      </c>
      <c r="M46" s="13">
        <f t="shared" si="8"/>
        <v>6.0203203726027397</v>
      </c>
      <c r="N46" s="13">
        <f t="shared" si="3"/>
        <v>502.48</v>
      </c>
      <c r="O46" s="13">
        <f t="shared" si="9"/>
        <v>0.31000000000000005</v>
      </c>
      <c r="P46" s="13">
        <f t="shared" si="10"/>
        <v>2.79</v>
      </c>
      <c r="Q46" s="13">
        <f t="shared" si="11"/>
        <v>1039.98</v>
      </c>
      <c r="R46" s="17"/>
      <c r="S46" s="17"/>
      <c r="T46" s="17">
        <f t="shared" si="14"/>
        <v>1019.574339163857</v>
      </c>
      <c r="U46" s="17">
        <f t="shared" si="4"/>
        <v>0.83772697072668656</v>
      </c>
      <c r="V46" s="18">
        <f t="shared" si="12"/>
        <v>11.292066134583539</v>
      </c>
      <c r="W46" s="16">
        <f>IF(T46=0,0,W45+R46+S46-H46)</f>
        <v>1009.12</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546</v>
      </c>
      <c r="L47" s="13">
        <f t="shared" si="7"/>
        <v>0.33642575342465797</v>
      </c>
      <c r="M47" s="13">
        <f t="shared" si="8"/>
        <v>6.3567461260273976</v>
      </c>
      <c r="N47" s="13">
        <f t="shared" si="3"/>
        <v>502.79</v>
      </c>
      <c r="O47" s="13">
        <f t="shared" si="9"/>
        <v>0.31000000000000005</v>
      </c>
      <c r="P47" s="13">
        <f t="shared" si="10"/>
        <v>3.1</v>
      </c>
      <c r="Q47" s="13">
        <f t="shared" si="11"/>
        <v>1039.98</v>
      </c>
      <c r="R47" s="17"/>
      <c r="S47" s="17"/>
      <c r="T47" s="17">
        <f t="shared" si="14"/>
        <v>1020.4120661345836</v>
      </c>
      <c r="U47" s="17">
        <f t="shared" si="4"/>
        <v>0.83841528392811426</v>
      </c>
      <c r="V47" s="18">
        <f t="shared" si="12"/>
        <v>12.130481418511653</v>
      </c>
      <c r="W47" s="16">
        <f t="shared" si="13"/>
        <v>1009.12</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546.34</v>
      </c>
      <c r="L48" s="13">
        <f t="shared" si="7"/>
        <v>0.33663524931506839</v>
      </c>
      <c r="M48" s="13">
        <f t="shared" si="8"/>
        <v>6.693381375342466</v>
      </c>
      <c r="N48" s="13">
        <f t="shared" si="3"/>
        <v>503.1</v>
      </c>
      <c r="O48" s="13">
        <f t="shared" si="9"/>
        <v>0.31000000000000005</v>
      </c>
      <c r="P48" s="13">
        <f t="shared" si="10"/>
        <v>3.41</v>
      </c>
      <c r="Q48" s="13">
        <f t="shared" si="11"/>
        <v>1039.98</v>
      </c>
      <c r="R48" s="17"/>
      <c r="S48" s="17"/>
      <c r="T48" s="17">
        <f t="shared" si="14"/>
        <v>1021.2504814185118</v>
      </c>
      <c r="U48" s="17">
        <f t="shared" si="4"/>
        <v>0.83910416267783994</v>
      </c>
      <c r="V48" s="18">
        <f t="shared" si="12"/>
        <v>12.969585581189493</v>
      </c>
      <c r="W48" s="16">
        <f t="shared" si="13"/>
        <v>1009.12</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546.67999999999995</v>
      </c>
      <c r="L49" s="13">
        <f t="shared" si="7"/>
        <v>0.33684474520547969</v>
      </c>
      <c r="M49" s="13">
        <f t="shared" si="8"/>
        <v>7.0302261205479457</v>
      </c>
      <c r="N49" s="13">
        <f t="shared" si="3"/>
        <v>503.41</v>
      </c>
      <c r="O49" s="13">
        <f t="shared" si="9"/>
        <v>0.31000000000000005</v>
      </c>
      <c r="P49" s="13">
        <f t="shared" si="10"/>
        <v>3.72</v>
      </c>
      <c r="Q49" s="13">
        <f t="shared" si="11"/>
        <v>1039.99</v>
      </c>
      <c r="R49" s="17"/>
      <c r="S49" s="17"/>
      <c r="T49" s="17">
        <f t="shared" si="14"/>
        <v>1022.0895855811896</v>
      </c>
      <c r="U49" s="17">
        <f t="shared" si="4"/>
        <v>0.83979360744054432</v>
      </c>
      <c r="V49" s="18">
        <f t="shared" si="12"/>
        <v>13.809379188630038</v>
      </c>
      <c r="W49" s="16">
        <f t="shared" si="13"/>
        <v>1009.12</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547.02</v>
      </c>
      <c r="L50" s="13">
        <f t="shared" si="7"/>
        <v>0.33705424109589011</v>
      </c>
      <c r="M50" s="13">
        <f t="shared" si="8"/>
        <v>7.3672803616438358</v>
      </c>
      <c r="N50" s="13">
        <f t="shared" si="3"/>
        <v>503.72</v>
      </c>
      <c r="O50" s="13">
        <f t="shared" si="9"/>
        <v>0.31000000000000005</v>
      </c>
      <c r="P50" s="13">
        <f t="shared" si="10"/>
        <v>4.03</v>
      </c>
      <c r="Q50" s="13">
        <f t="shared" si="11"/>
        <v>1039.99</v>
      </c>
      <c r="R50" s="17"/>
      <c r="S50" s="17"/>
      <c r="T50" s="17">
        <f t="shared" si="14"/>
        <v>1022.9293791886302</v>
      </c>
      <c r="U50" s="17">
        <f t="shared" si="4"/>
        <v>0.84048361868128829</v>
      </c>
      <c r="V50" s="18">
        <f t="shared" si="12"/>
        <v>14.649862807311326</v>
      </c>
      <c r="W50" s="16">
        <f t="shared" si="13"/>
        <v>1009.12</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547.36</v>
      </c>
      <c r="L51" s="13">
        <f t="shared" si="7"/>
        <v>0.33726373698630141</v>
      </c>
      <c r="M51" s="13">
        <f t="shared" si="8"/>
        <v>7.7045440986301372</v>
      </c>
      <c r="N51" s="13">
        <f t="shared" si="3"/>
        <v>504.03</v>
      </c>
      <c r="O51" s="13">
        <f t="shared" si="9"/>
        <v>0.30999999999999961</v>
      </c>
      <c r="P51" s="13">
        <f t="shared" si="10"/>
        <v>4.34</v>
      </c>
      <c r="Q51" s="13">
        <f t="shared" si="11"/>
        <v>1039.99</v>
      </c>
      <c r="R51" s="17"/>
      <c r="S51" s="17"/>
      <c r="T51" s="17">
        <f t="shared" si="14"/>
        <v>1023.7698628073115</v>
      </c>
      <c r="U51" s="17">
        <f t="shared" si="4"/>
        <v>0.84117419686551465</v>
      </c>
      <c r="V51" s="18">
        <f t="shared" si="12"/>
        <v>15.491037004176841</v>
      </c>
      <c r="W51" s="16">
        <f t="shared" si="13"/>
        <v>1009.12</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547.70000000000005</v>
      </c>
      <c r="L52" s="13">
        <f t="shared" si="7"/>
        <v>0.33747323287671271</v>
      </c>
      <c r="M52" s="13">
        <f t="shared" si="8"/>
        <v>8.0420173315068499</v>
      </c>
      <c r="N52" s="13">
        <f>ROUND(N51+I52+J52+O51-G52,2)</f>
        <v>504.34</v>
      </c>
      <c r="O52" s="13">
        <f t="shared" si="9"/>
        <v>0.3100000000000005</v>
      </c>
      <c r="P52" s="13">
        <f t="shared" si="10"/>
        <v>4.6500000000000004</v>
      </c>
      <c r="Q52" s="13">
        <f t="shared" si="11"/>
        <v>1040</v>
      </c>
      <c r="R52" s="17"/>
      <c r="S52" s="17"/>
      <c r="T52" s="17">
        <f t="shared" si="14"/>
        <v>1024.611037004177</v>
      </c>
      <c r="U52" s="17">
        <f t="shared" si="4"/>
        <v>0.84186534245904987</v>
      </c>
      <c r="V52" s="18">
        <f t="shared" si="12"/>
        <v>16.33290234663589</v>
      </c>
      <c r="W52" s="16">
        <f t="shared" si="13"/>
        <v>1009.12</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548.04</v>
      </c>
      <c r="L53" s="13">
        <f t="shared" si="7"/>
        <v>0.33768272876712402</v>
      </c>
      <c r="M53" s="13">
        <f t="shared" si="8"/>
        <v>8.379700060273974</v>
      </c>
      <c r="N53" s="13">
        <f t="shared" si="3"/>
        <v>504.65</v>
      </c>
      <c r="O53" s="13">
        <f t="shared" si="9"/>
        <v>0.30999999999999961</v>
      </c>
      <c r="P53" s="13">
        <f t="shared" si="10"/>
        <v>4.96</v>
      </c>
      <c r="Q53" s="13">
        <f t="shared" si="11"/>
        <v>1040</v>
      </c>
      <c r="R53" s="17"/>
      <c r="S53" s="17"/>
      <c r="T53" s="17">
        <f t="shared" si="14"/>
        <v>1025.4529023466359</v>
      </c>
      <c r="U53" s="17">
        <f t="shared" si="4"/>
        <v>0.8425570559281006</v>
      </c>
      <c r="V53" s="18">
        <f t="shared" si="12"/>
        <v>17.175459402563991</v>
      </c>
      <c r="W53" s="16">
        <f t="shared" si="13"/>
        <v>1009.12</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548.38</v>
      </c>
      <c r="L54" s="13">
        <f t="shared" si="7"/>
        <v>0.33789222465753355</v>
      </c>
      <c r="M54" s="13">
        <f t="shared" si="8"/>
        <v>8.7175922849315075</v>
      </c>
      <c r="N54" s="13">
        <f t="shared" si="3"/>
        <v>504.96</v>
      </c>
      <c r="O54" s="13">
        <f t="shared" si="9"/>
        <v>0.30999999999999961</v>
      </c>
      <c r="P54" s="13">
        <f>ROUND(P53+N54*$F$22,2)</f>
        <v>5.27</v>
      </c>
      <c r="Q54" s="13">
        <f t="shared" si="11"/>
        <v>1040</v>
      </c>
      <c r="R54" s="17"/>
      <c r="S54" s="17"/>
      <c r="T54" s="17">
        <f t="shared" si="14"/>
        <v>1026.2954594025641</v>
      </c>
      <c r="U54" s="17">
        <f t="shared" si="4"/>
        <v>0.84324933773925892</v>
      </c>
      <c r="V54" s="18">
        <f t="shared" si="12"/>
        <v>18.01870874030325</v>
      </c>
      <c r="W54" s="16">
        <f t="shared" si="13"/>
        <v>1009.12</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548.72</v>
      </c>
      <c r="L55" s="13">
        <f t="shared" si="7"/>
        <v>0.33810172054794485</v>
      </c>
      <c r="M55" s="13">
        <f t="shared" si="8"/>
        <v>9.0556940054794524</v>
      </c>
      <c r="N55" s="13">
        <f t="shared" si="3"/>
        <v>505.27</v>
      </c>
      <c r="O55" s="13">
        <f t="shared" si="9"/>
        <v>0.3100000000000005</v>
      </c>
      <c r="P55" s="13">
        <f t="shared" si="10"/>
        <v>5.58</v>
      </c>
      <c r="Q55" s="13">
        <f t="shared" si="11"/>
        <v>1040</v>
      </c>
      <c r="R55" s="17"/>
      <c r="S55" s="17"/>
      <c r="T55" s="17">
        <f t="shared" si="14"/>
        <v>1027.1387087403034</v>
      </c>
      <c r="U55" s="17">
        <f t="shared" si="4"/>
        <v>0.84394218835949886</v>
      </c>
      <c r="V55" s="18">
        <f t="shared" si="12"/>
        <v>18.862650928662749</v>
      </c>
      <c r="W55" s="16">
        <f t="shared" si="13"/>
        <v>1009.12</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549.05999999999995</v>
      </c>
      <c r="L56" s="13">
        <f t="shared" si="7"/>
        <v>0.33831121643835615</v>
      </c>
      <c r="M56" s="13">
        <f t="shared" si="8"/>
        <v>9.3940052219178085</v>
      </c>
      <c r="N56" s="13">
        <f t="shared" si="3"/>
        <v>505.58</v>
      </c>
      <c r="O56" s="13">
        <f t="shared" si="9"/>
        <v>0.30999999999999961</v>
      </c>
      <c r="P56" s="13">
        <f t="shared" si="10"/>
        <v>5.89</v>
      </c>
      <c r="Q56" s="13">
        <f t="shared" si="11"/>
        <v>1040</v>
      </c>
      <c r="R56" s="17"/>
      <c r="S56" s="17"/>
      <c r="T56" s="17">
        <f t="shared" si="14"/>
        <v>1027.9826509286629</v>
      </c>
      <c r="U56" s="17">
        <f t="shared" si="4"/>
        <v>0.84463560825617989</v>
      </c>
      <c r="V56" s="18">
        <f t="shared" si="12"/>
        <v>19.707286536918929</v>
      </c>
      <c r="W56" s="16">
        <f t="shared" si="13"/>
        <v>1009.12</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549.4</v>
      </c>
      <c r="L57" s="13">
        <f t="shared" si="7"/>
        <v>0.33852071232876746</v>
      </c>
      <c r="M57" s="13">
        <f t="shared" si="8"/>
        <v>9.732525934246576</v>
      </c>
      <c r="N57" s="13">
        <f t="shared" si="3"/>
        <v>505.89</v>
      </c>
      <c r="O57" s="13">
        <f t="shared" si="9"/>
        <v>0.3100000000000005</v>
      </c>
      <c r="P57" s="13">
        <f>ROUND(P56+N57*$F$22,2)</f>
        <v>6.2</v>
      </c>
      <c r="Q57" s="13">
        <f t="shared" si="11"/>
        <v>1040.01</v>
      </c>
      <c r="R57" s="17"/>
      <c r="S57" s="17"/>
      <c r="T57" s="17">
        <f t="shared" si="14"/>
        <v>1028.827286536919</v>
      </c>
      <c r="U57" s="17">
        <f t="shared" si="4"/>
        <v>0.8453295978970452</v>
      </c>
      <c r="V57" s="18">
        <f t="shared" si="12"/>
        <v>20.552616134815974</v>
      </c>
      <c r="W57" s="16">
        <f t="shared" si="13"/>
        <v>1009.12</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549.74</v>
      </c>
      <c r="L58" s="13">
        <f t="shared" si="7"/>
        <v>0.33873020821917876</v>
      </c>
      <c r="M58" s="13">
        <f t="shared" si="8"/>
        <v>10.071256142465755</v>
      </c>
      <c r="N58" s="13">
        <f t="shared" si="3"/>
        <v>506.2</v>
      </c>
      <c r="O58" s="13">
        <f t="shared" si="9"/>
        <v>0.30999999999999961</v>
      </c>
      <c r="P58" s="13">
        <f>ROUND(P57+N58*$F$22,2)</f>
        <v>6.51</v>
      </c>
      <c r="Q58" s="13">
        <f t="shared" si="11"/>
        <v>1040.01</v>
      </c>
      <c r="R58" s="17"/>
      <c r="S58" s="17"/>
      <c r="T58" s="17">
        <f t="shared" si="14"/>
        <v>1029.6726161348161</v>
      </c>
      <c r="U58" s="17">
        <f t="shared" si="4"/>
        <v>0.84602415775022166</v>
      </c>
      <c r="V58" s="18">
        <f t="shared" si="12"/>
        <v>21.398640292566196</v>
      </c>
      <c r="W58" s="16">
        <f t="shared" si="13"/>
        <v>1009.12</v>
      </c>
    </row>
    <row r="59" spans="2:23" ht="15" thickBot="1" x14ac:dyDescent="0.4">
      <c r="B59" s="121" t="s">
        <v>49</v>
      </c>
      <c r="C59" s="122"/>
      <c r="D59" s="67">
        <f t="shared" ref="D59:L59" si="15">SUM(D29:D58)</f>
        <v>0</v>
      </c>
      <c r="E59" s="21">
        <f t="shared" si="15"/>
        <v>0</v>
      </c>
      <c r="F59" s="21">
        <f t="shared" si="15"/>
        <v>0</v>
      </c>
      <c r="G59" s="21">
        <f t="shared" si="15"/>
        <v>0</v>
      </c>
      <c r="H59" s="22">
        <f t="shared" si="15"/>
        <v>0</v>
      </c>
      <c r="I59" s="20">
        <f t="shared" si="15"/>
        <v>500</v>
      </c>
      <c r="J59" s="21">
        <f t="shared" si="15"/>
        <v>0</v>
      </c>
      <c r="K59" s="21">
        <f t="shared" si="15"/>
        <v>16345.08</v>
      </c>
      <c r="L59" s="74">
        <f t="shared" si="15"/>
        <v>10.071256142465755</v>
      </c>
      <c r="M59" s="20"/>
      <c r="N59" s="21">
        <f>SUM(N29:N58)</f>
        <v>10565.1</v>
      </c>
      <c r="O59" s="21">
        <f>SUM(O29:O58)</f>
        <v>6.51</v>
      </c>
      <c r="P59" s="20"/>
      <c r="Q59" s="20"/>
      <c r="R59" s="22">
        <f>SUM(R29:R58)</f>
        <v>500</v>
      </c>
      <c r="S59" s="22">
        <f>SUM(S29:S58)</f>
        <v>0</v>
      </c>
      <c r="T59" s="22">
        <f>SUM(T29:T58)</f>
        <v>26043.693587151251</v>
      </c>
      <c r="U59" s="22">
        <f>SUM(U29:U58)</f>
        <v>21.398640292566196</v>
      </c>
      <c r="V59" s="23"/>
      <c r="W59" s="23"/>
    </row>
    <row r="60" spans="2:23" ht="15" thickBot="1" x14ac:dyDescent="0.4">
      <c r="G60" s="61"/>
      <c r="J60" s="82" t="s">
        <v>71</v>
      </c>
      <c r="K60" s="82">
        <f>K59/$C$18</f>
        <v>544.83600000000001</v>
      </c>
      <c r="M60" s="82" t="s">
        <v>69</v>
      </c>
      <c r="N60" s="82">
        <f>N59/$C$18</f>
        <v>352.17</v>
      </c>
      <c r="O60" s="61"/>
      <c r="S60" s="82" t="s">
        <v>65</v>
      </c>
      <c r="T60" s="82">
        <f>T59/$C$18</f>
        <v>868.12311957170834</v>
      </c>
    </row>
    <row r="61" spans="2:23" ht="15" thickBot="1" x14ac:dyDescent="0.4">
      <c r="H61" s="2"/>
      <c r="J61" s="82" t="s">
        <v>72</v>
      </c>
      <c r="K61" s="82">
        <f>ROUND(K60*$F$22*$C$18,2)</f>
        <v>10.07</v>
      </c>
      <c r="M61" s="82" t="s">
        <v>70</v>
      </c>
      <c r="N61" s="82">
        <f>IF(ROUND(N58,2)=0,0,N60*$F$22*$C$18)</f>
        <v>6.5098383287671231</v>
      </c>
      <c r="S61" s="82" t="s">
        <v>64</v>
      </c>
      <c r="T61" s="82">
        <f>T60*$F$23*$C$18</f>
        <v>21.398640292566192</v>
      </c>
    </row>
    <row r="62" spans="2:23" x14ac:dyDescent="0.35">
      <c r="M62" s="61"/>
      <c r="N62" s="61"/>
    </row>
    <row r="64" spans="2:23" x14ac:dyDescent="0.35">
      <c r="L64" s="127">
        <f>K61+N61</f>
        <v>16.579838328767124</v>
      </c>
    </row>
    <row r="65" spans="13:14" x14ac:dyDescent="0.35">
      <c r="M65" s="100" t="s">
        <v>74</v>
      </c>
      <c r="N65" s="100">
        <f>K61+N61</f>
        <v>16.579838328767124</v>
      </c>
    </row>
    <row r="66" spans="13:14" x14ac:dyDescent="0.35">
      <c r="M66" s="101" t="s">
        <v>75</v>
      </c>
      <c r="N66" s="101">
        <v>21.4</v>
      </c>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0"/>
  <sheetViews>
    <sheetView tabSelected="1" topLeftCell="G28" zoomScale="53" zoomScaleNormal="53" workbookViewId="0">
      <selection activeCell="AD49" sqref="AD49"/>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4" t="s">
        <v>50</v>
      </c>
      <c r="F2" s="105"/>
    </row>
    <row r="3" spans="2:12" ht="15" thickBot="1" x14ac:dyDescent="0.4">
      <c r="B3" s="28" t="s">
        <v>1</v>
      </c>
      <c r="C3" s="37">
        <v>26</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0</v>
      </c>
    </row>
    <row r="6" spans="2:12" x14ac:dyDescent="0.35">
      <c r="B6" s="30" t="s">
        <v>8</v>
      </c>
      <c r="C6" s="39">
        <v>45016</v>
      </c>
      <c r="E6" s="34" t="s">
        <v>26</v>
      </c>
      <c r="F6" s="35">
        <f>I60</f>
        <v>500</v>
      </c>
      <c r="H6" s="106" t="s">
        <v>40</v>
      </c>
      <c r="I6" s="107"/>
    </row>
    <row r="7" spans="2:12" ht="29" x14ac:dyDescent="0.35">
      <c r="B7" s="30" t="s">
        <v>6</v>
      </c>
      <c r="C7" s="40">
        <v>31</v>
      </c>
      <c r="E7" s="34" t="s">
        <v>27</v>
      </c>
      <c r="F7" s="35">
        <f>R60</f>
        <v>500</v>
      </c>
      <c r="H7" s="7" t="s">
        <v>37</v>
      </c>
      <c r="I7" s="8">
        <f>J60</f>
        <v>0</v>
      </c>
      <c r="L7" s="61"/>
    </row>
    <row r="8" spans="2:12" ht="29.5" thickBot="1" x14ac:dyDescent="0.4">
      <c r="B8" s="31" t="s">
        <v>7</v>
      </c>
      <c r="C8" s="41">
        <f>C6+C3</f>
        <v>45042</v>
      </c>
      <c r="E8" s="34" t="s">
        <v>28</v>
      </c>
      <c r="F8" s="35">
        <f>SUM(I7:I8)</f>
        <v>0</v>
      </c>
      <c r="H8" s="49" t="s">
        <v>38</v>
      </c>
      <c r="I8" s="50">
        <f>S60</f>
        <v>0</v>
      </c>
      <c r="L8" s="61"/>
    </row>
    <row r="9" spans="2:12" ht="29.5" customHeight="1" thickBot="1" x14ac:dyDescent="0.4">
      <c r="B9"/>
      <c r="C9" s="3"/>
      <c r="E9" s="34" t="s">
        <v>29</v>
      </c>
      <c r="F9" s="35">
        <f>SUM(I15:I16)</f>
        <v>35.690919562981065</v>
      </c>
      <c r="L9" s="61"/>
    </row>
    <row r="10" spans="2:12" ht="15" thickBot="1" x14ac:dyDescent="0.4">
      <c r="B10" s="29" t="s">
        <v>12</v>
      </c>
      <c r="C10" s="38">
        <f>'April Statement'!C16</f>
        <v>45017</v>
      </c>
      <c r="E10" s="4"/>
      <c r="F10" s="6"/>
      <c r="H10" s="124" t="s">
        <v>41</v>
      </c>
      <c r="I10" s="125"/>
      <c r="J10" s="126"/>
    </row>
    <row r="11" spans="2:12" ht="14.5" customHeight="1" x14ac:dyDescent="0.35">
      <c r="B11" s="30" t="s">
        <v>13</v>
      </c>
      <c r="C11" s="39">
        <f>C10+C12-1</f>
        <v>45046</v>
      </c>
      <c r="E11" s="55" t="s">
        <v>30</v>
      </c>
      <c r="F11" s="56">
        <f>F4+F6+F7+F8+F9-F5</f>
        <v>1035.690919562981</v>
      </c>
      <c r="H11" s="72" t="s">
        <v>42</v>
      </c>
      <c r="I11" s="73">
        <f>SUM(F60:G60)</f>
        <v>0</v>
      </c>
      <c r="J11" s="102" t="s">
        <v>73</v>
      </c>
      <c r="K11" s="123"/>
    </row>
    <row r="12" spans="2:12" ht="15" thickBot="1" x14ac:dyDescent="0.4">
      <c r="B12" s="30" t="s">
        <v>14</v>
      </c>
      <c r="C12" s="40">
        <v>30</v>
      </c>
      <c r="E12" s="4"/>
      <c r="F12" s="6"/>
      <c r="H12" s="49" t="s">
        <v>43</v>
      </c>
      <c r="I12" s="50">
        <f>H60</f>
        <v>0</v>
      </c>
      <c r="J12" s="103"/>
      <c r="K12" s="123"/>
    </row>
    <row r="13" spans="2:12" ht="15" thickBot="1" x14ac:dyDescent="0.4">
      <c r="B13" s="31" t="s">
        <v>15</v>
      </c>
      <c r="C13" s="41">
        <v>45071</v>
      </c>
      <c r="E13" s="53" t="s">
        <v>31</v>
      </c>
      <c r="F13" s="54">
        <v>48960</v>
      </c>
    </row>
    <row r="14" spans="2:12" x14ac:dyDescent="0.35">
      <c r="E14" s="51" t="s">
        <v>32</v>
      </c>
      <c r="F14" s="52">
        <f>F13-F11</f>
        <v>47924.309080437022</v>
      </c>
      <c r="H14" s="106" t="s">
        <v>44</v>
      </c>
      <c r="I14" s="107"/>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19464.309080437019</v>
      </c>
      <c r="H16" s="49" t="s">
        <v>43</v>
      </c>
      <c r="I16" s="50">
        <f>T62</f>
        <v>35.690919562981065</v>
      </c>
    </row>
    <row r="17" spans="2:23" ht="15" thickBot="1" x14ac:dyDescent="0.4">
      <c r="B17" s="30" t="s">
        <v>9</v>
      </c>
      <c r="C17" s="39">
        <f>C16+C18-1</f>
        <v>45077</v>
      </c>
      <c r="E17" s="42" t="s">
        <v>0</v>
      </c>
      <c r="F17" s="39">
        <f>C17</f>
        <v>45077</v>
      </c>
    </row>
    <row r="18" spans="2:23" ht="15" thickBot="1" x14ac:dyDescent="0.4">
      <c r="B18" s="30" t="s">
        <v>4</v>
      </c>
      <c r="C18" s="40">
        <v>31</v>
      </c>
      <c r="E18" s="43" t="s">
        <v>2</v>
      </c>
      <c r="F18" s="44">
        <f>C18</f>
        <v>31</v>
      </c>
      <c r="H18" s="106" t="s">
        <v>51</v>
      </c>
      <c r="I18" s="107"/>
    </row>
    <row r="19" spans="2:23" ht="15" thickBot="1" x14ac:dyDescent="0.4">
      <c r="B19" s="31" t="s">
        <v>16</v>
      </c>
      <c r="C19" s="41">
        <f>C17+C3</f>
        <v>45103</v>
      </c>
      <c r="H19" s="7" t="s">
        <v>42</v>
      </c>
      <c r="I19" s="8">
        <v>1056.58</v>
      </c>
    </row>
    <row r="20" spans="2:23" ht="15" thickBot="1" x14ac:dyDescent="0.4">
      <c r="H20" s="49" t="s">
        <v>43</v>
      </c>
      <c r="I20" s="50">
        <v>1030.52</v>
      </c>
      <c r="J20" s="5"/>
    </row>
    <row r="21" spans="2:23" x14ac:dyDescent="0.35">
      <c r="B21" s="106" t="s">
        <v>17</v>
      </c>
      <c r="C21" s="107"/>
      <c r="E21" s="106" t="s">
        <v>22</v>
      </c>
      <c r="F21" s="107"/>
      <c r="I21" s="62">
        <f>SUM(I19:I20)</f>
        <v>2087.1</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180.44</v>
      </c>
      <c r="M24" s="61"/>
    </row>
    <row r="25" spans="2:23" x14ac:dyDescent="0.35">
      <c r="C25" s="9"/>
      <c r="E25" s="1"/>
      <c r="F25" s="10"/>
    </row>
    <row r="26" spans="2:23" ht="15" thickBot="1" x14ac:dyDescent="0.4">
      <c r="C26" s="9"/>
      <c r="E26" s="1"/>
      <c r="F26" s="10"/>
    </row>
    <row r="27" spans="2:23" ht="15" customHeight="1" thickBot="1" x14ac:dyDescent="0.4">
      <c r="B27" s="70"/>
      <c r="C27" s="71"/>
      <c r="D27" s="120" t="s">
        <v>10</v>
      </c>
      <c r="E27" s="120"/>
      <c r="F27" s="120"/>
      <c r="G27" s="120"/>
      <c r="H27" s="120"/>
      <c r="I27" s="119" t="s">
        <v>47</v>
      </c>
      <c r="J27" s="119"/>
      <c r="K27" s="119"/>
      <c r="L27" s="119"/>
      <c r="M27" s="119"/>
      <c r="N27" s="119"/>
      <c r="O27" s="119"/>
      <c r="P27" s="119"/>
      <c r="Q27" s="119"/>
      <c r="R27" s="117" t="s">
        <v>48</v>
      </c>
      <c r="S27" s="117"/>
      <c r="T27" s="117"/>
      <c r="U27" s="117"/>
      <c r="V27" s="117"/>
      <c r="W27" s="11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1096.58</v>
      </c>
      <c r="L29" s="12">
        <f>M29</f>
        <v>0.68</v>
      </c>
      <c r="M29" s="12">
        <f>ROUND(K29*$F$22,2)</f>
        <v>0.68</v>
      </c>
      <c r="N29" s="12">
        <f>I29+J29-G29</f>
        <v>0</v>
      </c>
      <c r="O29" s="12">
        <f>P29</f>
        <v>0</v>
      </c>
      <c r="P29" s="12">
        <f>N29*$F$22</f>
        <v>0</v>
      </c>
      <c r="Q29" s="12">
        <f>K29+N29</f>
        <v>1096.58</v>
      </c>
      <c r="R29" s="15"/>
      <c r="S29" s="15"/>
      <c r="T29" s="15">
        <f>$I$20+R29+S29-H29</f>
        <v>1030.52</v>
      </c>
      <c r="U29" s="15">
        <f>V29</f>
        <v>0.84672040547945204</v>
      </c>
      <c r="V29" s="16">
        <f>T29*$F$23</f>
        <v>0.84672040547945204</v>
      </c>
      <c r="W29" s="16">
        <f>IF(T29=0,0,$I$20+R29+S29-H29)</f>
        <v>1030.52</v>
      </c>
    </row>
    <row r="30" spans="2:23"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1097.26</v>
      </c>
      <c r="L30" s="13">
        <f>M30-M29</f>
        <v>0.68</v>
      </c>
      <c r="M30" s="13">
        <f>IF(K30=0,0,M29+ROUND(K30*$F$22,2))</f>
        <v>1.36</v>
      </c>
      <c r="N30" s="13">
        <f t="shared" ref="N30:N58" si="3">ROUND(N29+I30+J30+O29-G30,2)</f>
        <v>0</v>
      </c>
      <c r="O30" s="13">
        <f>P30-P29</f>
        <v>0</v>
      </c>
      <c r="P30" s="13">
        <f>ROUND(P29+N30*$F$22,2)</f>
        <v>0</v>
      </c>
      <c r="Q30" s="13">
        <f>ROUND(N30+K30-M29-P29,2)</f>
        <v>1096.58</v>
      </c>
      <c r="R30" s="17"/>
      <c r="S30" s="17"/>
      <c r="T30" s="17">
        <f>T29+U29+R30+S30-H30</f>
        <v>1031.3667204054793</v>
      </c>
      <c r="U30" s="17">
        <f t="shared" ref="U30:U58" si="4">V30-V29</f>
        <v>0.85</v>
      </c>
      <c r="V30" s="18">
        <f>V29+ROUND(T30*$F$23,2)</f>
        <v>1.696720405479452</v>
      </c>
      <c r="W30" s="16">
        <f>IF(T30=0,0,W29+R30+S30-H30)</f>
        <v>1030.52</v>
      </c>
    </row>
    <row r="31" spans="2:23"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1097.94</v>
      </c>
      <c r="L31" s="13">
        <f t="shared" ref="L31:L58" si="7">M31-M30</f>
        <v>0.67999999999999994</v>
      </c>
      <c r="M31" s="13">
        <f t="shared" ref="M31:M59" si="8">IF(K31=0,0,M30+ROUND(K31*$F$22,2))</f>
        <v>2.04</v>
      </c>
      <c r="N31" s="13">
        <f t="shared" si="3"/>
        <v>0</v>
      </c>
      <c r="O31" s="13">
        <f t="shared" ref="O31:O58" si="9">P31-P30</f>
        <v>0</v>
      </c>
      <c r="P31" s="13">
        <f t="shared" ref="P31:P58" si="10">ROUND(P30+N31*$F$22,2)</f>
        <v>0</v>
      </c>
      <c r="Q31" s="13">
        <f t="shared" ref="Q31:Q58" si="11">ROUND(N31+K31-M30-P30,2)</f>
        <v>1096.58</v>
      </c>
      <c r="R31" s="17"/>
      <c r="S31" s="17"/>
      <c r="T31" s="17">
        <f>T30+U30+R31+S31-H31</f>
        <v>1032.2167204054792</v>
      </c>
      <c r="U31" s="17">
        <f t="shared" si="4"/>
        <v>0.84999999999999987</v>
      </c>
      <c r="V31" s="18">
        <f t="shared" ref="V31:V59" si="12">V30+ROUND(T31*$F$23,2)</f>
        <v>2.5467204054794519</v>
      </c>
      <c r="W31" s="16">
        <f t="shared" ref="W31:W58" si="13">IF(T31=0,0,W30+R31+S31-H31)</f>
        <v>1030.52</v>
      </c>
    </row>
    <row r="32" spans="2:23"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1098.6199999999999</v>
      </c>
      <c r="L32" s="13">
        <f t="shared" si="7"/>
        <v>0.68000000000000016</v>
      </c>
      <c r="M32" s="13">
        <f t="shared" si="8"/>
        <v>2.72</v>
      </c>
      <c r="N32" s="13">
        <f t="shared" si="3"/>
        <v>0</v>
      </c>
      <c r="O32" s="13">
        <f t="shared" si="9"/>
        <v>0</v>
      </c>
      <c r="P32" s="13">
        <f t="shared" si="10"/>
        <v>0</v>
      </c>
      <c r="Q32" s="13">
        <f t="shared" si="11"/>
        <v>1096.58</v>
      </c>
      <c r="R32" s="17"/>
      <c r="S32" s="17"/>
      <c r="T32" s="17">
        <f>T31+U31+R32+S32-H32</f>
        <v>1033.0667204054791</v>
      </c>
      <c r="U32" s="17">
        <f t="shared" si="4"/>
        <v>0.85000000000000009</v>
      </c>
      <c r="V32" s="18">
        <f t="shared" si="12"/>
        <v>3.396720405479452</v>
      </c>
      <c r="W32" s="16">
        <f t="shared" si="13"/>
        <v>1030.52</v>
      </c>
    </row>
    <row r="33" spans="2:23"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1099.3</v>
      </c>
      <c r="L33" s="13">
        <f t="shared" si="7"/>
        <v>0.68000000000000016</v>
      </c>
      <c r="M33" s="13">
        <f t="shared" si="8"/>
        <v>3.4000000000000004</v>
      </c>
      <c r="N33" s="13">
        <f t="shared" si="3"/>
        <v>0</v>
      </c>
      <c r="O33" s="13">
        <f t="shared" si="9"/>
        <v>0</v>
      </c>
      <c r="P33" s="13">
        <f t="shared" si="10"/>
        <v>0</v>
      </c>
      <c r="Q33" s="13">
        <f t="shared" si="11"/>
        <v>1096.58</v>
      </c>
      <c r="R33" s="17"/>
      <c r="S33" s="17"/>
      <c r="T33" s="17">
        <f t="shared" ref="T33:T58" si="14">T32+U32+R33+S33-H33</f>
        <v>1033.9167204054791</v>
      </c>
      <c r="U33" s="17">
        <f t="shared" si="4"/>
        <v>0.84999999999999964</v>
      </c>
      <c r="V33" s="18">
        <f t="shared" si="12"/>
        <v>4.2467204054794516</v>
      </c>
      <c r="W33" s="16">
        <f t="shared" si="13"/>
        <v>1030.52</v>
      </c>
    </row>
    <row r="34" spans="2:23"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1099.98</v>
      </c>
      <c r="L34" s="13">
        <f t="shared" si="7"/>
        <v>0.67999999999999972</v>
      </c>
      <c r="M34" s="13">
        <f t="shared" si="8"/>
        <v>4.08</v>
      </c>
      <c r="N34" s="13">
        <f t="shared" si="3"/>
        <v>0</v>
      </c>
      <c r="O34" s="13">
        <f t="shared" si="9"/>
        <v>0</v>
      </c>
      <c r="P34" s="13">
        <f t="shared" si="10"/>
        <v>0</v>
      </c>
      <c r="Q34" s="13">
        <f t="shared" si="11"/>
        <v>1096.58</v>
      </c>
      <c r="R34" s="17"/>
      <c r="S34" s="17"/>
      <c r="T34" s="17">
        <f t="shared" si="14"/>
        <v>1034.766720405479</v>
      </c>
      <c r="U34" s="17">
        <f t="shared" si="4"/>
        <v>0.84999999999999964</v>
      </c>
      <c r="V34" s="18">
        <f t="shared" si="12"/>
        <v>5.0967204054794513</v>
      </c>
      <c r="W34" s="16">
        <f t="shared" si="13"/>
        <v>1030.52</v>
      </c>
    </row>
    <row r="35" spans="2:23"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1100.6600000000001</v>
      </c>
      <c r="L35" s="13">
        <f t="shared" si="7"/>
        <v>0.67999999999999972</v>
      </c>
      <c r="M35" s="13">
        <f t="shared" si="8"/>
        <v>4.76</v>
      </c>
      <c r="N35" s="13">
        <f t="shared" si="3"/>
        <v>0</v>
      </c>
      <c r="O35" s="13">
        <f t="shared" si="9"/>
        <v>0</v>
      </c>
      <c r="P35" s="13">
        <f t="shared" si="10"/>
        <v>0</v>
      </c>
      <c r="Q35" s="13">
        <f t="shared" si="11"/>
        <v>1096.58</v>
      </c>
      <c r="R35" s="17"/>
      <c r="S35" s="17"/>
      <c r="T35" s="17">
        <f>T34+U34+R35+S35-H35</f>
        <v>1035.6167204054789</v>
      </c>
      <c r="U35" s="17">
        <f t="shared" si="4"/>
        <v>0.84999999999999964</v>
      </c>
      <c r="V35" s="18">
        <f t="shared" si="12"/>
        <v>5.9467204054794509</v>
      </c>
      <c r="W35" s="16">
        <f t="shared" si="13"/>
        <v>1030.52</v>
      </c>
    </row>
    <row r="36" spans="2:23"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1101.3399999999999</v>
      </c>
      <c r="L36" s="13">
        <f t="shared" si="7"/>
        <v>0.67999999999999972</v>
      </c>
      <c r="M36" s="13">
        <f t="shared" si="8"/>
        <v>5.4399999999999995</v>
      </c>
      <c r="N36" s="13">
        <f t="shared" si="3"/>
        <v>0</v>
      </c>
      <c r="O36" s="13">
        <f t="shared" si="9"/>
        <v>0</v>
      </c>
      <c r="P36" s="13">
        <f t="shared" si="10"/>
        <v>0</v>
      </c>
      <c r="Q36" s="13">
        <f t="shared" si="11"/>
        <v>1096.58</v>
      </c>
      <c r="R36" s="17"/>
      <c r="S36" s="17"/>
      <c r="T36" s="17">
        <f t="shared" si="14"/>
        <v>1036.4667204054788</v>
      </c>
      <c r="U36" s="17">
        <f t="shared" si="4"/>
        <v>0.84999999999999964</v>
      </c>
      <c r="V36" s="18">
        <f t="shared" si="12"/>
        <v>6.7967204054794506</v>
      </c>
      <c r="W36" s="16">
        <f t="shared" si="13"/>
        <v>1030.52</v>
      </c>
    </row>
    <row r="37" spans="2:23"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1102.02</v>
      </c>
      <c r="L37" s="13">
        <f t="shared" si="7"/>
        <v>0.67999999999999972</v>
      </c>
      <c r="M37" s="13">
        <f t="shared" si="8"/>
        <v>6.1199999999999992</v>
      </c>
      <c r="N37" s="13">
        <f t="shared" si="3"/>
        <v>0</v>
      </c>
      <c r="O37" s="13">
        <f t="shared" si="9"/>
        <v>0</v>
      </c>
      <c r="P37" s="13">
        <f t="shared" si="10"/>
        <v>0</v>
      </c>
      <c r="Q37" s="13">
        <f t="shared" si="11"/>
        <v>1096.58</v>
      </c>
      <c r="R37" s="17"/>
      <c r="S37" s="17"/>
      <c r="T37" s="17">
        <f t="shared" si="14"/>
        <v>1037.3167204054787</v>
      </c>
      <c r="U37" s="17">
        <f t="shared" si="4"/>
        <v>0.84999999999999964</v>
      </c>
      <c r="V37" s="18">
        <f t="shared" si="12"/>
        <v>7.6467204054794502</v>
      </c>
      <c r="W37" s="16">
        <f t="shared" si="13"/>
        <v>1030.52</v>
      </c>
    </row>
    <row r="38" spans="2:23" s="90" customFormat="1" x14ac:dyDescent="0.35">
      <c r="B38" s="84">
        <f t="shared" si="0"/>
        <v>45055</v>
      </c>
      <c r="C38" s="85">
        <f t="shared" si="1"/>
        <v>45056</v>
      </c>
      <c r="D38" s="86"/>
      <c r="E38" s="87">
        <f>IF(SUM(E$29:E37)=$I$24,0,IF((D38&lt;=$I$24-SUM(E$29:E37)),D38,$I$24-SUM(E$29:E37)))</f>
        <v>0</v>
      </c>
      <c r="F38" s="87">
        <f>IF($I$19&gt;0,IF(SUM(F$29:F37)&lt;$I$19,IF((D38-E38)&gt;0,IF($I$20=0,IF($I$19-SUM(F$29:F37)&gt;D38,D38,$I$19-SUM(F$29:F37)),E38),D38),0)+IF($I$20&gt;0,IF(D38-$I$20-SUM($H$29:H37)-IF($I$19=0,0,E38)&gt;0,IF(D38-$I$20-SUM($H$29:H37)-IF($I$19=0,0,E38)&gt;$I$19,$I$19-SUM(F$29:F37)-E38,D38-$I$20-SUM($H$29:H37)-IF($I$19=0,0,E38)),0),0),0)</f>
        <v>0</v>
      </c>
      <c r="G38" s="87">
        <f t="shared" si="2"/>
        <v>0</v>
      </c>
      <c r="H38" s="87">
        <f t="shared" si="5"/>
        <v>0</v>
      </c>
      <c r="I38" s="87">
        <v>500</v>
      </c>
      <c r="J38" s="87"/>
      <c r="K38" s="87">
        <f t="shared" si="6"/>
        <v>1102.7</v>
      </c>
      <c r="L38" s="87">
        <f t="shared" si="7"/>
        <v>0.67999999999999972</v>
      </c>
      <c r="M38" s="87">
        <f t="shared" si="8"/>
        <v>6.7999999999999989</v>
      </c>
      <c r="N38" s="87">
        <f t="shared" si="3"/>
        <v>500</v>
      </c>
      <c r="O38" s="87">
        <f t="shared" si="9"/>
        <v>0.31</v>
      </c>
      <c r="P38" s="87">
        <f t="shared" si="10"/>
        <v>0.31</v>
      </c>
      <c r="Q38" s="87">
        <f t="shared" si="11"/>
        <v>1596.58</v>
      </c>
      <c r="R38" s="87">
        <v>500</v>
      </c>
      <c r="S38" s="87"/>
      <c r="T38" s="87">
        <f t="shared" si="14"/>
        <v>1538.1667204054786</v>
      </c>
      <c r="U38" s="87">
        <f t="shared" si="4"/>
        <v>1.2600000000000007</v>
      </c>
      <c r="V38" s="18">
        <f t="shared" si="12"/>
        <v>8.9067204054794509</v>
      </c>
      <c r="W38" s="89">
        <f t="shared" si="13"/>
        <v>1530.52</v>
      </c>
    </row>
    <row r="39" spans="2:23"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1103.3800000000001</v>
      </c>
      <c r="L39" s="13">
        <f t="shared" si="7"/>
        <v>0.67999999999999972</v>
      </c>
      <c r="M39" s="13">
        <f t="shared" si="8"/>
        <v>7.4799999999999986</v>
      </c>
      <c r="N39" s="13">
        <f t="shared" si="3"/>
        <v>500.31</v>
      </c>
      <c r="O39" s="13">
        <f>P39-P38</f>
        <v>0.31</v>
      </c>
      <c r="P39" s="13">
        <f t="shared" si="10"/>
        <v>0.62</v>
      </c>
      <c r="Q39" s="13">
        <f t="shared" si="11"/>
        <v>1596.58</v>
      </c>
      <c r="R39" s="17"/>
      <c r="S39" s="17"/>
      <c r="T39" s="17">
        <f t="shared" si="14"/>
        <v>1539.4267204054786</v>
      </c>
      <c r="U39" s="17">
        <f t="shared" si="4"/>
        <v>1.2599999999999998</v>
      </c>
      <c r="V39" s="18">
        <f t="shared" si="12"/>
        <v>10.166720405479451</v>
      </c>
      <c r="W39" s="16">
        <f t="shared" si="13"/>
        <v>1530.52</v>
      </c>
    </row>
    <row r="40" spans="2:23"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1104.06</v>
      </c>
      <c r="L40" s="13">
        <f t="shared" si="7"/>
        <v>0.67999999999999972</v>
      </c>
      <c r="M40" s="13">
        <f t="shared" si="8"/>
        <v>8.1599999999999984</v>
      </c>
      <c r="N40" s="13">
        <f t="shared" si="3"/>
        <v>500.62</v>
      </c>
      <c r="O40" s="13">
        <f t="shared" si="9"/>
        <v>0.31000000000000005</v>
      </c>
      <c r="P40" s="13">
        <f t="shared" si="10"/>
        <v>0.93</v>
      </c>
      <c r="Q40" s="13">
        <f t="shared" si="11"/>
        <v>1596.58</v>
      </c>
      <c r="R40" s="17"/>
      <c r="S40" s="17"/>
      <c r="T40" s="17">
        <f t="shared" si="14"/>
        <v>1540.6867204054786</v>
      </c>
      <c r="U40" s="17">
        <f t="shared" si="4"/>
        <v>1.2699999999999996</v>
      </c>
      <c r="V40" s="18">
        <f t="shared" si="12"/>
        <v>11.43672040547945</v>
      </c>
      <c r="W40" s="16">
        <f t="shared" si="13"/>
        <v>1530.52</v>
      </c>
    </row>
    <row r="41" spans="2:23"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1104.74</v>
      </c>
      <c r="L41" s="13">
        <f t="shared" si="7"/>
        <v>0.67999999999999972</v>
      </c>
      <c r="M41" s="13">
        <f t="shared" si="8"/>
        <v>8.8399999999999981</v>
      </c>
      <c r="N41" s="13">
        <f t="shared" si="3"/>
        <v>500.93</v>
      </c>
      <c r="O41" s="13">
        <f t="shared" si="9"/>
        <v>0.30999999999999994</v>
      </c>
      <c r="P41" s="13">
        <f t="shared" si="10"/>
        <v>1.24</v>
      </c>
      <c r="Q41" s="13">
        <f t="shared" si="11"/>
        <v>1596.58</v>
      </c>
      <c r="R41" s="17"/>
      <c r="S41" s="17"/>
      <c r="T41" s="17">
        <f t="shared" si="14"/>
        <v>1541.9567204054786</v>
      </c>
      <c r="U41" s="17">
        <f t="shared" si="4"/>
        <v>1.2699999999999996</v>
      </c>
      <c r="V41" s="18">
        <f t="shared" si="12"/>
        <v>12.70672040547945</v>
      </c>
      <c r="W41" s="16">
        <f t="shared" si="13"/>
        <v>1530.52</v>
      </c>
    </row>
    <row r="42" spans="2:23"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1105.42</v>
      </c>
      <c r="L42" s="13">
        <f t="shared" si="7"/>
        <v>0.67999999999999972</v>
      </c>
      <c r="M42" s="13">
        <f t="shared" si="8"/>
        <v>9.5199999999999978</v>
      </c>
      <c r="N42" s="13">
        <f t="shared" si="3"/>
        <v>501.24</v>
      </c>
      <c r="O42" s="13">
        <f t="shared" si="9"/>
        <v>0.31000000000000005</v>
      </c>
      <c r="P42" s="13">
        <f t="shared" si="10"/>
        <v>1.55</v>
      </c>
      <c r="Q42" s="13">
        <f t="shared" si="11"/>
        <v>1596.58</v>
      </c>
      <c r="R42" s="17"/>
      <c r="S42" s="17"/>
      <c r="T42" s="17">
        <f>T41+U41+R42+S42-H42</f>
        <v>1543.2267204054785</v>
      </c>
      <c r="U42" s="17">
        <f>V42-V41</f>
        <v>1.2699999999999996</v>
      </c>
      <c r="V42" s="18">
        <f t="shared" si="12"/>
        <v>13.976720405479449</v>
      </c>
      <c r="W42" s="16">
        <f t="shared" si="13"/>
        <v>1530.52</v>
      </c>
    </row>
    <row r="43" spans="2:23"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1106.0999999999999</v>
      </c>
      <c r="L43" s="87">
        <f t="shared" si="7"/>
        <v>0.67999999999999972</v>
      </c>
      <c r="M43" s="87">
        <f t="shared" si="8"/>
        <v>10.199999999999998</v>
      </c>
      <c r="N43" s="87">
        <f>ROUND(N42+I43+J43+O42-G43,2)</f>
        <v>501.55</v>
      </c>
      <c r="O43" s="87">
        <f t="shared" si="9"/>
        <v>0.31000000000000005</v>
      </c>
      <c r="P43" s="87">
        <f t="shared" si="10"/>
        <v>1.86</v>
      </c>
      <c r="Q43" s="87">
        <f t="shared" si="11"/>
        <v>1596.58</v>
      </c>
      <c r="R43" s="87"/>
      <c r="S43" s="87"/>
      <c r="T43" s="87">
        <f>T42+U42+R43+S43-H43</f>
        <v>1544.4967204054785</v>
      </c>
      <c r="U43" s="87">
        <f t="shared" si="4"/>
        <v>1.2699999999999996</v>
      </c>
      <c r="V43" s="18">
        <f t="shared" si="12"/>
        <v>15.246720405479449</v>
      </c>
      <c r="W43" s="89">
        <f t="shared" si="13"/>
        <v>1530.52</v>
      </c>
    </row>
    <row r="44" spans="2:23"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1106.78</v>
      </c>
      <c r="L44" s="13">
        <f t="shared" si="7"/>
        <v>0.67999999999999972</v>
      </c>
      <c r="M44" s="13">
        <f t="shared" si="8"/>
        <v>10.879999999999997</v>
      </c>
      <c r="N44" s="13">
        <f t="shared" si="3"/>
        <v>501.86</v>
      </c>
      <c r="O44" s="13">
        <f t="shared" si="9"/>
        <v>0.30999999999999983</v>
      </c>
      <c r="P44" s="13">
        <f t="shared" si="10"/>
        <v>2.17</v>
      </c>
      <c r="Q44" s="13">
        <f t="shared" si="11"/>
        <v>1596.58</v>
      </c>
      <c r="R44" s="17"/>
      <c r="S44" s="17"/>
      <c r="T44" s="17">
        <f t="shared" si="14"/>
        <v>1545.7667204054785</v>
      </c>
      <c r="U44" s="17">
        <f t="shared" si="4"/>
        <v>1.2700000000000014</v>
      </c>
      <c r="V44" s="18">
        <f t="shared" si="12"/>
        <v>16.51672040547945</v>
      </c>
      <c r="W44" s="16">
        <f t="shared" si="13"/>
        <v>1530.52</v>
      </c>
    </row>
    <row r="45" spans="2:23"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1107.46</v>
      </c>
      <c r="L45" s="13">
        <f t="shared" si="7"/>
        <v>0.67999999999999972</v>
      </c>
      <c r="M45" s="13">
        <f t="shared" si="8"/>
        <v>11.559999999999997</v>
      </c>
      <c r="N45" s="13">
        <f t="shared" si="3"/>
        <v>502.17</v>
      </c>
      <c r="O45" s="13">
        <f t="shared" si="9"/>
        <v>0.31000000000000005</v>
      </c>
      <c r="P45" s="13">
        <f t="shared" si="10"/>
        <v>2.48</v>
      </c>
      <c r="Q45" s="13">
        <f t="shared" si="11"/>
        <v>1596.58</v>
      </c>
      <c r="R45" s="17"/>
      <c r="S45" s="17"/>
      <c r="T45" s="17">
        <f t="shared" si="14"/>
        <v>1547.0367204054785</v>
      </c>
      <c r="U45" s="17">
        <f t="shared" si="4"/>
        <v>1.2699999999999996</v>
      </c>
      <c r="V45" s="18">
        <f t="shared" si="12"/>
        <v>17.78672040547945</v>
      </c>
      <c r="W45" s="16">
        <f>IF(T45=0,0,W44+R45+S45-H45)</f>
        <v>1530.52</v>
      </c>
    </row>
    <row r="46" spans="2:23"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1108.1400000000001</v>
      </c>
      <c r="L46" s="13">
        <f t="shared" si="7"/>
        <v>0.67999999999999972</v>
      </c>
      <c r="M46" s="13">
        <f t="shared" si="8"/>
        <v>12.239999999999997</v>
      </c>
      <c r="N46" s="13">
        <f t="shared" si="3"/>
        <v>502.48</v>
      </c>
      <c r="O46" s="13">
        <f t="shared" si="9"/>
        <v>0.31000000000000005</v>
      </c>
      <c r="P46" s="13">
        <f t="shared" si="10"/>
        <v>2.79</v>
      </c>
      <c r="Q46" s="13">
        <f t="shared" si="11"/>
        <v>1596.58</v>
      </c>
      <c r="R46" s="17"/>
      <c r="S46" s="17"/>
      <c r="T46" s="17">
        <f t="shared" si="14"/>
        <v>1548.3067204054785</v>
      </c>
      <c r="U46" s="17">
        <f t="shared" si="4"/>
        <v>1.2699999999999996</v>
      </c>
      <c r="V46" s="18">
        <f t="shared" si="12"/>
        <v>19.056720405479449</v>
      </c>
      <c r="W46" s="16">
        <f>IF(T46=0,0,W45+R46+S46-H46)</f>
        <v>1530.52</v>
      </c>
    </row>
    <row r="47" spans="2:23"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1108.82</v>
      </c>
      <c r="L47" s="87">
        <f t="shared" si="7"/>
        <v>0.67999999999999972</v>
      </c>
      <c r="M47" s="13">
        <f t="shared" si="8"/>
        <v>12.919999999999996</v>
      </c>
      <c r="N47" s="87">
        <f t="shared" si="3"/>
        <v>502.79</v>
      </c>
      <c r="O47" s="87">
        <f t="shared" si="9"/>
        <v>0.31000000000000005</v>
      </c>
      <c r="P47" s="87">
        <f t="shared" si="10"/>
        <v>3.1</v>
      </c>
      <c r="Q47" s="87">
        <f t="shared" si="11"/>
        <v>1596.58</v>
      </c>
      <c r="R47" s="87"/>
      <c r="S47" s="87"/>
      <c r="T47" s="87">
        <f t="shared" si="14"/>
        <v>1549.5767204054785</v>
      </c>
      <c r="U47" s="87">
        <f t="shared" si="4"/>
        <v>1.2699999999999996</v>
      </c>
      <c r="V47" s="18">
        <f t="shared" si="12"/>
        <v>20.326720405479449</v>
      </c>
      <c r="W47" s="89">
        <f t="shared" si="13"/>
        <v>1530.52</v>
      </c>
    </row>
    <row r="48" spans="2:23" x14ac:dyDescent="0.35">
      <c r="B48" s="47">
        <f t="shared" si="0"/>
        <v>45065</v>
      </c>
      <c r="C48" s="48">
        <f t="shared" si="1"/>
        <v>45066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1109.5</v>
      </c>
      <c r="L48" s="13">
        <f t="shared" si="7"/>
        <v>0.67999999999999972</v>
      </c>
      <c r="M48" s="13">
        <f t="shared" si="8"/>
        <v>13.599999999999996</v>
      </c>
      <c r="N48" s="13">
        <f t="shared" si="3"/>
        <v>503.1</v>
      </c>
      <c r="O48" s="13">
        <f t="shared" si="9"/>
        <v>0.31000000000000005</v>
      </c>
      <c r="P48" s="13">
        <f t="shared" si="10"/>
        <v>3.41</v>
      </c>
      <c r="Q48" s="13">
        <f t="shared" si="11"/>
        <v>1596.58</v>
      </c>
      <c r="R48" s="17"/>
      <c r="S48" s="17"/>
      <c r="T48" s="17">
        <f t="shared" si="14"/>
        <v>1550.8467204054784</v>
      </c>
      <c r="U48" s="17">
        <f t="shared" si="4"/>
        <v>1.2699999999999996</v>
      </c>
      <c r="V48" s="18">
        <f t="shared" si="12"/>
        <v>21.596720405479449</v>
      </c>
      <c r="W48" s="16">
        <f t="shared" si="13"/>
        <v>1530.52</v>
      </c>
    </row>
    <row r="49" spans="2:23"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1110.18</v>
      </c>
      <c r="L49" s="13">
        <f t="shared" si="7"/>
        <v>0.67999999999999972</v>
      </c>
      <c r="M49" s="13">
        <f t="shared" si="8"/>
        <v>14.279999999999996</v>
      </c>
      <c r="N49" s="13">
        <f t="shared" si="3"/>
        <v>503.41</v>
      </c>
      <c r="O49" s="13">
        <f t="shared" si="9"/>
        <v>0.31000000000000005</v>
      </c>
      <c r="P49" s="13">
        <f t="shared" si="10"/>
        <v>3.72</v>
      </c>
      <c r="Q49" s="13">
        <f t="shared" si="11"/>
        <v>1596.58</v>
      </c>
      <c r="R49" s="17"/>
      <c r="S49" s="17"/>
      <c r="T49" s="17">
        <f t="shared" si="14"/>
        <v>1552.1167204054784</v>
      </c>
      <c r="U49" s="17">
        <f t="shared" si="4"/>
        <v>1.2800000000000011</v>
      </c>
      <c r="V49" s="18">
        <f t="shared" si="12"/>
        <v>22.87672040547945</v>
      </c>
      <c r="W49" s="16">
        <f t="shared" si="13"/>
        <v>1530.52</v>
      </c>
    </row>
    <row r="50" spans="2:23"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1110.8599999999999</v>
      </c>
      <c r="L50" s="13">
        <f t="shared" si="7"/>
        <v>0.67999999999999972</v>
      </c>
      <c r="M50" s="13">
        <f t="shared" si="8"/>
        <v>14.959999999999996</v>
      </c>
      <c r="N50" s="13">
        <f t="shared" si="3"/>
        <v>503.72</v>
      </c>
      <c r="O50" s="13">
        <f t="shared" si="9"/>
        <v>0.31000000000000005</v>
      </c>
      <c r="P50" s="13">
        <f t="shared" si="10"/>
        <v>4.03</v>
      </c>
      <c r="Q50" s="13">
        <f t="shared" si="11"/>
        <v>1596.58</v>
      </c>
      <c r="R50" s="17"/>
      <c r="S50" s="17"/>
      <c r="T50" s="17">
        <f t="shared" si="14"/>
        <v>1553.3967204054784</v>
      </c>
      <c r="U50" s="17">
        <f t="shared" si="4"/>
        <v>1.2800000000000011</v>
      </c>
      <c r="V50" s="18">
        <f t="shared" si="12"/>
        <v>24.156720405479451</v>
      </c>
      <c r="W50" s="16">
        <f t="shared" si="13"/>
        <v>1530.52</v>
      </c>
    </row>
    <row r="51" spans="2:23" x14ac:dyDescent="0.35">
      <c r="B51" s="47">
        <f t="shared" si="0"/>
        <v>45068</v>
      </c>
      <c r="C51" s="48">
        <f t="shared" si="1"/>
        <v>45069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1111.54</v>
      </c>
      <c r="L51" s="13">
        <f t="shared" si="7"/>
        <v>0.67999999999999972</v>
      </c>
      <c r="M51" s="13">
        <f t="shared" si="8"/>
        <v>15.639999999999995</v>
      </c>
      <c r="N51" s="13">
        <f t="shared" si="3"/>
        <v>504.03</v>
      </c>
      <c r="O51" s="13">
        <f t="shared" si="9"/>
        <v>0.30999999999999961</v>
      </c>
      <c r="P51" s="13">
        <f t="shared" si="10"/>
        <v>4.34</v>
      </c>
      <c r="Q51" s="13">
        <f t="shared" si="11"/>
        <v>1596.58</v>
      </c>
      <c r="R51" s="17"/>
      <c r="S51" s="17"/>
      <c r="T51" s="17">
        <f t="shared" si="14"/>
        <v>1554.6767204054784</v>
      </c>
      <c r="U51" s="17">
        <f t="shared" si="4"/>
        <v>1.2800000000000011</v>
      </c>
      <c r="V51" s="18">
        <f t="shared" si="12"/>
        <v>25.436720405479452</v>
      </c>
      <c r="W51" s="16">
        <f t="shared" si="13"/>
        <v>1530.52</v>
      </c>
    </row>
    <row r="52" spans="2:23"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1112.22</v>
      </c>
      <c r="L52" s="13">
        <f t="shared" si="7"/>
        <v>0.6899999999999995</v>
      </c>
      <c r="M52" s="13">
        <f t="shared" si="8"/>
        <v>16.329999999999995</v>
      </c>
      <c r="N52" s="13">
        <f t="shared" si="3"/>
        <v>504.34</v>
      </c>
      <c r="O52" s="13">
        <f t="shared" si="9"/>
        <v>0.3100000000000005</v>
      </c>
      <c r="P52" s="13">
        <f t="shared" si="10"/>
        <v>4.6500000000000004</v>
      </c>
      <c r="Q52" s="13">
        <f t="shared" si="11"/>
        <v>1596.58</v>
      </c>
      <c r="R52" s="17"/>
      <c r="S52" s="17"/>
      <c r="T52" s="17">
        <f t="shared" si="14"/>
        <v>1555.9567204054783</v>
      </c>
      <c r="U52" s="17">
        <f t="shared" si="4"/>
        <v>1.2800000000000011</v>
      </c>
      <c r="V52" s="18">
        <f t="shared" si="12"/>
        <v>26.716720405479453</v>
      </c>
      <c r="W52" s="16">
        <f t="shared" si="13"/>
        <v>1530.52</v>
      </c>
    </row>
    <row r="53" spans="2:23" s="90" customFormat="1" x14ac:dyDescent="0.35">
      <c r="B53" s="84">
        <f t="shared" si="0"/>
        <v>45070</v>
      </c>
      <c r="C53" s="85">
        <f t="shared" si="1"/>
        <v>45071</v>
      </c>
      <c r="D53" s="86"/>
      <c r="E53" s="87">
        <f>IF(SUM(E$29:E52)=$I$24,0,IF((D53&lt;=$I$24-SUM(E$29:E52)),D53,$I$24-SUM(E$29:E52)))</f>
        <v>0</v>
      </c>
      <c r="F53" s="87">
        <f>IF($I$19&gt;0,IF(SUM(F$29:F52)&lt;$I$19,IF((D53-E53)&gt;0,IF($I$20=0,IF($I$19-SUM(F$29:F52)&gt;D53,D53,$I$19-SUM(F$29:F52)),E53),D53),0)+IF($I$20&gt;0,IF(D53-$I$20-SUM($H$29:H52)-IF($I$19=0,0,E53)&gt;0,IF(D53-$I$20-SUM($H$29:H52)-IF($I$19=0,0,E53)&gt;$I$19,$I$19-SUM(F$29:F52)-E53,D53-$I$20-SUM($H$29:H52)-IF($I$19=0,0,E53)),0),0),0)</f>
        <v>0</v>
      </c>
      <c r="G53" s="87">
        <f t="shared" si="2"/>
        <v>0</v>
      </c>
      <c r="H53" s="87">
        <f t="shared" si="5"/>
        <v>0</v>
      </c>
      <c r="I53" s="87"/>
      <c r="J53" s="87"/>
      <c r="K53" s="87">
        <f t="shared" si="6"/>
        <v>1112.9100000000001</v>
      </c>
      <c r="L53" s="87">
        <f t="shared" si="7"/>
        <v>0.69000000000000128</v>
      </c>
      <c r="M53" s="87">
        <f t="shared" si="8"/>
        <v>17.019999999999996</v>
      </c>
      <c r="N53" s="87">
        <f t="shared" si="3"/>
        <v>504.65</v>
      </c>
      <c r="O53" s="87">
        <f t="shared" si="9"/>
        <v>0.30999999999999961</v>
      </c>
      <c r="P53" s="87">
        <f t="shared" si="10"/>
        <v>4.96</v>
      </c>
      <c r="Q53" s="87">
        <f t="shared" si="11"/>
        <v>1596.58</v>
      </c>
      <c r="R53" s="87"/>
      <c r="S53" s="87"/>
      <c r="T53" s="87">
        <f t="shared" si="14"/>
        <v>1557.2367204054783</v>
      </c>
      <c r="U53" s="87">
        <f t="shared" si="4"/>
        <v>1.2800000000000011</v>
      </c>
      <c r="V53" s="18">
        <f t="shared" si="12"/>
        <v>27.996720405479454</v>
      </c>
      <c r="W53" s="89">
        <f t="shared" si="13"/>
        <v>1530.52</v>
      </c>
    </row>
    <row r="54" spans="2:23"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1113.5999999999999</v>
      </c>
      <c r="L54" s="13">
        <f t="shared" si="7"/>
        <v>0.69000000000000128</v>
      </c>
      <c r="M54" s="13">
        <f t="shared" si="8"/>
        <v>17.709999999999997</v>
      </c>
      <c r="N54" s="13">
        <f t="shared" si="3"/>
        <v>504.96</v>
      </c>
      <c r="O54" s="13">
        <f t="shared" si="9"/>
        <v>0.30999999999999961</v>
      </c>
      <c r="P54" s="13">
        <f t="shared" si="10"/>
        <v>5.27</v>
      </c>
      <c r="Q54" s="13">
        <f t="shared" si="11"/>
        <v>1596.58</v>
      </c>
      <c r="R54" s="17"/>
      <c r="S54" s="17"/>
      <c r="T54" s="17">
        <f t="shared" si="14"/>
        <v>1558.5167204054783</v>
      </c>
      <c r="U54" s="17">
        <f t="shared" si="4"/>
        <v>1.2800000000000011</v>
      </c>
      <c r="V54" s="18">
        <f t="shared" si="12"/>
        <v>29.276720405479455</v>
      </c>
      <c r="W54" s="16">
        <f t="shared" si="13"/>
        <v>1530.52</v>
      </c>
    </row>
    <row r="55" spans="2:23" s="98" customFormat="1" x14ac:dyDescent="0.35">
      <c r="B55" s="93">
        <f t="shared" si="0"/>
        <v>45072</v>
      </c>
      <c r="C55" s="94">
        <f t="shared" si="1"/>
        <v>45073</v>
      </c>
      <c r="D55" s="95"/>
      <c r="E55" s="96">
        <f>IF(SUM(E$29:E54)=$I$24,0,IF((D55&lt;=$I$24-SUM(E$29:E54)),D55,$I$24-SUM(E$29:E54)))</f>
        <v>0</v>
      </c>
      <c r="F55" s="96">
        <f>IF($I$19&gt;0,IF(SUM(F$29:F54)&lt;$I$19,IF((D55-E55)&gt;0,IF($I$20=0,IF($I$19-SUM(F$29:F54)&gt;D55,D55,$I$19-SUM(F$29:F54)),E55),D55),0)+IF($I$20&gt;0,IF(D55-$I$20-SUM($H$29:H54)-IF($I$19=0,0,E55)&gt;0,IF(D55-$I$20-SUM($H$29:H54)-IF($I$19=0,0,E55)&gt;$I$19,$I$19-SUM(F$29:F54)-E55,D55-$I$20-SUM($H$29:H54)-IF($I$19=0,0,E55)),0),0),0)</f>
        <v>0</v>
      </c>
      <c r="G55" s="96">
        <f t="shared" si="2"/>
        <v>0</v>
      </c>
      <c r="H55" s="96">
        <f t="shared" si="5"/>
        <v>0</v>
      </c>
      <c r="I55" s="96"/>
      <c r="J55" s="96"/>
      <c r="K55" s="96">
        <f t="shared" si="6"/>
        <v>1114.29</v>
      </c>
      <c r="L55" s="96">
        <f t="shared" si="7"/>
        <v>0.69000000000000128</v>
      </c>
      <c r="M55" s="96">
        <f t="shared" si="8"/>
        <v>18.399999999999999</v>
      </c>
      <c r="N55" s="96">
        <f t="shared" si="3"/>
        <v>505.27</v>
      </c>
      <c r="O55" s="96">
        <f t="shared" si="9"/>
        <v>0.3100000000000005</v>
      </c>
      <c r="P55" s="96">
        <f t="shared" si="10"/>
        <v>5.58</v>
      </c>
      <c r="Q55" s="96">
        <f t="shared" si="11"/>
        <v>1596.58</v>
      </c>
      <c r="R55" s="96"/>
      <c r="S55" s="96"/>
      <c r="T55" s="96">
        <f t="shared" si="14"/>
        <v>1559.7967204054783</v>
      </c>
      <c r="U55" s="96">
        <f t="shared" si="4"/>
        <v>1.2800000000000011</v>
      </c>
      <c r="V55" s="18">
        <f t="shared" si="12"/>
        <v>30.556720405479457</v>
      </c>
      <c r="W55" s="97">
        <f t="shared" si="13"/>
        <v>1530.52</v>
      </c>
    </row>
    <row r="56" spans="2:23" s="90" customFormat="1" x14ac:dyDescent="0.35">
      <c r="B56" s="84">
        <f t="shared" si="0"/>
        <v>45073</v>
      </c>
      <c r="C56" s="85">
        <f t="shared" si="1"/>
        <v>45074</v>
      </c>
      <c r="D56" s="86"/>
      <c r="E56" s="92">
        <f>IF(SUM(E$29:E55)=$I$24,0,IF((D56&lt;=$I$24-SUM(E$29:E55)),D56,$I$24-SUM(E$29:E55)))</f>
        <v>0</v>
      </c>
      <c r="F56" s="87">
        <f>IF($I$19&gt;0,IF(SUM(F$29:F55)&lt;$I$19,IF((D56-E56)&gt;0,IF($I$20=0,IF($I$19-SUM(F$29:F55)&gt;D56,D56,$I$19-SUM(F$29:F55)),E56),D56),0)+IF($I$20&gt;0,IF(D56-$I$20-SUM($H$29:H55)-IF($I$19=0,0,E56)&gt;0,IF(D56-$I$20-SUM($H$29:H55)-IF($I$19=0,0,E56)&gt;$I$19,$I$19-SUM(F$29:F55)-E56,D56-$I$20-SUM($H$29:H55)-IF($I$19=0,0,E56)),0),0),0)</f>
        <v>0</v>
      </c>
      <c r="G56" s="87">
        <f t="shared" si="2"/>
        <v>0</v>
      </c>
      <c r="H56" s="87">
        <f t="shared" si="5"/>
        <v>0</v>
      </c>
      <c r="I56" s="87"/>
      <c r="J56" s="87"/>
      <c r="K56" s="87">
        <f t="shared" si="6"/>
        <v>1114.98</v>
      </c>
      <c r="L56" s="87">
        <f t="shared" si="7"/>
        <v>0.69000000000000128</v>
      </c>
      <c r="M56" s="87">
        <f t="shared" si="8"/>
        <v>19.09</v>
      </c>
      <c r="N56" s="87">
        <f t="shared" si="3"/>
        <v>505.58</v>
      </c>
      <c r="O56" s="87">
        <f t="shared" si="9"/>
        <v>0.30999999999999961</v>
      </c>
      <c r="P56" s="87">
        <f t="shared" si="10"/>
        <v>5.89</v>
      </c>
      <c r="Q56" s="87">
        <f t="shared" si="11"/>
        <v>1596.58</v>
      </c>
      <c r="R56" s="87"/>
      <c r="S56" s="87"/>
      <c r="T56" s="87">
        <f t="shared" si="14"/>
        <v>1561.0767204054782</v>
      </c>
      <c r="U56" s="87">
        <f t="shared" si="4"/>
        <v>1.2800000000000011</v>
      </c>
      <c r="V56" s="18">
        <f t="shared" si="12"/>
        <v>31.836720405479458</v>
      </c>
      <c r="W56" s="89">
        <f t="shared" si="13"/>
        <v>1530.52</v>
      </c>
    </row>
    <row r="57" spans="2:23"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1115.67</v>
      </c>
      <c r="L57" s="13">
        <f t="shared" si="7"/>
        <v>0.69000000000000128</v>
      </c>
      <c r="M57" s="13">
        <f t="shared" si="8"/>
        <v>19.78</v>
      </c>
      <c r="N57" s="13">
        <f t="shared" si="3"/>
        <v>505.89</v>
      </c>
      <c r="O57" s="13">
        <f t="shared" si="9"/>
        <v>0.3100000000000005</v>
      </c>
      <c r="P57" s="13">
        <f t="shared" si="10"/>
        <v>6.2</v>
      </c>
      <c r="Q57" s="13">
        <f t="shared" si="11"/>
        <v>1596.58</v>
      </c>
      <c r="R57" s="17"/>
      <c r="S57" s="17"/>
      <c r="T57" s="17">
        <f t="shared" si="14"/>
        <v>1562.3567204054782</v>
      </c>
      <c r="U57" s="17">
        <f t="shared" si="4"/>
        <v>1.2799999999999976</v>
      </c>
      <c r="V57" s="18">
        <f t="shared" si="12"/>
        <v>33.116720405479455</v>
      </c>
      <c r="W57" s="16">
        <f t="shared" si="13"/>
        <v>1530.52</v>
      </c>
    </row>
    <row r="58" spans="2:23"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1116.3599999999999</v>
      </c>
      <c r="L58" s="13">
        <f t="shared" si="7"/>
        <v>0.69000000000000128</v>
      </c>
      <c r="M58" s="13">
        <f t="shared" si="8"/>
        <v>20.470000000000002</v>
      </c>
      <c r="N58" s="13">
        <f t="shared" si="3"/>
        <v>506.2</v>
      </c>
      <c r="O58" s="13">
        <f t="shared" si="9"/>
        <v>0.30999999999999961</v>
      </c>
      <c r="P58" s="13">
        <f t="shared" si="10"/>
        <v>6.51</v>
      </c>
      <c r="Q58" s="13">
        <f t="shared" si="11"/>
        <v>1596.58</v>
      </c>
      <c r="R58" s="17"/>
      <c r="S58" s="17"/>
      <c r="T58" s="17">
        <f t="shared" si="14"/>
        <v>1563.6367204054782</v>
      </c>
      <c r="U58" s="17">
        <f t="shared" si="4"/>
        <v>1.2800000000000011</v>
      </c>
      <c r="V58" s="18">
        <f t="shared" si="12"/>
        <v>34.396720405479456</v>
      </c>
      <c r="W58" s="16">
        <f t="shared" si="13"/>
        <v>1530.52</v>
      </c>
    </row>
    <row r="59" spans="2:23"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c r="K59" s="13">
        <f t="shared" si="6"/>
        <v>1117.05</v>
      </c>
      <c r="L59" s="13">
        <f t="shared" ref="L59" si="18">M59-M58</f>
        <v>0.69000000000000128</v>
      </c>
      <c r="M59" s="13">
        <f t="shared" si="8"/>
        <v>21.160000000000004</v>
      </c>
      <c r="N59" s="13">
        <f t="shared" ref="N59" si="19">ROUND(N58+I59+J59+O58-G59,2)</f>
        <v>506.51</v>
      </c>
      <c r="O59" s="13">
        <f t="shared" ref="O59" si="20">P59-P58</f>
        <v>0.3100000000000005</v>
      </c>
      <c r="P59" s="13">
        <f>ROUND(P58+N59*$F$22,2)</f>
        <v>6.82</v>
      </c>
      <c r="Q59" s="13">
        <f t="shared" ref="Q59" si="21">ROUND(N59+K59-M58-P58,2)</f>
        <v>1596.58</v>
      </c>
      <c r="R59" s="17"/>
      <c r="S59" s="17"/>
      <c r="T59" s="17">
        <f t="shared" ref="T59" si="22">T58+U58+R59+S59-H59</f>
        <v>1564.9167204054781</v>
      </c>
      <c r="U59" s="17">
        <f t="shared" ref="U59" si="23">V59-V58</f>
        <v>1.2899999999999991</v>
      </c>
      <c r="V59" s="18">
        <f t="shared" si="12"/>
        <v>35.686720405479456</v>
      </c>
      <c r="W59" s="16">
        <f t="shared" ref="W59" si="24">IF(T59=0,0,W58+R59+S59-H59)</f>
        <v>1530.52</v>
      </c>
    </row>
    <row r="60" spans="2:23" ht="15" thickBot="1" x14ac:dyDescent="0.4">
      <c r="B60" s="121" t="s">
        <v>49</v>
      </c>
      <c r="C60" s="122"/>
      <c r="D60" s="67">
        <f t="shared" ref="D60:L60" si="25">SUM(D29:D59)</f>
        <v>0</v>
      </c>
      <c r="E60" s="21">
        <f t="shared" si="25"/>
        <v>0</v>
      </c>
      <c r="F60" s="21">
        <f t="shared" si="25"/>
        <v>0</v>
      </c>
      <c r="G60" s="21">
        <f t="shared" si="25"/>
        <v>0</v>
      </c>
      <c r="H60" s="22">
        <f t="shared" si="25"/>
        <v>0</v>
      </c>
      <c r="I60" s="20">
        <f t="shared" si="25"/>
        <v>500</v>
      </c>
      <c r="J60" s="21">
        <f t="shared" si="25"/>
        <v>0</v>
      </c>
      <c r="K60" s="21">
        <f t="shared" si="25"/>
        <v>34310.460000000006</v>
      </c>
      <c r="L60" s="74">
        <f t="shared" si="25"/>
        <v>21.160000000000004</v>
      </c>
      <c r="M60" s="20"/>
      <c r="N60" s="21">
        <f>SUM(N29:N59)</f>
        <v>11071.61</v>
      </c>
      <c r="O60" s="21">
        <f>SUM(O29:O59)</f>
        <v>6.82</v>
      </c>
      <c r="P60" s="20"/>
      <c r="Q60" s="20"/>
      <c r="R60" s="22">
        <f>SUM(R29:R59)</f>
        <v>500</v>
      </c>
      <c r="S60" s="22">
        <f>SUM(S29:S59)</f>
        <v>0</v>
      </c>
      <c r="T60" s="22">
        <f>SUM(T29:T59)</f>
        <v>43438.431612164357</v>
      </c>
      <c r="U60" s="22">
        <f>SUM(U29:U59)</f>
        <v>35.686720405479456</v>
      </c>
      <c r="V60" s="23"/>
      <c r="W60" s="23"/>
    </row>
    <row r="61" spans="2:23" ht="15" thickBot="1" x14ac:dyDescent="0.4">
      <c r="G61" s="61"/>
      <c r="J61" s="82" t="s">
        <v>71</v>
      </c>
      <c r="K61" s="82">
        <f>K60/$C$18</f>
        <v>1106.7890322580647</v>
      </c>
      <c r="M61" s="82" t="s">
        <v>69</v>
      </c>
      <c r="N61" s="82">
        <f>N60/$C$18</f>
        <v>357.14870967741939</v>
      </c>
      <c r="O61" s="61"/>
      <c r="S61" s="82" t="s">
        <v>65</v>
      </c>
      <c r="T61" s="82">
        <f>T60/$C$18</f>
        <v>1401.2397294246566</v>
      </c>
    </row>
    <row r="62" spans="2:23" ht="15" thickBot="1" x14ac:dyDescent="0.4">
      <c r="H62" s="2"/>
      <c r="J62" s="82" t="s">
        <v>72</v>
      </c>
      <c r="K62" s="82">
        <f>ROUND(K61*$F$22*$C$18,2)</f>
        <v>21.14</v>
      </c>
      <c r="M62" s="82" t="s">
        <v>70</v>
      </c>
      <c r="N62" s="82">
        <f>IF(ROUND(N59,2)=0,0,N61*$F$22*$C$18)</f>
        <v>6.8219317506849322</v>
      </c>
      <c r="S62" s="82" t="s">
        <v>64</v>
      </c>
      <c r="T62" s="82">
        <f>T61*$F$23*$C$18</f>
        <v>35.690919562981065</v>
      </c>
    </row>
    <row r="63" spans="2:23" x14ac:dyDescent="0.35">
      <c r="M63" s="61"/>
      <c r="N63" s="61"/>
    </row>
    <row r="64" spans="2:23" ht="15" thickBot="1" x14ac:dyDescent="0.4"/>
    <row r="65" spans="11:19" ht="15" thickBot="1" x14ac:dyDescent="0.4">
      <c r="M65" s="82">
        <f>K62+N62</f>
        <v>27.961931750684933</v>
      </c>
      <c r="P65" s="61">
        <f>N62-N68</f>
        <v>1.2519317506849319</v>
      </c>
    </row>
    <row r="66" spans="11:19" ht="15" thickBot="1" x14ac:dyDescent="0.4">
      <c r="K66" s="61">
        <f>SUM(K29:K52)</f>
        <v>26505.600000000002</v>
      </c>
      <c r="N66" s="61">
        <f>SUM(N29:N55)</f>
        <v>9047.43</v>
      </c>
      <c r="P66" s="61">
        <f>SUM(O56:O59)</f>
        <v>1.2400000000000002</v>
      </c>
    </row>
    <row r="67" spans="11:19" ht="15" thickBot="1" x14ac:dyDescent="0.4">
      <c r="K67" s="82">
        <f>K66/$C$18</f>
        <v>855.01935483870977</v>
      </c>
      <c r="N67" s="82">
        <f>N66/$C$18</f>
        <v>291.85258064516131</v>
      </c>
      <c r="O67" s="61">
        <f>SUM(O43:O55)</f>
        <v>4.0299999999999994</v>
      </c>
    </row>
    <row r="68" spans="11:19" ht="15" thickBot="1" x14ac:dyDescent="0.4">
      <c r="K68" s="82">
        <f>ROUND(K67*$F$22*$C$18,2)</f>
        <v>16.329999999999998</v>
      </c>
      <c r="M68">
        <v>25.48</v>
      </c>
      <c r="N68" s="82">
        <f>ROUND(N67*$F$22*$C$18,2)</f>
        <v>5.57</v>
      </c>
      <c r="O68">
        <v>17.440000000000001</v>
      </c>
    </row>
    <row r="69" spans="11:19" x14ac:dyDescent="0.35">
      <c r="M69" s="61"/>
      <c r="O69" s="61">
        <f>SUM(O67,O68)</f>
        <v>21.47</v>
      </c>
    </row>
    <row r="70" spans="11:19" x14ac:dyDescent="0.35">
      <c r="M70" s="99">
        <f>K68+N68</f>
        <v>21.9</v>
      </c>
      <c r="S70" s="61">
        <f>N62+L60</f>
        <v>27.981931750684936</v>
      </c>
    </row>
    <row r="72" spans="11:19" x14ac:dyDescent="0.35">
      <c r="M72" s="61">
        <f>M65-M68</f>
        <v>2.4819317506849323</v>
      </c>
    </row>
    <row r="74" spans="11:19" x14ac:dyDescent="0.35">
      <c r="N74" s="61">
        <f>(K68+N68)-(SUM(L56:L59)+SUM(O56:O59))</f>
        <v>17.899999999999991</v>
      </c>
    </row>
    <row r="75" spans="11:19" x14ac:dyDescent="0.35">
      <c r="M75" s="61">
        <f>M55+N68</f>
        <v>23.97</v>
      </c>
    </row>
    <row r="79" spans="11:19" x14ac:dyDescent="0.35">
      <c r="M79" s="61">
        <f>K29-D48</f>
        <v>1096.58</v>
      </c>
    </row>
    <row r="80" spans="11:19" x14ac:dyDescent="0.35">
      <c r="M80">
        <f>M79</f>
        <v>1096.58</v>
      </c>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4" t="s">
        <v>50</v>
      </c>
      <c r="F2" s="105"/>
    </row>
    <row r="3" spans="2:12" ht="15" thickBot="1" x14ac:dyDescent="0.4">
      <c r="B3" s="28" t="s">
        <v>1</v>
      </c>
      <c r="C3" s="37">
        <v>25</v>
      </c>
      <c r="E3" s="45" t="s">
        <v>24</v>
      </c>
      <c r="F3" s="46">
        <f>C17</f>
        <v>45107</v>
      </c>
    </row>
    <row r="4" spans="2:12" ht="15" thickBot="1" x14ac:dyDescent="0.4">
      <c r="B4"/>
      <c r="C4"/>
      <c r="E4" s="62" t="s">
        <v>25</v>
      </c>
      <c r="F4" s="62">
        <f>'May Statement'!F11</f>
        <v>1035.690919562981</v>
      </c>
    </row>
    <row r="5" spans="2:12" ht="15" thickBot="1" x14ac:dyDescent="0.4">
      <c r="B5" s="29" t="s">
        <v>5</v>
      </c>
      <c r="C5" s="38">
        <v>45017</v>
      </c>
      <c r="E5" s="32" t="s">
        <v>10</v>
      </c>
      <c r="F5" s="33">
        <f>SUM(I11:I12)</f>
        <v>0</v>
      </c>
    </row>
    <row r="6" spans="2:12" x14ac:dyDescent="0.35">
      <c r="B6" s="30" t="s">
        <v>8</v>
      </c>
      <c r="C6" s="39">
        <v>45046</v>
      </c>
      <c r="E6" s="34" t="s">
        <v>26</v>
      </c>
      <c r="F6" s="35">
        <f>I59</f>
        <v>0</v>
      </c>
      <c r="H6" s="106" t="s">
        <v>40</v>
      </c>
      <c r="I6" s="107"/>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274.59837319551372</v>
      </c>
      <c r="L9" s="61"/>
    </row>
    <row r="10" spans="2:12" ht="15" thickBot="1" x14ac:dyDescent="0.4">
      <c r="B10" s="29" t="s">
        <v>12</v>
      </c>
      <c r="C10" s="38">
        <v>45047</v>
      </c>
      <c r="E10" s="4"/>
      <c r="F10" s="6"/>
      <c r="H10" s="124" t="s">
        <v>41</v>
      </c>
      <c r="I10" s="125"/>
      <c r="J10" s="126"/>
    </row>
    <row r="11" spans="2:12" ht="14.5" customHeight="1" x14ac:dyDescent="0.35">
      <c r="B11" s="30" t="s">
        <v>13</v>
      </c>
      <c r="C11" s="39">
        <f>C10+C12-1</f>
        <v>45077</v>
      </c>
      <c r="E11" s="55" t="s">
        <v>30</v>
      </c>
      <c r="F11" s="56">
        <f>F4+F6+F7+F8+F9-F5</f>
        <v>1310.2892927584946</v>
      </c>
      <c r="H11" s="72" t="s">
        <v>42</v>
      </c>
      <c r="I11" s="73">
        <f>SUM(F59:G59)</f>
        <v>0</v>
      </c>
      <c r="J11" s="102" t="s">
        <v>73</v>
      </c>
      <c r="K11" s="123"/>
    </row>
    <row r="12" spans="2:12" ht="15" thickBot="1" x14ac:dyDescent="0.4">
      <c r="B12" s="30" t="s">
        <v>14</v>
      </c>
      <c r="C12" s="40">
        <v>31</v>
      </c>
      <c r="E12" s="4"/>
      <c r="F12" s="6"/>
      <c r="H12" s="49" t="s">
        <v>43</v>
      </c>
      <c r="I12" s="50">
        <f>H59</f>
        <v>0</v>
      </c>
      <c r="J12" s="103"/>
      <c r="K12" s="123"/>
    </row>
    <row r="13" spans="2:12" ht="15" thickBot="1" x14ac:dyDescent="0.4">
      <c r="B13" s="31" t="s">
        <v>15</v>
      </c>
      <c r="C13" s="41">
        <v>45102</v>
      </c>
      <c r="E13" s="53" t="s">
        <v>31</v>
      </c>
      <c r="F13" s="54">
        <v>18000</v>
      </c>
    </row>
    <row r="14" spans="2:12" x14ac:dyDescent="0.35">
      <c r="E14" s="51" t="s">
        <v>32</v>
      </c>
      <c r="F14" s="52">
        <f>F13-F11</f>
        <v>16689.710707241506</v>
      </c>
      <c r="H14" s="106" t="s">
        <v>44</v>
      </c>
      <c r="I14" s="107"/>
    </row>
    <row r="15" spans="2:12" ht="29.5" thickBot="1" x14ac:dyDescent="0.4">
      <c r="B15"/>
      <c r="C15" s="3"/>
      <c r="E15" s="53" t="s">
        <v>33</v>
      </c>
      <c r="F15" s="54">
        <v>1200</v>
      </c>
      <c r="H15" s="7" t="s">
        <v>45</v>
      </c>
      <c r="I15" s="8">
        <f>K61</f>
        <v>235.52885410136986</v>
      </c>
    </row>
    <row r="16" spans="2:12" ht="29.5" thickBot="1" x14ac:dyDescent="0.4">
      <c r="B16" s="29" t="s">
        <v>3</v>
      </c>
      <c r="C16" s="38">
        <f>C10+C12</f>
        <v>45078</v>
      </c>
      <c r="E16" s="51" t="s">
        <v>34</v>
      </c>
      <c r="F16" s="52">
        <f>F15-F7-I16</f>
        <v>1160.9304809058563</v>
      </c>
      <c r="H16" s="49" t="s">
        <v>43</v>
      </c>
      <c r="I16" s="50">
        <f>T61</f>
        <v>39.069519094143843</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106" t="s">
        <v>51</v>
      </c>
      <c r="I18" s="107"/>
    </row>
    <row r="19" spans="2:23" ht="15" thickBot="1" x14ac:dyDescent="0.4">
      <c r="B19" s="31" t="s">
        <v>16</v>
      </c>
      <c r="C19" s="41">
        <f>C17+C3</f>
        <v>45132</v>
      </c>
      <c r="H19" s="7" t="s">
        <v>42</v>
      </c>
      <c r="I19" s="8">
        <f>'May Statement'!I19+'May Statement'!F6+'May Statement'!I7+'May Statement'!I15-'May Statement'!I11</f>
        <v>1556.58</v>
      </c>
    </row>
    <row r="20" spans="2:23" ht="15" thickBot="1" x14ac:dyDescent="0.4">
      <c r="H20" s="49" t="s">
        <v>43</v>
      </c>
      <c r="I20" s="50">
        <f>'May Statement'!I20+'May Statement'!F7+'May Statement'!I8+'May Statement'!I16-'May Statement'!I12</f>
        <v>1566.210919562981</v>
      </c>
      <c r="J20" s="5"/>
    </row>
    <row r="21" spans="2:23" x14ac:dyDescent="0.35">
      <c r="B21" s="106" t="s">
        <v>17</v>
      </c>
      <c r="C21" s="107"/>
      <c r="E21" s="106" t="s">
        <v>22</v>
      </c>
      <c r="F21" s="107"/>
      <c r="I21" s="62">
        <f>SUM(I19:I20)</f>
        <v>3122.7909195629809</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20" t="s">
        <v>10</v>
      </c>
      <c r="E27" s="120"/>
      <c r="F27" s="120"/>
      <c r="G27" s="120"/>
      <c r="H27" s="120"/>
      <c r="I27" s="119" t="s">
        <v>47</v>
      </c>
      <c r="J27" s="119"/>
      <c r="K27" s="119"/>
      <c r="L27" s="119"/>
      <c r="M27" s="119"/>
      <c r="N27" s="119"/>
      <c r="O27" s="119"/>
      <c r="P27" s="119"/>
      <c r="Q27" s="119"/>
      <c r="R27" s="117" t="s">
        <v>48</v>
      </c>
      <c r="S27" s="117"/>
      <c r="T27" s="117"/>
      <c r="U27" s="117"/>
      <c r="V27" s="117"/>
      <c r="W27" s="11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12628.19</v>
      </c>
      <c r="L29" s="12">
        <f>M29</f>
        <v>7.7810409068493147</v>
      </c>
      <c r="M29" s="12">
        <f>K29*$F$22</f>
        <v>7.7810409068493147</v>
      </c>
      <c r="N29" s="12">
        <f>I29+J29-G29</f>
        <v>0</v>
      </c>
      <c r="O29" s="12">
        <f>P29</f>
        <v>0</v>
      </c>
      <c r="P29" s="12">
        <f>N29*$F$22</f>
        <v>0</v>
      </c>
      <c r="Q29" s="12">
        <f>K29+N29</f>
        <v>12628.19</v>
      </c>
      <c r="R29" s="15"/>
      <c r="S29" s="15"/>
      <c r="T29" s="15">
        <f>$I$20+R29+S29-H29</f>
        <v>1566.210919562981</v>
      </c>
      <c r="U29" s="15">
        <f>V29</f>
        <v>1.2868675473340767</v>
      </c>
      <c r="V29" s="16">
        <f>T29*$F$23</f>
        <v>1.2868675473340767</v>
      </c>
      <c r="W29" s="16">
        <f>IF(T29=0,0,$I$20+R29+S29-H29)</f>
        <v>1566.210919562981</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12635.97</v>
      </c>
      <c r="L30" s="13">
        <f>M30-M29</f>
        <v>7.7858346657534252</v>
      </c>
      <c r="M30" s="13">
        <f>IF(K30=0,0,M29+K30*$F$22)</f>
        <v>15.56687557260274</v>
      </c>
      <c r="N30" s="13">
        <f t="shared" ref="N30:N57" si="3">ROUND(N29+I30+J30+O29-G30,2)</f>
        <v>0</v>
      </c>
      <c r="O30" s="13">
        <f>P30-P29</f>
        <v>0</v>
      </c>
      <c r="P30" s="13">
        <f>ROUND(P29+N30*$F$22,2)</f>
        <v>0</v>
      </c>
      <c r="Q30" s="13">
        <f>ROUND(N30+K30-M29-P29,2)</f>
        <v>12628.19</v>
      </c>
      <c r="R30" s="17"/>
      <c r="S30" s="17"/>
      <c r="T30" s="17">
        <f>T29+U29+R30+S30-H30</f>
        <v>1567.4977871103151</v>
      </c>
      <c r="U30" s="17">
        <f t="shared" ref="U30:U57" si="4">V30-V29</f>
        <v>1.2879248941215984</v>
      </c>
      <c r="V30" s="18">
        <f>V29+T30*$F$23</f>
        <v>2.5747924414556751</v>
      </c>
      <c r="W30" s="16">
        <f>IF(T30=0,0,W29+R30+S30-H30)</f>
        <v>1566.210919562981</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12643.76</v>
      </c>
      <c r="L31" s="13">
        <f t="shared" ref="L31:L57" si="7">M31-M30</f>
        <v>7.7906345863013691</v>
      </c>
      <c r="M31" s="13">
        <f t="shared" ref="M31:M57" si="8">IF(K31=0,0,M30+K31*$F$22)</f>
        <v>23.357510158904109</v>
      </c>
      <c r="N31" s="13">
        <f t="shared" si="3"/>
        <v>0</v>
      </c>
      <c r="O31" s="13">
        <f t="shared" ref="O31:O57" si="9">P31-P30</f>
        <v>0</v>
      </c>
      <c r="P31" s="13">
        <f t="shared" ref="P31:P56" si="10">ROUND(P30+N31*$F$22,2)</f>
        <v>0</v>
      </c>
      <c r="Q31" s="13">
        <f t="shared" ref="Q31:Q57" si="11">ROUND(N31+K31-M30-P30,2)</f>
        <v>12628.19</v>
      </c>
      <c r="R31" s="17"/>
      <c r="S31" s="17"/>
      <c r="T31" s="17">
        <f>T30+U30+R31+S31-H31</f>
        <v>1568.7857120044366</v>
      </c>
      <c r="U31" s="17">
        <f t="shared" si="4"/>
        <v>1.2889831096715909</v>
      </c>
      <c r="V31" s="18">
        <f t="shared" ref="V31:V57" si="12">V30+T31*$F$23</f>
        <v>3.863775551127266</v>
      </c>
      <c r="W31" s="16">
        <f t="shared" ref="W31:W57" si="13">IF(T31=0,0,W30+R31+S31-H31)</f>
        <v>1566.210919562981</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12651.55</v>
      </c>
      <c r="L32" s="13">
        <f t="shared" si="7"/>
        <v>7.7954345068493147</v>
      </c>
      <c r="M32" s="13">
        <f t="shared" si="8"/>
        <v>31.152944665753424</v>
      </c>
      <c r="N32" s="13">
        <f t="shared" si="3"/>
        <v>0</v>
      </c>
      <c r="O32" s="13">
        <f t="shared" si="9"/>
        <v>0</v>
      </c>
      <c r="P32" s="13">
        <f t="shared" si="10"/>
        <v>0</v>
      </c>
      <c r="Q32" s="13">
        <f t="shared" si="11"/>
        <v>12628.19</v>
      </c>
      <c r="R32" s="17"/>
      <c r="S32" s="17"/>
      <c r="T32" s="17">
        <f>T31+U31+R32+S32-H32</f>
        <v>1570.0746951141082</v>
      </c>
      <c r="U32" s="17">
        <f t="shared" si="4"/>
        <v>1.2900421946978655</v>
      </c>
      <c r="V32" s="18">
        <f t="shared" si="12"/>
        <v>5.1538177458251315</v>
      </c>
      <c r="W32" s="16">
        <f t="shared" si="13"/>
        <v>1566.210919562981</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12659.35</v>
      </c>
      <c r="L33" s="13">
        <f t="shared" si="7"/>
        <v>7.8002405890410955</v>
      </c>
      <c r="M33" s="13">
        <f t="shared" si="8"/>
        <v>38.953185254794519</v>
      </c>
      <c r="N33" s="13">
        <f t="shared" si="3"/>
        <v>0</v>
      </c>
      <c r="O33" s="13">
        <f t="shared" si="9"/>
        <v>0</v>
      </c>
      <c r="P33" s="13">
        <f t="shared" si="10"/>
        <v>0</v>
      </c>
      <c r="Q33" s="13">
        <f t="shared" si="11"/>
        <v>12628.2</v>
      </c>
      <c r="R33" s="17"/>
      <c r="S33" s="17"/>
      <c r="T33" s="17">
        <f t="shared" ref="T33:T57" si="14">T32+U32+R33+S33-H33</f>
        <v>1571.3647373088061</v>
      </c>
      <c r="U33" s="17">
        <f t="shared" si="4"/>
        <v>1.2911021499148241</v>
      </c>
      <c r="V33" s="18">
        <f t="shared" si="12"/>
        <v>6.4449198957399556</v>
      </c>
      <c r="W33" s="16">
        <f t="shared" si="13"/>
        <v>1566.210919562981</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12667.15</v>
      </c>
      <c r="L34" s="13">
        <f t="shared" si="7"/>
        <v>7.8050466712328728</v>
      </c>
      <c r="M34" s="13">
        <f t="shared" si="8"/>
        <v>46.758231926027392</v>
      </c>
      <c r="N34" s="13">
        <f t="shared" si="3"/>
        <v>0</v>
      </c>
      <c r="O34" s="13">
        <f t="shared" si="9"/>
        <v>0</v>
      </c>
      <c r="P34" s="13">
        <f t="shared" si="10"/>
        <v>0</v>
      </c>
      <c r="Q34" s="13">
        <f t="shared" si="11"/>
        <v>12628.2</v>
      </c>
      <c r="R34" s="17"/>
      <c r="S34" s="17"/>
      <c r="T34" s="17">
        <f t="shared" si="14"/>
        <v>1572.6558394587209</v>
      </c>
      <c r="U34" s="17">
        <f t="shared" si="4"/>
        <v>1.2921629760374529</v>
      </c>
      <c r="V34" s="18">
        <f t="shared" si="12"/>
        <v>7.7370828717774085</v>
      </c>
      <c r="W34" s="16">
        <f t="shared" si="13"/>
        <v>1566.210919562981</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12674.96</v>
      </c>
      <c r="L35" s="13">
        <f t="shared" si="7"/>
        <v>7.8098589150684887</v>
      </c>
      <c r="M35" s="13">
        <f t="shared" si="8"/>
        <v>54.568090841095881</v>
      </c>
      <c r="N35" s="13">
        <f t="shared" si="3"/>
        <v>0</v>
      </c>
      <c r="O35" s="13">
        <f t="shared" si="9"/>
        <v>0</v>
      </c>
      <c r="P35" s="13">
        <f t="shared" si="10"/>
        <v>0</v>
      </c>
      <c r="Q35" s="13">
        <f t="shared" si="11"/>
        <v>12628.2</v>
      </c>
      <c r="R35" s="17"/>
      <c r="S35" s="17"/>
      <c r="T35" s="17">
        <f>T34+U34+R35+S35-H35</f>
        <v>1573.9480024347583</v>
      </c>
      <c r="U35" s="17">
        <f t="shared" si="4"/>
        <v>1.2932246737813262</v>
      </c>
      <c r="V35" s="18">
        <f t="shared" si="12"/>
        <v>9.0303075455587347</v>
      </c>
      <c r="W35" s="16">
        <f t="shared" si="13"/>
        <v>1566.210919562981</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12682.77</v>
      </c>
      <c r="L36" s="13">
        <f t="shared" si="7"/>
        <v>7.8146711589041118</v>
      </c>
      <c r="M36" s="13">
        <f t="shared" si="8"/>
        <v>62.382761999999992</v>
      </c>
      <c r="N36" s="13">
        <f t="shared" si="3"/>
        <v>0</v>
      </c>
      <c r="O36" s="13">
        <f t="shared" si="9"/>
        <v>0</v>
      </c>
      <c r="P36" s="13">
        <f t="shared" si="10"/>
        <v>0</v>
      </c>
      <c r="Q36" s="13">
        <f t="shared" si="11"/>
        <v>12628.2</v>
      </c>
      <c r="R36" s="17"/>
      <c r="S36" s="17"/>
      <c r="T36" s="17">
        <f t="shared" si="14"/>
        <v>1575.2412271085398</v>
      </c>
      <c r="U36" s="17">
        <f t="shared" si="4"/>
        <v>1.2942872438626054</v>
      </c>
      <c r="V36" s="18">
        <f t="shared" si="12"/>
        <v>10.32459478942134</v>
      </c>
      <c r="W36" s="16">
        <f t="shared" si="13"/>
        <v>1566.210919562981</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12690.58</v>
      </c>
      <c r="L37" s="13">
        <f t="shared" si="7"/>
        <v>7.8194834027397278</v>
      </c>
      <c r="M37" s="13">
        <f t="shared" si="8"/>
        <v>70.20224540273972</v>
      </c>
      <c r="N37" s="13">
        <f t="shared" si="3"/>
        <v>0</v>
      </c>
      <c r="O37" s="13">
        <f t="shared" si="9"/>
        <v>0</v>
      </c>
      <c r="P37" s="13">
        <f t="shared" si="10"/>
        <v>0</v>
      </c>
      <c r="Q37" s="13">
        <f t="shared" si="11"/>
        <v>12628.2</v>
      </c>
      <c r="R37" s="17"/>
      <c r="S37" s="17"/>
      <c r="T37" s="17">
        <f t="shared" si="14"/>
        <v>1576.5355143524023</v>
      </c>
      <c r="U37" s="17">
        <f t="shared" si="4"/>
        <v>1.2953506869980416</v>
      </c>
      <c r="V37" s="18">
        <f t="shared" si="12"/>
        <v>11.619945476419382</v>
      </c>
      <c r="W37" s="16">
        <f t="shared" si="13"/>
        <v>1566.210919562981</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12698.4</v>
      </c>
      <c r="L38" s="13">
        <f t="shared" si="7"/>
        <v>7.8243018082191753</v>
      </c>
      <c r="M38" s="13">
        <f t="shared" si="8"/>
        <v>78.026547210958896</v>
      </c>
      <c r="N38" s="13">
        <f t="shared" si="3"/>
        <v>0</v>
      </c>
      <c r="O38" s="13">
        <f t="shared" si="9"/>
        <v>0</v>
      </c>
      <c r="P38" s="13">
        <f t="shared" si="10"/>
        <v>0</v>
      </c>
      <c r="Q38" s="13">
        <f t="shared" si="11"/>
        <v>12628.2</v>
      </c>
      <c r="R38" s="17"/>
      <c r="S38" s="17"/>
      <c r="T38" s="17">
        <f t="shared" si="14"/>
        <v>1577.8308650394004</v>
      </c>
      <c r="U38" s="17">
        <f t="shared" si="4"/>
        <v>1.2964150039049755</v>
      </c>
      <c r="V38" s="18">
        <f t="shared" si="12"/>
        <v>12.916360480324357</v>
      </c>
      <c r="W38" s="16">
        <f t="shared" si="13"/>
        <v>1566.210919562981</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12706.22</v>
      </c>
      <c r="L39" s="13">
        <f t="shared" si="7"/>
        <v>7.82912021369863</v>
      </c>
      <c r="M39" s="13">
        <f t="shared" si="8"/>
        <v>85.855667424657526</v>
      </c>
      <c r="N39" s="13">
        <f t="shared" si="3"/>
        <v>0</v>
      </c>
      <c r="O39" s="13">
        <f>P39-P38</f>
        <v>0</v>
      </c>
      <c r="P39" s="13">
        <f t="shared" si="10"/>
        <v>0</v>
      </c>
      <c r="Q39" s="13">
        <f t="shared" si="11"/>
        <v>12628.19</v>
      </c>
      <c r="R39" s="17"/>
      <c r="S39" s="17"/>
      <c r="T39" s="17">
        <f t="shared" si="14"/>
        <v>1579.1272800433053</v>
      </c>
      <c r="U39" s="17">
        <f t="shared" si="4"/>
        <v>1.2974801953013344</v>
      </c>
      <c r="V39" s="18">
        <f t="shared" si="12"/>
        <v>14.213840675625692</v>
      </c>
      <c r="W39" s="16">
        <f t="shared" si="13"/>
        <v>1566.210919562981</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12714.05</v>
      </c>
      <c r="L40" s="13">
        <f t="shared" si="7"/>
        <v>7.8339447808219234</v>
      </c>
      <c r="M40" s="13">
        <f t="shared" si="8"/>
        <v>93.689612205479449</v>
      </c>
      <c r="N40" s="13">
        <f t="shared" si="3"/>
        <v>0</v>
      </c>
      <c r="O40" s="13">
        <f t="shared" si="9"/>
        <v>0</v>
      </c>
      <c r="P40" s="13">
        <f t="shared" si="10"/>
        <v>0</v>
      </c>
      <c r="Q40" s="13">
        <f t="shared" si="11"/>
        <v>12628.19</v>
      </c>
      <c r="R40" s="17"/>
      <c r="S40" s="17"/>
      <c r="T40" s="17">
        <f t="shared" si="14"/>
        <v>1580.4247602386067</v>
      </c>
      <c r="U40" s="17">
        <f t="shared" si="4"/>
        <v>1.2985462619056385</v>
      </c>
      <c r="V40" s="18">
        <f t="shared" si="12"/>
        <v>15.51238693753133</v>
      </c>
      <c r="W40" s="16">
        <f t="shared" si="13"/>
        <v>1566.210919562981</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12721.88</v>
      </c>
      <c r="L41" s="13">
        <f t="shared" si="7"/>
        <v>7.8387693479452025</v>
      </c>
      <c r="M41" s="13">
        <f t="shared" si="8"/>
        <v>101.52838155342465</v>
      </c>
      <c r="N41" s="13">
        <f t="shared" si="3"/>
        <v>0</v>
      </c>
      <c r="O41" s="13">
        <f t="shared" si="9"/>
        <v>0</v>
      </c>
      <c r="P41" s="13">
        <f t="shared" si="10"/>
        <v>0</v>
      </c>
      <c r="Q41" s="13">
        <f t="shared" si="11"/>
        <v>12628.19</v>
      </c>
      <c r="R41" s="17"/>
      <c r="S41" s="17"/>
      <c r="T41" s="17">
        <f t="shared" si="14"/>
        <v>1581.7233065005123</v>
      </c>
      <c r="U41" s="17">
        <f t="shared" si="4"/>
        <v>1.2996132044369961</v>
      </c>
      <c r="V41" s="18">
        <f t="shared" si="12"/>
        <v>16.812000141968326</v>
      </c>
      <c r="W41" s="16">
        <f t="shared" si="13"/>
        <v>1566.210919562981</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12729.72</v>
      </c>
      <c r="L42" s="13">
        <f t="shared" si="7"/>
        <v>7.8436000767123346</v>
      </c>
      <c r="M42" s="13">
        <f t="shared" si="8"/>
        <v>109.37198163013699</v>
      </c>
      <c r="N42" s="13">
        <f t="shared" si="3"/>
        <v>0</v>
      </c>
      <c r="O42" s="13">
        <f t="shared" si="9"/>
        <v>0</v>
      </c>
      <c r="P42" s="13">
        <f t="shared" si="10"/>
        <v>0</v>
      </c>
      <c r="Q42" s="13">
        <f t="shared" si="11"/>
        <v>12628.19</v>
      </c>
      <c r="R42" s="17"/>
      <c r="S42" s="17"/>
      <c r="T42" s="17">
        <f>T41+U41+R42+S42-H42</f>
        <v>1583.0229197049493</v>
      </c>
      <c r="U42" s="17">
        <f>V42-V41</f>
        <v>1.300681023615109</v>
      </c>
      <c r="V42" s="18">
        <f t="shared" si="12"/>
        <v>18.112681165583435</v>
      </c>
      <c r="W42" s="16">
        <f t="shared" si="13"/>
        <v>1566.210919562981</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12737.56</v>
      </c>
      <c r="L43" s="13">
        <f t="shared" si="7"/>
        <v>7.8484308054794525</v>
      </c>
      <c r="M43" s="13">
        <f t="shared" si="8"/>
        <v>117.22041243561644</v>
      </c>
      <c r="N43" s="13">
        <f t="shared" si="3"/>
        <v>0</v>
      </c>
      <c r="O43" s="13">
        <f t="shared" si="9"/>
        <v>0</v>
      </c>
      <c r="P43" s="13">
        <f t="shared" si="10"/>
        <v>0</v>
      </c>
      <c r="Q43" s="13">
        <f t="shared" si="11"/>
        <v>12628.19</v>
      </c>
      <c r="R43" s="17"/>
      <c r="S43" s="17"/>
      <c r="T43" s="17">
        <f>T42+U42+R43+S43-H43</f>
        <v>1584.3236007285645</v>
      </c>
      <c r="U43" s="17">
        <f t="shared" si="4"/>
        <v>1.301749720160263</v>
      </c>
      <c r="V43" s="18">
        <f t="shared" si="12"/>
        <v>19.414430885743698</v>
      </c>
      <c r="W43" s="16">
        <f t="shared" si="13"/>
        <v>1566.210919562981</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12745.41</v>
      </c>
      <c r="L44" s="13">
        <f t="shared" si="7"/>
        <v>7.8532676958904091</v>
      </c>
      <c r="M44" s="13">
        <f t="shared" si="8"/>
        <v>125.07368013150685</v>
      </c>
      <c r="N44" s="13">
        <f t="shared" si="3"/>
        <v>0</v>
      </c>
      <c r="O44" s="13">
        <f t="shared" si="9"/>
        <v>0</v>
      </c>
      <c r="P44" s="13">
        <f t="shared" si="10"/>
        <v>0</v>
      </c>
      <c r="Q44" s="13">
        <f t="shared" si="11"/>
        <v>12628.19</v>
      </c>
      <c r="R44" s="17"/>
      <c r="S44" s="17"/>
      <c r="T44" s="17">
        <f t="shared" si="14"/>
        <v>1585.6253504487247</v>
      </c>
      <c r="U44" s="17">
        <f t="shared" si="4"/>
        <v>1.3028192947933483</v>
      </c>
      <c r="V44" s="18">
        <f t="shared" si="12"/>
        <v>20.717250180537047</v>
      </c>
      <c r="W44" s="16">
        <f t="shared" si="13"/>
        <v>1566.210919562981</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12753.26</v>
      </c>
      <c r="L45" s="13">
        <f t="shared" si="7"/>
        <v>7.8581045863013799</v>
      </c>
      <c r="M45" s="13">
        <f t="shared" si="8"/>
        <v>132.93178471780823</v>
      </c>
      <c r="N45" s="13">
        <f t="shared" si="3"/>
        <v>0</v>
      </c>
      <c r="O45" s="13">
        <f t="shared" si="9"/>
        <v>0</v>
      </c>
      <c r="P45" s="13">
        <f t="shared" si="10"/>
        <v>0</v>
      </c>
      <c r="Q45" s="13">
        <f t="shared" si="11"/>
        <v>12628.19</v>
      </c>
      <c r="R45" s="17"/>
      <c r="S45" s="17"/>
      <c r="T45" s="17">
        <f t="shared" si="14"/>
        <v>1586.9281697435181</v>
      </c>
      <c r="U45" s="17">
        <f t="shared" si="4"/>
        <v>1.3038897482358394</v>
      </c>
      <c r="V45" s="18">
        <f t="shared" si="12"/>
        <v>22.021139928772886</v>
      </c>
      <c r="W45" s="16">
        <f>IF(T45=0,0,W44+R45+S45-H45)</f>
        <v>1566.210919562981</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12761.12</v>
      </c>
      <c r="L46" s="13">
        <f t="shared" si="7"/>
        <v>7.862947638356161</v>
      </c>
      <c r="M46" s="13">
        <f t="shared" si="8"/>
        <v>140.79473235616439</v>
      </c>
      <c r="N46" s="13">
        <f t="shared" si="3"/>
        <v>0</v>
      </c>
      <c r="O46" s="13">
        <f t="shared" si="9"/>
        <v>0</v>
      </c>
      <c r="P46" s="13">
        <f t="shared" si="10"/>
        <v>0</v>
      </c>
      <c r="Q46" s="13">
        <f t="shared" si="11"/>
        <v>12628.19</v>
      </c>
      <c r="R46" s="17"/>
      <c r="S46" s="17"/>
      <c r="T46" s="17">
        <f t="shared" si="14"/>
        <v>1588.2320594917539</v>
      </c>
      <c r="U46" s="17">
        <f t="shared" si="4"/>
        <v>1.3049610812098003</v>
      </c>
      <c r="V46" s="18">
        <f t="shared" si="12"/>
        <v>23.326101009982686</v>
      </c>
      <c r="W46" s="16">
        <f>IF(T46=0,0,W45+R46+S46-H46)</f>
        <v>1566.210919562981</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12768.98</v>
      </c>
      <c r="L47" s="13">
        <f t="shared" si="7"/>
        <v>7.8677906904109705</v>
      </c>
      <c r="M47" s="13">
        <f t="shared" si="8"/>
        <v>148.66252304657536</v>
      </c>
      <c r="N47" s="13">
        <f t="shared" si="3"/>
        <v>0</v>
      </c>
      <c r="O47" s="13">
        <f t="shared" si="9"/>
        <v>0</v>
      </c>
      <c r="P47" s="13">
        <f t="shared" si="10"/>
        <v>0</v>
      </c>
      <c r="Q47" s="13">
        <f t="shared" si="11"/>
        <v>12628.19</v>
      </c>
      <c r="R47" s="17"/>
      <c r="S47" s="17"/>
      <c r="T47" s="17">
        <f t="shared" si="14"/>
        <v>1589.5370205729637</v>
      </c>
      <c r="U47" s="17">
        <f t="shared" si="4"/>
        <v>1.3060332944378956</v>
      </c>
      <c r="V47" s="18">
        <f t="shared" si="12"/>
        <v>24.632134304420582</v>
      </c>
      <c r="W47" s="16">
        <f t="shared" si="13"/>
        <v>1566.210919562981</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12776.85</v>
      </c>
      <c r="L48" s="13">
        <f t="shared" si="7"/>
        <v>7.872639904109576</v>
      </c>
      <c r="M48" s="13">
        <f t="shared" si="8"/>
        <v>156.53516295068493</v>
      </c>
      <c r="N48" s="13">
        <f t="shared" si="3"/>
        <v>0</v>
      </c>
      <c r="O48" s="13">
        <f t="shared" si="9"/>
        <v>0</v>
      </c>
      <c r="P48" s="13">
        <f t="shared" si="10"/>
        <v>0</v>
      </c>
      <c r="Q48" s="13">
        <f t="shared" si="11"/>
        <v>12628.19</v>
      </c>
      <c r="R48" s="17"/>
      <c r="S48" s="17"/>
      <c r="T48" s="17">
        <f t="shared" si="14"/>
        <v>1590.8430538674015</v>
      </c>
      <c r="U48" s="17">
        <f t="shared" si="4"/>
        <v>1.3071063886433798</v>
      </c>
      <c r="V48" s="18">
        <f t="shared" si="12"/>
        <v>25.939240693063962</v>
      </c>
      <c r="W48" s="16">
        <f t="shared" si="13"/>
        <v>1566.210919562981</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12784.72</v>
      </c>
      <c r="L49" s="13">
        <f t="shared" si="7"/>
        <v>7.87748911780821</v>
      </c>
      <c r="M49" s="13">
        <f t="shared" si="8"/>
        <v>164.41265206849314</v>
      </c>
      <c r="N49" s="13">
        <f t="shared" si="3"/>
        <v>0</v>
      </c>
      <c r="O49" s="13">
        <f t="shared" si="9"/>
        <v>0</v>
      </c>
      <c r="P49" s="13">
        <f t="shared" si="10"/>
        <v>0</v>
      </c>
      <c r="Q49" s="13">
        <f t="shared" si="11"/>
        <v>12628.18</v>
      </c>
      <c r="R49" s="17"/>
      <c r="S49" s="17"/>
      <c r="T49" s="17">
        <f t="shared" si="14"/>
        <v>1592.150160256045</v>
      </c>
      <c r="U49" s="17">
        <f t="shared" si="4"/>
        <v>1.308180364550104</v>
      </c>
      <c r="V49" s="18">
        <f t="shared" si="12"/>
        <v>27.247421057614066</v>
      </c>
      <c r="W49" s="16">
        <f t="shared" si="13"/>
        <v>1566.210919562981</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12792.6</v>
      </c>
      <c r="L50" s="13">
        <f t="shared" si="7"/>
        <v>7.882344493150697</v>
      </c>
      <c r="M50" s="13">
        <f t="shared" si="8"/>
        <v>172.29499656164384</v>
      </c>
      <c r="N50" s="13">
        <f t="shared" si="3"/>
        <v>0</v>
      </c>
      <c r="O50" s="13">
        <f t="shared" si="9"/>
        <v>0</v>
      </c>
      <c r="P50" s="13">
        <f t="shared" si="10"/>
        <v>0</v>
      </c>
      <c r="Q50" s="13">
        <f t="shared" si="11"/>
        <v>12628.19</v>
      </c>
      <c r="R50" s="17"/>
      <c r="S50" s="17"/>
      <c r="T50" s="17">
        <f t="shared" si="14"/>
        <v>1593.458340620595</v>
      </c>
      <c r="U50" s="17">
        <f t="shared" si="4"/>
        <v>1.3092552228825092</v>
      </c>
      <c r="V50" s="18">
        <f t="shared" si="12"/>
        <v>28.556676280496575</v>
      </c>
      <c r="W50" s="16">
        <f t="shared" si="13"/>
        <v>1566.210919562981</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12800.48</v>
      </c>
      <c r="L51" s="13">
        <f t="shared" si="7"/>
        <v>7.8871998684931555</v>
      </c>
      <c r="M51" s="13">
        <f t="shared" si="8"/>
        <v>180.182196430137</v>
      </c>
      <c r="N51" s="13">
        <f t="shared" si="3"/>
        <v>0</v>
      </c>
      <c r="O51" s="13">
        <f t="shared" si="9"/>
        <v>0</v>
      </c>
      <c r="P51" s="13">
        <f t="shared" si="10"/>
        <v>0</v>
      </c>
      <c r="Q51" s="13">
        <f t="shared" si="11"/>
        <v>12628.19</v>
      </c>
      <c r="R51" s="17"/>
      <c r="S51" s="17"/>
      <c r="T51" s="17">
        <f t="shared" si="14"/>
        <v>1594.7675958434775</v>
      </c>
      <c r="U51" s="17">
        <f t="shared" si="4"/>
        <v>1.3103309643656402</v>
      </c>
      <c r="V51" s="18">
        <f t="shared" si="12"/>
        <v>29.867007244862215</v>
      </c>
      <c r="W51" s="16">
        <f t="shared" si="13"/>
        <v>1566.210919562981</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12808.37</v>
      </c>
      <c r="L52" s="13">
        <f t="shared" si="7"/>
        <v>7.8920614054794385</v>
      </c>
      <c r="M52" s="13">
        <f t="shared" si="8"/>
        <v>188.07425783561644</v>
      </c>
      <c r="N52" s="13">
        <f>ROUND(N51+I52+J52+O51-G52,2)</f>
        <v>0</v>
      </c>
      <c r="O52" s="13">
        <f t="shared" si="9"/>
        <v>0</v>
      </c>
      <c r="P52" s="13">
        <f t="shared" si="10"/>
        <v>0</v>
      </c>
      <c r="Q52" s="13">
        <f t="shared" si="11"/>
        <v>12628.19</v>
      </c>
      <c r="R52" s="17"/>
      <c r="S52" s="17"/>
      <c r="T52" s="17">
        <f t="shared" si="14"/>
        <v>1596.0779268078431</v>
      </c>
      <c r="U52" s="17">
        <f t="shared" si="4"/>
        <v>1.3114075897251283</v>
      </c>
      <c r="V52" s="18">
        <f t="shared" si="12"/>
        <v>31.178414834587343</v>
      </c>
      <c r="W52" s="16">
        <f t="shared" si="13"/>
        <v>1566.210919562981</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12816.26</v>
      </c>
      <c r="L53" s="13">
        <f t="shared" si="7"/>
        <v>7.8969229424657499</v>
      </c>
      <c r="M53" s="13">
        <f t="shared" si="8"/>
        <v>195.97118077808219</v>
      </c>
      <c r="N53" s="13">
        <f t="shared" si="3"/>
        <v>0</v>
      </c>
      <c r="O53" s="13">
        <f t="shared" si="9"/>
        <v>0</v>
      </c>
      <c r="P53" s="13">
        <f t="shared" si="10"/>
        <v>0</v>
      </c>
      <c r="Q53" s="13">
        <f t="shared" si="11"/>
        <v>12628.19</v>
      </c>
      <c r="R53" s="17"/>
      <c r="S53" s="17"/>
      <c r="T53" s="17">
        <f t="shared" si="14"/>
        <v>1597.3893343975683</v>
      </c>
      <c r="U53" s="17">
        <f t="shared" si="4"/>
        <v>1.3124850996872084</v>
      </c>
      <c r="V53" s="18">
        <f t="shared" si="12"/>
        <v>32.490899934274552</v>
      </c>
      <c r="W53" s="16">
        <f t="shared" si="13"/>
        <v>1566.210919562981</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12824.16</v>
      </c>
      <c r="L54" s="13">
        <f t="shared" si="7"/>
        <v>7.9017906410958858</v>
      </c>
      <c r="M54" s="13">
        <f t="shared" si="8"/>
        <v>203.87297141917807</v>
      </c>
      <c r="N54" s="13">
        <f t="shared" si="3"/>
        <v>0</v>
      </c>
      <c r="O54" s="13">
        <f t="shared" si="9"/>
        <v>0</v>
      </c>
      <c r="P54" s="13">
        <f>ROUND(P53+N54*$F$22,2)</f>
        <v>0</v>
      </c>
      <c r="Q54" s="13">
        <f t="shared" si="11"/>
        <v>12628.19</v>
      </c>
      <c r="R54" s="17"/>
      <c r="S54" s="17"/>
      <c r="T54" s="17">
        <f t="shared" si="14"/>
        <v>1598.7018194972554</v>
      </c>
      <c r="U54" s="17">
        <f t="shared" si="4"/>
        <v>1.3135634949787018</v>
      </c>
      <c r="V54" s="18">
        <f t="shared" si="12"/>
        <v>33.804463429253254</v>
      </c>
      <c r="W54" s="16">
        <f t="shared" si="13"/>
        <v>1566.210919562981</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12832.06</v>
      </c>
      <c r="L55" s="13">
        <f t="shared" si="7"/>
        <v>7.9066583397260217</v>
      </c>
      <c r="M55" s="13">
        <f t="shared" si="8"/>
        <v>211.77962975890409</v>
      </c>
      <c r="N55" s="13">
        <f t="shared" si="3"/>
        <v>0</v>
      </c>
      <c r="O55" s="13">
        <f t="shared" si="9"/>
        <v>0</v>
      </c>
      <c r="P55" s="13">
        <f t="shared" si="10"/>
        <v>0</v>
      </c>
      <c r="Q55" s="13">
        <f t="shared" si="11"/>
        <v>12628.19</v>
      </c>
      <c r="R55" s="17"/>
      <c r="S55" s="17"/>
      <c r="T55" s="17">
        <f t="shared" si="14"/>
        <v>1600.0153829922342</v>
      </c>
      <c r="U55" s="17">
        <f t="shared" si="4"/>
        <v>1.314642776327041</v>
      </c>
      <c r="V55" s="18">
        <f t="shared" si="12"/>
        <v>35.119106205580294</v>
      </c>
      <c r="W55" s="16">
        <f t="shared" si="13"/>
        <v>1566.210919562981</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12839.97</v>
      </c>
      <c r="L56" s="13">
        <f t="shared" si="7"/>
        <v>7.9115322000000106</v>
      </c>
      <c r="M56" s="13">
        <f t="shared" si="8"/>
        <v>219.6911619589041</v>
      </c>
      <c r="N56" s="13">
        <f t="shared" si="3"/>
        <v>0</v>
      </c>
      <c r="O56" s="13">
        <f t="shared" si="9"/>
        <v>0</v>
      </c>
      <c r="P56" s="13">
        <f t="shared" si="10"/>
        <v>0</v>
      </c>
      <c r="Q56" s="13">
        <f t="shared" si="11"/>
        <v>12628.19</v>
      </c>
      <c r="R56" s="17"/>
      <c r="S56" s="17"/>
      <c r="T56" s="17">
        <f t="shared" si="14"/>
        <v>1601.3300257685612</v>
      </c>
      <c r="U56" s="17">
        <f t="shared" si="4"/>
        <v>1.3157229444602478</v>
      </c>
      <c r="V56" s="18">
        <f t="shared" si="12"/>
        <v>36.434829150040542</v>
      </c>
      <c r="W56" s="16">
        <f t="shared" si="13"/>
        <v>1566.210919562981</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12847.88</v>
      </c>
      <c r="L57" s="13">
        <f t="shared" si="7"/>
        <v>7.916406060273971</v>
      </c>
      <c r="M57" s="13">
        <f t="shared" si="8"/>
        <v>227.60756801917807</v>
      </c>
      <c r="N57" s="13">
        <f t="shared" si="3"/>
        <v>0</v>
      </c>
      <c r="O57" s="13">
        <f t="shared" si="9"/>
        <v>0</v>
      </c>
      <c r="P57" s="13">
        <f>ROUND(P56+N57*$F$22,2)</f>
        <v>0</v>
      </c>
      <c r="Q57" s="13">
        <f t="shared" si="11"/>
        <v>12628.19</v>
      </c>
      <c r="R57" s="17"/>
      <c r="S57" s="17"/>
      <c r="T57" s="17">
        <f t="shared" si="14"/>
        <v>1602.6457487130215</v>
      </c>
      <c r="U57" s="17">
        <f t="shared" si="4"/>
        <v>1.3168040001069485</v>
      </c>
      <c r="V57" s="18">
        <f t="shared" si="12"/>
        <v>37.751633150147491</v>
      </c>
      <c r="W57" s="16">
        <f t="shared" si="13"/>
        <v>1566.210919562981</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12855.8</v>
      </c>
      <c r="L58" s="13">
        <f t="shared" ref="L58" si="18">M58-M57</f>
        <v>7.9212860821917843</v>
      </c>
      <c r="M58" s="13">
        <f t="shared" ref="M58" si="19">IF(K58=0,0,M57+K58*$F$22)</f>
        <v>235.52885410136986</v>
      </c>
      <c r="N58" s="13">
        <f t="shared" ref="N58" si="20">ROUND(N57+I58+J58+O57-G58,2)</f>
        <v>0</v>
      </c>
      <c r="O58" s="13">
        <f t="shared" ref="O58" si="21">P58-P57</f>
        <v>0</v>
      </c>
      <c r="P58" s="13">
        <f>ROUND(P57+N58*$F$22,2)</f>
        <v>0</v>
      </c>
      <c r="Q58" s="13">
        <f t="shared" ref="Q58" si="22">ROUND(N58+K58-M57-P57,2)</f>
        <v>12628.19</v>
      </c>
      <c r="R58" s="17"/>
      <c r="S58" s="17"/>
      <c r="T58" s="17">
        <f t="shared" ref="T58" si="23">T57+U57+R58+S58-H58</f>
        <v>1603.9625527131284</v>
      </c>
      <c r="U58" s="17">
        <f t="shared" ref="U58" si="24">V58-V57</f>
        <v>1.3178859439963517</v>
      </c>
      <c r="V58" s="18">
        <f t="shared" ref="V58" si="25">V57+T58*$F$23</f>
        <v>39.069519094143843</v>
      </c>
      <c r="W58" s="16">
        <f t="shared" ref="W58" si="26">IF(T58=0,0,W57+R58+S58-H58)</f>
        <v>1566.210919562981</v>
      </c>
    </row>
    <row r="59" spans="2:23" ht="15" thickBot="1" x14ac:dyDescent="0.4">
      <c r="B59" s="121" t="s">
        <v>49</v>
      </c>
      <c r="C59" s="122"/>
      <c r="D59" s="67">
        <f t="shared" ref="D59:L59" si="27">SUM(D29:D58)</f>
        <v>0</v>
      </c>
      <c r="E59" s="21">
        <f t="shared" si="27"/>
        <v>0</v>
      </c>
      <c r="F59" s="21">
        <f t="shared" si="27"/>
        <v>0</v>
      </c>
      <c r="G59" s="21">
        <f t="shared" si="27"/>
        <v>0</v>
      </c>
      <c r="H59" s="22">
        <f t="shared" si="27"/>
        <v>0</v>
      </c>
      <c r="I59" s="20">
        <f t="shared" si="27"/>
        <v>0</v>
      </c>
      <c r="J59" s="21">
        <f t="shared" si="27"/>
        <v>0</v>
      </c>
      <c r="K59" s="21">
        <f t="shared" si="27"/>
        <v>382250.02999999991</v>
      </c>
      <c r="L59" s="74">
        <f t="shared" si="27"/>
        <v>235.52885410136986</v>
      </c>
      <c r="M59" s="20"/>
      <c r="N59" s="21">
        <f>SUM(N29:N58)</f>
        <v>0</v>
      </c>
      <c r="O59" s="21">
        <f>SUM(O29:O58)</f>
        <v>0</v>
      </c>
      <c r="P59" s="20"/>
      <c r="Q59" s="20"/>
      <c r="R59" s="22">
        <f>SUM(R29:R58)</f>
        <v>0</v>
      </c>
      <c r="S59" s="22">
        <f>SUM(S29:S58)</f>
        <v>0</v>
      </c>
      <c r="T59" s="22">
        <f>SUM(T29:T58)</f>
        <v>47550.431708444492</v>
      </c>
      <c r="U59" s="22">
        <f>SUM(U29:U58)</f>
        <v>39.069519094143843</v>
      </c>
      <c r="V59" s="23"/>
      <c r="W59" s="23"/>
    </row>
    <row r="60" spans="2:23" ht="15" thickBot="1" x14ac:dyDescent="0.4">
      <c r="G60" s="61"/>
      <c r="J60" s="82" t="s">
        <v>71</v>
      </c>
      <c r="K60" s="82">
        <f>K59/$C$18</f>
        <v>12741.667666666664</v>
      </c>
      <c r="M60" s="82" t="s">
        <v>69</v>
      </c>
      <c r="N60" s="82">
        <f>N59/$C$18</f>
        <v>0</v>
      </c>
      <c r="O60" s="61"/>
      <c r="S60" s="82" t="s">
        <v>65</v>
      </c>
      <c r="T60" s="82">
        <f>T59/$C$18</f>
        <v>1585.014390281483</v>
      </c>
    </row>
    <row r="61" spans="2:23" ht="15" thickBot="1" x14ac:dyDescent="0.4">
      <c r="H61" s="2"/>
      <c r="J61" s="82" t="s">
        <v>72</v>
      </c>
      <c r="K61" s="82">
        <f>M58</f>
        <v>235.52885410136986</v>
      </c>
      <c r="M61" s="82" t="s">
        <v>70</v>
      </c>
      <c r="N61" s="82">
        <f>IF(ROUND(N58,2)=0,0,N60*$F$22*$C$18)</f>
        <v>0</v>
      </c>
      <c r="S61" s="82" t="s">
        <v>64</v>
      </c>
      <c r="T61" s="82">
        <f>T60*$F$23*$C$18</f>
        <v>39.069519094143843</v>
      </c>
    </row>
    <row r="62" spans="2:23" x14ac:dyDescent="0.35">
      <c r="M62" s="61"/>
      <c r="N62" s="61"/>
    </row>
  </sheetData>
  <mergeCells count="13">
    <mergeCell ref="B59:C59"/>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2025-01-20T10:13:31Z</dcterms:modified>
</cp:coreProperties>
</file>