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200519FF-7C40-4A8A-84E9-C5A2AAD30542}"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9" i="13" l="1"/>
  <c r="M80" i="13" s="1"/>
  <c r="M29" i="13"/>
  <c r="L29" i="13" s="1"/>
  <c r="F4" i="15"/>
  <c r="C10" i="13"/>
  <c r="S60" i="16"/>
  <c r="R60" i="16"/>
  <c r="F7" i="16" s="1"/>
  <c r="J60" i="16"/>
  <c r="I7" i="16" s="1"/>
  <c r="F8" i="16" s="1"/>
  <c r="I60" i="16"/>
  <c r="F6" i="16" s="1"/>
  <c r="D60" i="16"/>
  <c r="E29" i="16"/>
  <c r="F23" i="16"/>
  <c r="F22" i="16"/>
  <c r="F18" i="16"/>
  <c r="C16" i="16"/>
  <c r="C11" i="16"/>
  <c r="C10" i="16"/>
  <c r="I8" i="16"/>
  <c r="C8" i="16"/>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I19" i="15" l="1"/>
  <c r="E30" i="16"/>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s="1"/>
  <c r="C34" i="15"/>
  <c r="B33" i="15"/>
  <c r="C33" i="14"/>
  <c r="B32" i="14"/>
  <c r="E37" i="14"/>
  <c r="E33" i="1"/>
  <c r="E34" i="1" s="1"/>
  <c r="F32" i="1"/>
  <c r="E33" i="13"/>
  <c r="E37" i="15" l="1"/>
  <c r="E38" i="15" s="1"/>
  <c r="E36" i="15"/>
  <c r="E35" i="16"/>
  <c r="B33" i="16"/>
  <c r="C34" i="16"/>
  <c r="C35" i="15"/>
  <c r="B34"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P52" i="16" l="1"/>
  <c r="K29" i="16"/>
  <c r="U52" i="16"/>
  <c r="W52" i="13"/>
  <c r="V52" i="13"/>
  <c r="Q29" i="16" l="1"/>
  <c r="M29" i="16"/>
  <c r="L29" i="16" s="1"/>
  <c r="K30" i="16" s="1"/>
  <c r="M30" i="16" s="1"/>
  <c r="L30" i="16" s="1"/>
  <c r="O52" i="16"/>
  <c r="H53" i="16"/>
  <c r="T53" i="16" s="1"/>
  <c r="U52" i="13"/>
  <c r="Q30" i="16" l="1"/>
  <c r="K31" i="16"/>
  <c r="Q31" i="16" s="1"/>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F9" i="16" s="1"/>
  <c r="F11" i="16" s="1"/>
  <c r="F14" i="16" s="1"/>
  <c r="L59" i="16"/>
  <c r="L60" i="16" s="1"/>
  <c r="H29" i="15" l="1"/>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s="1"/>
  <c r="G31" i="15" s="1"/>
  <c r="H31" i="14"/>
  <c r="G29" i="15"/>
  <c r="F32" i="15" l="1"/>
  <c r="G32" i="15" s="1"/>
  <c r="G30" i="15"/>
  <c r="N29" i="15"/>
  <c r="T31" i="14"/>
  <c r="F33" i="15" l="1"/>
  <c r="F34" i="15" s="1"/>
  <c r="F35" i="15" s="1"/>
  <c r="G35" i="15" s="1"/>
  <c r="W31" i="14"/>
  <c r="V31" i="14"/>
  <c r="G33" i="15"/>
  <c r="P29" i="15"/>
  <c r="O29" i="15" l="1"/>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Q31" i="15"/>
  <c r="K32" i="15"/>
  <c r="O38" i="15"/>
  <c r="N39" i="15" s="1"/>
  <c r="G56" i="15"/>
  <c r="F57" i="15"/>
  <c r="M32" i="15" l="1"/>
  <c r="L32" i="15" s="1"/>
  <c r="K33" i="15" s="1"/>
  <c r="Q32"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K37" i="15" s="1"/>
  <c r="Q36" i="15"/>
  <c r="O41" i="15"/>
  <c r="N42" i="15" s="1"/>
  <c r="T39" i="14"/>
  <c r="P42" i="15" l="1"/>
  <c r="M37" i="15"/>
  <c r="L37" i="15" s="1"/>
  <c r="K38" i="15" s="1"/>
  <c r="Q37" i="15"/>
  <c r="W39" i="14"/>
  <c r="V39" i="14"/>
  <c r="O42" i="15" l="1"/>
  <c r="N43" i="15" s="1"/>
  <c r="P43" i="15" s="1"/>
  <c r="U39" i="14"/>
  <c r="M38" i="15"/>
  <c r="L38" i="15" s="1"/>
  <c r="K39" i="15" s="1"/>
  <c r="Q38" i="15"/>
  <c r="H40" i="14" l="1"/>
  <c r="O43" i="15"/>
  <c r="N44" i="15" s="1"/>
  <c r="M39" i="15"/>
  <c r="L39" i="15" s="1"/>
  <c r="K40" i="15" s="1"/>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s="1"/>
  <c r="Q43" i="15"/>
  <c r="P46" i="15"/>
  <c r="H41" i="14"/>
  <c r="T41" i="14" l="1"/>
  <c r="V41" i="14" s="1"/>
  <c r="O46" i="15"/>
  <c r="N47" i="15" s="1"/>
  <c r="M44" i="15"/>
  <c r="L44" i="15" s="1"/>
  <c r="K45" i="15" s="1"/>
  <c r="Q44" i="15"/>
  <c r="W41" i="14" l="1"/>
  <c r="M45" i="15"/>
  <c r="L45" i="15" s="1"/>
  <c r="K46" i="15"/>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s="1"/>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s="1"/>
  <c r="O51" i="15"/>
  <c r="N52" i="15" s="1"/>
  <c r="P52" i="15" s="1"/>
  <c r="W44" i="14" l="1"/>
  <c r="O52" i="15"/>
  <c r="N53" i="15" s="1"/>
  <c r="M54" i="15"/>
  <c r="L54" i="15" s="1"/>
  <c r="K55" i="15" s="1"/>
  <c r="Q52" i="15"/>
  <c r="U44" i="14"/>
  <c r="M55" i="15" l="1"/>
  <c r="L55" i="15" s="1"/>
  <c r="K56" i="15" s="1"/>
  <c r="H45" i="14"/>
  <c r="Q53" i="15"/>
  <c r="P53" i="15"/>
  <c r="M56" i="15" l="1"/>
  <c r="L56" i="15" s="1"/>
  <c r="K57" i="15" s="1"/>
  <c r="T45" i="14"/>
  <c r="O53" i="15"/>
  <c r="N54" i="15" s="1"/>
  <c r="Q54" i="15" l="1"/>
  <c r="P54" i="15"/>
  <c r="W45" i="14"/>
  <c r="V45" i="14"/>
  <c r="M57" i="15"/>
  <c r="L57" i="15" s="1"/>
  <c r="K58" i="15" s="1"/>
  <c r="M58" i="15" l="1"/>
  <c r="K59" i="15"/>
  <c r="K60" i="15" s="1"/>
  <c r="K61" i="15" s="1"/>
  <c r="U45" i="14"/>
  <c r="O54" i="15"/>
  <c r="N55" i="15" s="1"/>
  <c r="Q55" i="15" l="1"/>
  <c r="H46" i="14"/>
  <c r="L58" i="15"/>
  <c r="L59" i="15" s="1"/>
  <c r="P55" i="15"/>
  <c r="I15" i="15" l="1"/>
  <c r="F9" i="15" s="1"/>
  <c r="T46" i="14"/>
  <c r="O55" i="15"/>
  <c r="N56" i="15" s="1"/>
  <c r="P56" i="15" s="1"/>
  <c r="F29" i="13" l="1"/>
  <c r="I21" i="13"/>
  <c r="W46" i="14"/>
  <c r="V46" i="14"/>
  <c r="O56" i="15"/>
  <c r="N57" i="15" s="1"/>
  <c r="Q56" i="15"/>
  <c r="F30" i="13" l="1"/>
  <c r="G30" i="13" s="1"/>
  <c r="G29" i="13"/>
  <c r="N29" i="13" s="1"/>
  <c r="Q57" i="15"/>
  <c r="P57" i="15"/>
  <c r="U46" i="14"/>
  <c r="F31" i="13" l="1"/>
  <c r="G31" i="13" s="1"/>
  <c r="P29" i="13"/>
  <c r="H47" i="14"/>
  <c r="T47" i="14" s="1"/>
  <c r="O57" i="15"/>
  <c r="N58" i="15" s="1"/>
  <c r="P58" i="15" s="1"/>
  <c r="O58" i="15" s="1"/>
  <c r="O59" i="15" s="1"/>
  <c r="F32" i="13" l="1"/>
  <c r="G32" i="13" s="1"/>
  <c r="O29" i="13"/>
  <c r="N30" i="13" s="1"/>
  <c r="W47" i="14"/>
  <c r="V47" i="14"/>
  <c r="Q58" i="15"/>
  <c r="N59" i="15"/>
  <c r="N60" i="15" s="1"/>
  <c r="N61" i="15" s="1"/>
  <c r="N65" i="15" l="1"/>
  <c r="L64" i="15"/>
  <c r="P30" i="13"/>
  <c r="O30" i="13" s="1"/>
  <c r="F33" i="13"/>
  <c r="G33" i="13" s="1"/>
  <c r="N31" i="13"/>
  <c r="U47" i="14"/>
  <c r="F34" i="13" l="1"/>
  <c r="G34" i="13" s="1"/>
  <c r="P31" i="13"/>
  <c r="H48" i="14"/>
  <c r="F35" i="13" l="1"/>
  <c r="G35" i="13" s="1"/>
  <c r="O31" i="13"/>
  <c r="N32" i="13" s="1"/>
  <c r="P32" i="13" s="1"/>
  <c r="O32" i="13" s="1"/>
  <c r="T48" i="14"/>
  <c r="F36" i="13" l="1"/>
  <c r="G36" i="13" s="1"/>
  <c r="N33" i="13"/>
  <c r="W48" i="14"/>
  <c r="V48" i="14"/>
  <c r="F37" i="13" l="1"/>
  <c r="G37" i="13" s="1"/>
  <c r="P33" i="13"/>
  <c r="U48" i="14"/>
  <c r="F38" i="13" l="1"/>
  <c r="G38" i="13" s="1"/>
  <c r="O33" i="13"/>
  <c r="N34" i="13" s="1"/>
  <c r="P34" i="13" s="1"/>
  <c r="H49" i="14"/>
  <c r="F39" i="13" l="1"/>
  <c r="G39" i="13" s="1"/>
  <c r="O34" i="13"/>
  <c r="N35" i="13" s="1"/>
  <c r="T49" i="14"/>
  <c r="F40" i="13" l="1"/>
  <c r="F41" i="13" s="1"/>
  <c r="G41" i="13" s="1"/>
  <c r="P35" i="13"/>
  <c r="W49" i="14"/>
  <c r="V49" i="14"/>
  <c r="F42" i="13" l="1"/>
  <c r="F43" i="13" s="1"/>
  <c r="F44" i="13" s="1"/>
  <c r="G44" i="13" s="1"/>
  <c r="G40" i="13"/>
  <c r="G42" i="13"/>
  <c r="G43" i="13"/>
  <c r="F45" i="13"/>
  <c r="G45" i="13" s="1"/>
  <c r="O35" i="13"/>
  <c r="N36" i="13" s="1"/>
  <c r="U49" i="14"/>
  <c r="F46" i="13" l="1"/>
  <c r="P36" i="13"/>
  <c r="H50" i="14"/>
  <c r="G46" i="13" l="1"/>
  <c r="F47" i="13"/>
  <c r="G47" i="13" s="1"/>
  <c r="O36" i="13"/>
  <c r="N37" i="13" s="1"/>
  <c r="P37" i="13" s="1"/>
  <c r="T50" i="14"/>
  <c r="F48" i="13" l="1"/>
  <c r="O37" i="13"/>
  <c r="N38" i="13" s="1"/>
  <c r="W50" i="14"/>
  <c r="V50" i="14"/>
  <c r="G48" i="13" l="1"/>
  <c r="F49" i="13"/>
  <c r="P38" i="13"/>
  <c r="U50" i="14"/>
  <c r="F50" i="13" l="1"/>
  <c r="F51" i="13" s="1"/>
  <c r="G51" i="13" s="1"/>
  <c r="G49" i="13"/>
  <c r="O38" i="13"/>
  <c r="N39" i="13" s="1"/>
  <c r="P39" i="13" s="1"/>
  <c r="O39" i="13" s="1"/>
  <c r="H51" i="14"/>
  <c r="T51" i="14" s="1"/>
  <c r="G50" i="13" l="1"/>
  <c r="F52" i="13"/>
  <c r="G52" i="13" s="1"/>
  <c r="Q29" i="13"/>
  <c r="N40" i="13"/>
  <c r="W51" i="14"/>
  <c r="V51" i="14"/>
  <c r="F53" i="13" l="1"/>
  <c r="K30" i="13" s="1"/>
  <c r="P40" i="13"/>
  <c r="U51" i="14"/>
  <c r="M30" i="13" l="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U52" i="14"/>
  <c r="M33" i="13" l="1"/>
  <c r="F58" i="13"/>
  <c r="L33" i="13"/>
  <c r="K34" i="13" s="1"/>
  <c r="M34" i="13" s="1"/>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M37" i="13" s="1"/>
  <c r="L37" i="13" s="1"/>
  <c r="K38" i="13" s="1"/>
  <c r="M38" i="13" s="1"/>
  <c r="I11" i="13"/>
  <c r="F5" i="13" s="1"/>
  <c r="Q36" i="13"/>
  <c r="U53" i="14"/>
  <c r="N45" i="13" l="1"/>
  <c r="Q37" i="13"/>
  <c r="L38" i="13"/>
  <c r="K39" i="13" s="1"/>
  <c r="M39" i="13" s="1"/>
  <c r="Q38" i="13"/>
  <c r="H54" i="14"/>
  <c r="P45" i="13" l="1"/>
  <c r="O45" i="13" s="1"/>
  <c r="L39" i="13"/>
  <c r="K40" i="13" s="1"/>
  <c r="M40" i="13" s="1"/>
  <c r="Q39" i="13"/>
  <c r="T54" i="14"/>
  <c r="N46" i="13" l="1"/>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L51" i="13"/>
  <c r="K52" i="13" s="1"/>
  <c r="Q51" i="13"/>
  <c r="H58" i="14"/>
  <c r="N66" i="13" l="1"/>
  <c r="N67" i="13" s="1"/>
  <c r="N68" i="13" s="1"/>
  <c r="M52" i="13"/>
  <c r="L52" i="13" s="1"/>
  <c r="K53" i="13" s="1"/>
  <c r="M53" i="13" s="1"/>
  <c r="K66" i="13"/>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Q54" i="13"/>
  <c r="F16" i="14"/>
  <c r="M55" i="13" l="1"/>
  <c r="K67" i="13"/>
  <c r="K68" i="13" s="1"/>
  <c r="M70" i="13" s="1"/>
  <c r="N57" i="13"/>
  <c r="P57" i="13" s="1"/>
  <c r="Q55" i="13"/>
  <c r="L55" i="13" l="1"/>
  <c r="K56" i="13" s="1"/>
  <c r="M56" i="13" s="1"/>
  <c r="M75" i="13"/>
  <c r="O57" i="13"/>
  <c r="Q56" i="13"/>
  <c r="N58" i="13" l="1"/>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Q59" i="13"/>
  <c r="K62" i="13" l="1"/>
  <c r="M65" i="13" s="1"/>
  <c r="M72" i="13" s="1"/>
  <c r="L59" i="13"/>
  <c r="L60" i="13" l="1"/>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K29"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<sst xmlns="http://schemas.openxmlformats.org/spreadsheetml/2006/main" count="488" uniqueCount="76">
  <si>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</si>
  <si>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</si>
  <si>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</si>
  <si>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</si>
  <si>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</si>
  <si>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</si>
  <si>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</si>
  <si>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</si>
  <si>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</si>
  <si>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</si>
  <si>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</si>
  <si>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</si>
  <si>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</si>
  <si>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</si>
  <si>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</si>
  <si>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</si>
  <si>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</si>
  <si>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</si>
  <si>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</si>
  <si>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</si>
  <si>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</si>
  <si>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</si>
  <si>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</si>
  <si>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</si>
  <si>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</si>
  <si>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</si>
  <si>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</si>
  <si>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</si>
  <si>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</si>
  <si>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</si>
  <si>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</si>
  <si>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</si>
  <si>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</si>
  <si>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</si>
  <si>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</si>
  <si>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</si>
  <si>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</si>
  <si>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</si>
  <si>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</si>
  <si>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</si>
  <si>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</si>
  <si>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</si>
  <si>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</si>
  <si>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</si>
  <si>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</si>
  <si>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</si>
  <si>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</si>
  <si>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</si>
  <si>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</si>
  <si>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</si>
  <si>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</si>
  <si>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</si>
  <si>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</si>
  <si>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</si>
  <si>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</si>
  <si>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</si>
  <si>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</si>
  <si>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</si>
  <si>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</si>
  <si>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</si>
  <si>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</si>
  <si>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</si>
  <si>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</si>
  <si>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</si>
  <si>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</si>
  <si>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</si>
  <si>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</si>
  <si>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</si>
  <si>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</si>
  <si>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</si>
  <si>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</si>
  <si>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</si>
  <si>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</si>
  <si>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</si>
  <si>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 xml:space="preserve">Interest calculated as per excel </t>
  </si>
  <si>
    <t xml:space="preserve">Interest posted as per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</si>
</sst>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8" xfId="0" applyNumberFormat="1" applyFill="1" applyBorder="1"/>
    <xf numFmtId="164" fontId="0" fillId="16" borderId="10" xfId="0" applyNumberFormat="1" applyFill="1" applyBorder="1"/>
    <xf numFmtId="0" fontId="0" fillId="16" borderId="0" xfId="0" applyFill="1"/>
    <xf numFmtId="164" fontId="8" fillId="9" borderId="1" xfId="0" applyNumberFormat="1" applyFont="1" applyFill="1" applyBorder="1"/>
    <xf numFmtId="164" fontId="7" fillId="9" borderId="0" xfId="0" applyNumberFormat="1" applyFont="1" applyFill="1"/>
    <xf numFmtId="0" fontId="7" fillId="9" borderId="0" xfId="0" applyFont="1" applyFill="1"/>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16" t="s">
        <v>50</v>
      </c>
      <c r="F2" s="117"/>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3" t="s">
        <v>40</v>
      </c>
      <c r="I6" s="104"/>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3" t="s">
        <v>41</v>
      </c>
      <c r="I10" s="104"/>
    </row>
    <row r="11" spans="2:12" x14ac:dyDescent="0.35">
      <c r="B11" s="30" t="s">
        <v>13</v>
      </c>
      <c r="C11" s="39">
        <v>44926</v>
      </c>
      <c r="E11" s="55" t="s">
        <v>30</v>
      </c>
      <c r="F11" s="56">
        <f>F4+F6+F7+F8+F9-F5</f>
        <v>0</v>
      </c>
      <c r="G11" s="61"/>
      <c r="H11" s="7" t="s">
        <v>42</v>
      </c>
      <c r="I11" s="8">
        <f>SUM(F60:G60)</f>
        <v>0</v>
      </c>
      <c r="J11" s="114" t="s">
        <v>73</v>
      </c>
    </row>
    <row r="12" spans="2:12" ht="15" thickBot="1" x14ac:dyDescent="0.4">
      <c r="B12" s="30" t="s">
        <v>14</v>
      </c>
      <c r="C12" s="40">
        <v>31</v>
      </c>
      <c r="E12" s="4"/>
      <c r="F12" s="6"/>
      <c r="H12" s="49" t="s">
        <v>43</v>
      </c>
      <c r="I12" s="50">
        <f>H60</f>
        <v>0</v>
      </c>
      <c r="J12" s="115"/>
    </row>
    <row r="13" spans="2:12" ht="15" thickBot="1" x14ac:dyDescent="0.4">
      <c r="B13" s="31" t="s">
        <v>15</v>
      </c>
      <c r="C13" s="41">
        <v>44951</v>
      </c>
      <c r="E13" s="53" t="s">
        <v>31</v>
      </c>
      <c r="F13" s="54">
        <v>5000</v>
      </c>
    </row>
    <row r="14" spans="2:12" x14ac:dyDescent="0.35">
      <c r="E14" s="51" t="s">
        <v>32</v>
      </c>
      <c r="F14" s="52">
        <f>F13-F11</f>
        <v>5000</v>
      </c>
      <c r="H14" s="103" t="s">
        <v>44</v>
      </c>
      <c r="I14" s="104"/>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3" t="s">
        <v>51</v>
      </c>
      <c r="I18" s="104"/>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3" t="s">
        <v>17</v>
      </c>
      <c r="C21" s="104"/>
      <c r="E21" s="103" t="s">
        <v>22</v>
      </c>
      <c r="F21" s="104"/>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5" t="s">
        <v>10</v>
      </c>
      <c r="E27" s="106"/>
      <c r="F27" s="106"/>
      <c r="G27" s="106"/>
      <c r="H27" s="107"/>
      <c r="I27" s="111" t="s">
        <v>47</v>
      </c>
      <c r="J27" s="112"/>
      <c r="K27" s="112"/>
      <c r="L27" s="112"/>
      <c r="M27" s="112"/>
      <c r="N27" s="112"/>
      <c r="O27" s="112"/>
      <c r="P27" s="112"/>
      <c r="Q27" s="113"/>
      <c r="R27" s="108" t="s">
        <v>48</v>
      </c>
      <c r="S27" s="109"/>
      <c r="T27" s="109"/>
      <c r="U27" s="109"/>
      <c r="V27" s="109"/>
      <c r="W27" s="110"/>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J11:J12"/>
    <mergeCell ref="E2:F2"/>
    <mergeCell ref="H6:I6"/>
    <mergeCell ref="H10:I10"/>
    <mergeCell ref="H14:I14"/>
    <mergeCell ref="H18:I18"/>
    <mergeCell ref="D27:H27"/>
    <mergeCell ref="R27:W27"/>
    <mergeCell ref="B21:C21"/>
    <mergeCell ref="E21:F21"/>
    <mergeCell ref="I27:Q2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16" t="s">
        <v>50</v>
      </c>
      <c r="F2" s="117"/>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3" t="s">
        <v>40</v>
      </c>
      <c r="I6" s="104"/>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5" t="s">
        <v>41</v>
      </c>
      <c r="I10" s="126"/>
      <c r="J10" s="127"/>
    </row>
    <row r="11" spans="2:13" ht="14.5" customHeight="1" x14ac:dyDescent="0.35">
      <c r="B11" s="30" t="s">
        <v>13</v>
      </c>
      <c r="C11" s="39">
        <f>C10+C12-1</f>
        <v>44957</v>
      </c>
      <c r="E11" s="55" t="s">
        <v>30</v>
      </c>
      <c r="F11" s="56">
        <f>F4+F6+F7+F8+F9-F5</f>
        <v>0</v>
      </c>
      <c r="H11" s="72" t="s">
        <v>42</v>
      </c>
      <c r="I11" s="73">
        <f>SUM(F57:G57)</f>
        <v>0</v>
      </c>
      <c r="J11" s="114" t="s">
        <v>73</v>
      </c>
      <c r="K11" s="124"/>
    </row>
    <row r="12" spans="2:13" ht="15" thickBot="1" x14ac:dyDescent="0.4">
      <c r="B12" s="30" t="s">
        <v>14</v>
      </c>
      <c r="C12" s="40">
        <v>31</v>
      </c>
      <c r="E12" s="4"/>
      <c r="F12" s="6"/>
      <c r="H12" s="49" t="s">
        <v>43</v>
      </c>
      <c r="I12" s="50">
        <f>H57</f>
        <v>0</v>
      </c>
      <c r="J12" s="115"/>
      <c r="K12" s="124"/>
    </row>
    <row r="13" spans="2:13" ht="15" thickBot="1" x14ac:dyDescent="0.4">
      <c r="B13" s="31" t="s">
        <v>15</v>
      </c>
      <c r="C13" s="41">
        <f>C11+C3</f>
        <v>44982</v>
      </c>
      <c r="E13" s="53" t="s">
        <v>31</v>
      </c>
      <c r="F13" s="91">
        <v>2895.94</v>
      </c>
    </row>
    <row r="14" spans="2:13" x14ac:dyDescent="0.35">
      <c r="E14" s="51" t="s">
        <v>32</v>
      </c>
      <c r="F14" s="52">
        <f>F13-F11</f>
        <v>2895.94</v>
      </c>
      <c r="H14" s="103" t="s">
        <v>44</v>
      </c>
      <c r="I14" s="104"/>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3" t="s">
        <v>51</v>
      </c>
      <c r="I18" s="104"/>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2" t="s">
        <v>49</v>
      </c>
      <c r="C57" s="123"/>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E55" zoomScale="66" zoomScaleNormal="66" workbookViewId="0">
      <selection activeCell="J48" sqref="J48"/>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1000</v>
      </c>
      <c r="H6" s="103" t="s">
        <v>40</v>
      </c>
      <c r="I6" s="104"/>
    </row>
    <row r="7" spans="2:12" ht="29" x14ac:dyDescent="0.35">
      <c r="B7" s="30" t="s">
        <v>6</v>
      </c>
      <c r="C7" s="40">
        <v>31</v>
      </c>
      <c r="E7" s="34" t="s">
        <v>27</v>
      </c>
      <c r="F7" s="35">
        <f>R60</f>
        <v>0</v>
      </c>
      <c r="H7" s="7" t="s">
        <v>37</v>
      </c>
      <c r="I7" s="8">
        <f>J60</f>
        <v>50</v>
      </c>
      <c r="L7" s="61"/>
    </row>
    <row r="8" spans="2:12" ht="29.5" thickBot="1" x14ac:dyDescent="0.4">
      <c r="B8" s="31" t="s">
        <v>7</v>
      </c>
      <c r="C8" s="41">
        <f>C6+C3</f>
        <v>44982</v>
      </c>
      <c r="E8" s="34" t="s">
        <v>28</v>
      </c>
      <c r="F8" s="35">
        <f>SUM(I7:I8)</f>
        <v>50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25" t="s">
        <v>41</v>
      </c>
      <c r="I10" s="126"/>
      <c r="J10" s="127"/>
    </row>
    <row r="11" spans="2:12" ht="14.5" customHeight="1" x14ac:dyDescent="0.35">
      <c r="B11" s="30" t="s">
        <v>13</v>
      </c>
      <c r="C11" s="39">
        <f>C10+C12-1</f>
        <v>44985</v>
      </c>
      <c r="E11" s="55" t="s">
        <v>30</v>
      </c>
      <c r="F11" s="56">
        <f>F4+F6+F7+F8+F9-F5</f>
        <v>1050</v>
      </c>
      <c r="H11" s="72" t="s">
        <v>42</v>
      </c>
      <c r="I11" s="73">
        <f>SUM(F60:G60)</f>
        <v>0</v>
      </c>
      <c r="J11" s="114" t="s">
        <v>73</v>
      </c>
      <c r="K11" s="124"/>
    </row>
    <row r="12" spans="2:12" ht="15" thickBot="1" x14ac:dyDescent="0.4">
      <c r="B12" s="30" t="s">
        <v>14</v>
      </c>
      <c r="C12" s="40">
        <v>28</v>
      </c>
      <c r="E12" s="4"/>
      <c r="F12" s="6"/>
      <c r="H12" s="49" t="s">
        <v>43</v>
      </c>
      <c r="I12" s="50">
        <f>H60</f>
        <v>0</v>
      </c>
      <c r="J12" s="115"/>
      <c r="K12" s="124"/>
    </row>
    <row r="13" spans="2:12" ht="15" thickBot="1" x14ac:dyDescent="0.4">
      <c r="B13" s="31" t="s">
        <v>15</v>
      </c>
      <c r="C13" s="41">
        <v>45010</v>
      </c>
      <c r="E13" s="53" t="s">
        <v>31</v>
      </c>
      <c r="F13" s="54">
        <v>0</v>
      </c>
    </row>
    <row r="14" spans="2:12" x14ac:dyDescent="0.35">
      <c r="E14" s="51" t="s">
        <v>32</v>
      </c>
      <c r="F14" s="52">
        <f>F13-F11</f>
        <v>-1050</v>
      </c>
      <c r="H14" s="103" t="s">
        <v>44</v>
      </c>
      <c r="I14" s="104"/>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3" t="s">
        <v>51</v>
      </c>
      <c r="I18" s="104"/>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50</v>
      </c>
      <c r="K29" s="13">
        <f>IF(SUM($F$29:$F$53)&gt;=$I$19,0,$I$19+'Feb Statement'!N59-$F$29)</f>
        <v>0</v>
      </c>
      <c r="L29" s="12">
        <f>M29</f>
        <v>0</v>
      </c>
      <c r="M29" s="12">
        <f>K29*$F$22</f>
        <v>0</v>
      </c>
      <c r="N29" s="12">
        <f>I29+J29-G29</f>
        <v>50</v>
      </c>
      <c r="O29" s="12">
        <f>P29</f>
        <v>3.0808219178082189E-2</v>
      </c>
      <c r="P29" s="12">
        <f>N29*$F$22</f>
        <v>3.0808219178082189E-2</v>
      </c>
      <c r="Q29" s="12">
        <f>K29+N29</f>
        <v>50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50.03</v>
      </c>
      <c r="O30" s="13">
        <f>P30-P29</f>
        <v>2.9191780821917809E-2</v>
      </c>
      <c r="P30" s="13">
        <f>ROUND(P29+N30*$F$22,2)</f>
        <v>0.06</v>
      </c>
      <c r="Q30" s="13">
        <f>ROUND(N30+K30-M29-P29,2)</f>
        <v>50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50.06</v>
      </c>
      <c r="O31" s="13">
        <f t="shared" ref="O31:O59" si="9">P31-P30</f>
        <v>0.03</v>
      </c>
      <c r="P31" s="13">
        <f t="shared" ref="P31:P58" si="10">ROUND(P30+N31*$F$22,2)</f>
        <v>0.09</v>
      </c>
      <c r="Q31" s="13">
        <f t="shared" ref="Q31:Q59" si="11">ROUND(N31+K31-M30-P30,2)</f>
        <v>50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50.09</v>
      </c>
      <c r="O32" s="13">
        <f t="shared" si="9"/>
        <v>0.03</v>
      </c>
      <c r="P32" s="13">
        <f t="shared" si="10"/>
        <v>0.12</v>
      </c>
      <c r="Q32" s="13">
        <f t="shared" si="11"/>
        <v>50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50.12</v>
      </c>
      <c r="O33" s="13">
        <f t="shared" si="9"/>
        <v>0.03</v>
      </c>
      <c r="P33" s="13">
        <f t="shared" si="10"/>
        <v>0.15</v>
      </c>
      <c r="Q33" s="13">
        <f t="shared" si="11"/>
        <v>50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50.15</v>
      </c>
      <c r="O34" s="13">
        <f t="shared" si="9"/>
        <v>0.03</v>
      </c>
      <c r="P34" s="13">
        <f t="shared" si="10"/>
        <v>0.18</v>
      </c>
      <c r="Q34" s="13">
        <f t="shared" si="11"/>
        <v>50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50.18</v>
      </c>
      <c r="O35" s="13">
        <f t="shared" si="9"/>
        <v>0.03</v>
      </c>
      <c r="P35" s="13">
        <f t="shared" si="10"/>
        <v>0.21</v>
      </c>
      <c r="Q35" s="13">
        <f t="shared" si="11"/>
        <v>50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50.21</v>
      </c>
      <c r="O36" s="13">
        <f t="shared" si="9"/>
        <v>0.03</v>
      </c>
      <c r="P36" s="13">
        <f t="shared" si="10"/>
        <v>0.24</v>
      </c>
      <c r="Q36" s="13">
        <f t="shared" si="11"/>
        <v>50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50.24</v>
      </c>
      <c r="O37" s="13">
        <f t="shared" si="9"/>
        <v>3.0000000000000027E-2</v>
      </c>
      <c r="P37" s="13">
        <f t="shared" si="10"/>
        <v>0.27</v>
      </c>
      <c r="Q37" s="13">
        <f t="shared" si="11"/>
        <v>50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50.27</v>
      </c>
      <c r="O38" s="13">
        <f t="shared" si="9"/>
        <v>2.9999999999999971E-2</v>
      </c>
      <c r="P38" s="13">
        <f t="shared" si="10"/>
        <v>0.3</v>
      </c>
      <c r="Q38" s="13">
        <f t="shared" si="11"/>
        <v>50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50.3</v>
      </c>
      <c r="O39" s="13">
        <f>P39-P38</f>
        <v>3.0000000000000027E-2</v>
      </c>
      <c r="P39" s="13">
        <f t="shared" si="10"/>
        <v>0.33</v>
      </c>
      <c r="Q39" s="13">
        <f t="shared" si="11"/>
        <v>50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50.33</v>
      </c>
      <c r="O40" s="13">
        <f t="shared" si="9"/>
        <v>2.9999999999999971E-2</v>
      </c>
      <c r="P40" s="13">
        <f t="shared" si="10"/>
        <v>0.36</v>
      </c>
      <c r="Q40" s="13">
        <f t="shared" si="11"/>
        <v>50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50.36</v>
      </c>
      <c r="O41" s="13">
        <f t="shared" si="9"/>
        <v>3.0000000000000027E-2</v>
      </c>
      <c r="P41" s="13">
        <f t="shared" si="10"/>
        <v>0.39</v>
      </c>
      <c r="Q41" s="13">
        <f t="shared" si="11"/>
        <v>50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50.39</v>
      </c>
      <c r="O42" s="13">
        <f t="shared" si="9"/>
        <v>2.9999999999999971E-2</v>
      </c>
      <c r="P42" s="13">
        <f t="shared" si="10"/>
        <v>0.42</v>
      </c>
      <c r="Q42" s="13">
        <f t="shared" si="11"/>
        <v>50</v>
      </c>
      <c r="R42" s="17"/>
      <c r="S42" s="17"/>
      <c r="T42" s="17">
        <f>T41+U41+R42+S42-H42</f>
        <v>0</v>
      </c>
      <c r="U42" s="17">
        <f>V42-V41</f>
        <v>0</v>
      </c>
      <c r="V42" s="18">
        <f t="shared" si="12"/>
        <v>0</v>
      </c>
      <c r="W42" s="16">
        <f t="shared" si="13"/>
        <v>0</v>
      </c>
    </row>
    <row r="43" spans="2:23" s="90" customFormat="1" x14ac:dyDescent="0.35">
      <c r="B43" s="84">
        <f t="shared" si="0"/>
        <v>44999</v>
      </c>
      <c r="C43" s="85">
        <f t="shared" si="1"/>
        <v>45000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v>1000</v>
      </c>
      <c r="J43" s="87"/>
      <c r="K43" s="87">
        <f t="shared" si="6"/>
        <v>0</v>
      </c>
      <c r="L43" s="87">
        <f t="shared" si="7"/>
        <v>0</v>
      </c>
      <c r="M43" s="87">
        <f t="shared" si="8"/>
        <v>0</v>
      </c>
      <c r="N43" s="87">
        <f t="shared" si="3"/>
        <v>1050.42</v>
      </c>
      <c r="O43" s="87">
        <f t="shared" si="9"/>
        <v>0.65000000000000013</v>
      </c>
      <c r="P43" s="87">
        <f t="shared" si="10"/>
        <v>1.07</v>
      </c>
      <c r="Q43" s="87">
        <f t="shared" si="11"/>
        <v>1050</v>
      </c>
      <c r="R43" s="87"/>
      <c r="S43" s="87"/>
      <c r="T43" s="87">
        <f>T42+U42+R43+S43-H43</f>
        <v>0</v>
      </c>
      <c r="U43" s="87">
        <f t="shared" si="4"/>
        <v>0</v>
      </c>
      <c r="V43" s="88">
        <f t="shared" si="12"/>
        <v>0</v>
      </c>
      <c r="W43" s="89">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1051.07</v>
      </c>
      <c r="O44" s="13">
        <f t="shared" si="9"/>
        <v>0.64999999999999991</v>
      </c>
      <c r="P44" s="13">
        <f t="shared" si="10"/>
        <v>1.72</v>
      </c>
      <c r="Q44" s="13">
        <f t="shared" si="11"/>
        <v>1050</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1051.72</v>
      </c>
      <c r="O45" s="13">
        <f t="shared" si="9"/>
        <v>0.65000000000000013</v>
      </c>
      <c r="P45" s="13">
        <f t="shared" si="10"/>
        <v>2.37</v>
      </c>
      <c r="Q45" s="13">
        <f t="shared" si="11"/>
        <v>1050</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1052.3699999999999</v>
      </c>
      <c r="O46" s="13">
        <f t="shared" si="9"/>
        <v>0.64999999999999991</v>
      </c>
      <c r="P46" s="13">
        <f t="shared" si="10"/>
        <v>3.02</v>
      </c>
      <c r="Q46" s="13">
        <f t="shared" si="11"/>
        <v>1050</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1053.02</v>
      </c>
      <c r="O47" s="13">
        <f t="shared" si="9"/>
        <v>0.64999999999999991</v>
      </c>
      <c r="P47" s="13">
        <f t="shared" si="10"/>
        <v>3.67</v>
      </c>
      <c r="Q47" s="13">
        <f t="shared" si="11"/>
        <v>1050</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1053.67</v>
      </c>
      <c r="O48" s="13">
        <f t="shared" si="9"/>
        <v>0.65000000000000036</v>
      </c>
      <c r="P48" s="13">
        <f t="shared" si="10"/>
        <v>4.32</v>
      </c>
      <c r="Q48" s="13">
        <f t="shared" si="11"/>
        <v>1050</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1054.32</v>
      </c>
      <c r="O49" s="13">
        <f t="shared" si="9"/>
        <v>0.64999999999999947</v>
      </c>
      <c r="P49" s="13">
        <f t="shared" si="10"/>
        <v>4.97</v>
      </c>
      <c r="Q49" s="13">
        <f t="shared" si="11"/>
        <v>1050</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1054.97</v>
      </c>
      <c r="O50" s="13">
        <f t="shared" si="9"/>
        <v>0.65000000000000036</v>
      </c>
      <c r="P50" s="13">
        <f t="shared" si="10"/>
        <v>5.62</v>
      </c>
      <c r="Q50" s="13">
        <f t="shared" si="11"/>
        <v>1050</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1055.6199999999999</v>
      </c>
      <c r="O51" s="13">
        <f t="shared" si="9"/>
        <v>0.64999999999999947</v>
      </c>
      <c r="P51" s="13">
        <f t="shared" si="10"/>
        <v>6.27</v>
      </c>
      <c r="Q51" s="13">
        <f t="shared" si="11"/>
        <v>1050</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1056.27</v>
      </c>
      <c r="O52" s="13">
        <f t="shared" si="9"/>
        <v>0.65000000000000036</v>
      </c>
      <c r="P52" s="13">
        <f t="shared" si="10"/>
        <v>6.92</v>
      </c>
      <c r="Q52" s="13">
        <f t="shared" si="11"/>
        <v>1050</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1056.92</v>
      </c>
      <c r="O53" s="13">
        <f t="shared" si="9"/>
        <v>0.65000000000000036</v>
      </c>
      <c r="P53" s="13">
        <f t="shared" si="10"/>
        <v>7.57</v>
      </c>
      <c r="Q53" s="13">
        <f t="shared" si="11"/>
        <v>1050</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1057.57</v>
      </c>
      <c r="O54" s="13">
        <f t="shared" si="9"/>
        <v>0.65000000000000036</v>
      </c>
      <c r="P54" s="13">
        <f t="shared" si="10"/>
        <v>8.2200000000000006</v>
      </c>
      <c r="Q54" s="13">
        <f t="shared" si="11"/>
        <v>1050</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1058.22</v>
      </c>
      <c r="O55" s="13">
        <f t="shared" si="9"/>
        <v>0.64999999999999858</v>
      </c>
      <c r="P55" s="13">
        <f t="shared" si="10"/>
        <v>8.8699999999999992</v>
      </c>
      <c r="Q55" s="13">
        <f t="shared" si="11"/>
        <v>1050</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1058.8699999999999</v>
      </c>
      <c r="O56" s="13">
        <f t="shared" si="9"/>
        <v>0.65000000000000036</v>
      </c>
      <c r="P56" s="13">
        <f t="shared" si="10"/>
        <v>9.52</v>
      </c>
      <c r="Q56" s="13">
        <f t="shared" si="11"/>
        <v>1050</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1059.52</v>
      </c>
      <c r="O57" s="13">
        <f t="shared" si="9"/>
        <v>0.65000000000000036</v>
      </c>
      <c r="P57" s="13">
        <f t="shared" si="10"/>
        <v>10.17</v>
      </c>
      <c r="Q57" s="13">
        <f t="shared" si="11"/>
        <v>1050</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1060.17</v>
      </c>
      <c r="O58" s="13">
        <f t="shared" si="9"/>
        <v>0.65000000000000036</v>
      </c>
      <c r="P58" s="13">
        <f t="shared" si="10"/>
        <v>10.82</v>
      </c>
      <c r="Q58" s="13">
        <f t="shared" si="11"/>
        <v>1050</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1060.82</v>
      </c>
      <c r="O59" s="13">
        <f t="shared" si="9"/>
        <v>0.65000000000000036</v>
      </c>
      <c r="P59" s="13">
        <f>ROUND(P58+N59*$F$22,2)</f>
        <v>11.47</v>
      </c>
      <c r="Q59" s="13">
        <f t="shared" si="11"/>
        <v>1050</v>
      </c>
      <c r="R59" s="17"/>
      <c r="S59" s="17"/>
      <c r="T59" s="17">
        <f t="shared" si="14"/>
        <v>0</v>
      </c>
      <c r="U59" s="17">
        <f t="shared" si="4"/>
        <v>0</v>
      </c>
      <c r="V59" s="18">
        <f t="shared" si="12"/>
        <v>0</v>
      </c>
      <c r="W59" s="16">
        <f t="shared" si="13"/>
        <v>0</v>
      </c>
    </row>
    <row r="60" spans="2:23" ht="15" thickBot="1" x14ac:dyDescent="0.4">
      <c r="B60" s="122" t="s">
        <v>49</v>
      </c>
      <c r="C60" s="123"/>
      <c r="D60" s="67">
        <f t="shared" ref="D60:L60" si="15">SUM(D29:D59)</f>
        <v>0</v>
      </c>
      <c r="E60" s="21">
        <f t="shared" si="15"/>
        <v>0</v>
      </c>
      <c r="F60" s="21">
        <f t="shared" si="15"/>
        <v>0</v>
      </c>
      <c r="G60" s="21">
        <f t="shared" si="15"/>
        <v>0</v>
      </c>
      <c r="H60" s="22">
        <f t="shared" si="15"/>
        <v>0</v>
      </c>
      <c r="I60" s="20">
        <f t="shared" si="15"/>
        <v>1000</v>
      </c>
      <c r="J60" s="21">
        <f t="shared" si="15"/>
        <v>50</v>
      </c>
      <c r="K60" s="21">
        <f t="shared" si="15"/>
        <v>0</v>
      </c>
      <c r="L60" s="74">
        <f t="shared" si="15"/>
        <v>0</v>
      </c>
      <c r="M60" s="20"/>
      <c r="N60" s="21">
        <f>SUM(N29:N59)</f>
        <v>18648.269999999997</v>
      </c>
      <c r="O60" s="21">
        <f>SUM(O29:O59)</f>
        <v>11.47</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601.5570967741935</v>
      </c>
      <c r="O61" s="61"/>
      <c r="S61" s="82" t="s">
        <v>65</v>
      </c>
      <c r="T61" s="82">
        <f>T60/$C$18</f>
        <v>0</v>
      </c>
    </row>
    <row r="62" spans="2:23" ht="15" thickBot="1" x14ac:dyDescent="0.4">
      <c r="H62" s="2"/>
      <c r="J62" s="82" t="s">
        <v>72</v>
      </c>
      <c r="K62" s="82">
        <f>M59</f>
        <v>0</v>
      </c>
      <c r="M62" s="82" t="s">
        <v>70</v>
      </c>
      <c r="N62" s="82">
        <f>IF(ROUND(N59,2)=0,0,N61*$F$22*$C$18)</f>
        <v>11.490399789041094</v>
      </c>
      <c r="S62" s="82" t="s">
        <v>64</v>
      </c>
      <c r="T62" s="82">
        <f>T61*$F$23*$C$18</f>
        <v>0</v>
      </c>
    </row>
    <row r="63" spans="2:23" x14ac:dyDescent="0.35">
      <c r="M63" s="61"/>
      <c r="N63" s="61"/>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6"/>
  <sheetViews>
    <sheetView topLeftCell="F53" zoomScale="66" zoomScaleNormal="66" workbookViewId="0">
      <selection activeCell="O70" sqref="O7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41.08984375"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103" t="s">
        <v>40</v>
      </c>
      <c r="I6" s="104"/>
    </row>
    <row r="7" spans="2:12" ht="29" x14ac:dyDescent="0.35">
      <c r="B7" s="30" t="s">
        <v>6</v>
      </c>
      <c r="C7" s="40">
        <v>28</v>
      </c>
      <c r="E7" s="34" t="s">
        <v>27</v>
      </c>
      <c r="F7" s="35">
        <f>R59</f>
        <v>0</v>
      </c>
      <c r="H7" s="7" t="s">
        <v>37</v>
      </c>
      <c r="I7" s="8">
        <f>J59</f>
        <v>0</v>
      </c>
      <c r="L7" s="61"/>
    </row>
    <row r="8" spans="2:12" ht="29.5" thickBot="1" x14ac:dyDescent="0.4">
      <c r="B8" s="31" t="s">
        <v>7</v>
      </c>
      <c r="C8" s="41">
        <f>C6+C3</f>
        <v>45010</v>
      </c>
      <c r="E8" s="34" t="s">
        <v>28</v>
      </c>
      <c r="F8" s="35">
        <f>SUM(I7:I8)</f>
        <v>0</v>
      </c>
      <c r="H8" s="49" t="s">
        <v>38</v>
      </c>
      <c r="I8" s="50">
        <f>S59</f>
        <v>0</v>
      </c>
      <c r="L8" s="61"/>
    </row>
    <row r="9" spans="2:12" ht="29.5" customHeight="1" thickBot="1" x14ac:dyDescent="0.4">
      <c r="B9"/>
      <c r="C9" s="3"/>
      <c r="E9" s="34" t="s">
        <v>29</v>
      </c>
      <c r="F9" s="35">
        <f>SUM(I15:I16)</f>
        <v>19.579999999999998</v>
      </c>
      <c r="L9" s="61"/>
    </row>
    <row r="10" spans="2:12" ht="15" thickBot="1" x14ac:dyDescent="0.4">
      <c r="B10" s="29" t="s">
        <v>12</v>
      </c>
      <c r="C10" s="38">
        <v>44986</v>
      </c>
      <c r="E10" s="4"/>
      <c r="F10" s="6"/>
      <c r="H10" s="125" t="s">
        <v>41</v>
      </c>
      <c r="I10" s="126"/>
      <c r="J10" s="127"/>
    </row>
    <row r="11" spans="2:12" ht="14.5" customHeight="1" x14ac:dyDescent="0.35">
      <c r="B11" s="30" t="s">
        <v>13</v>
      </c>
      <c r="C11" s="39">
        <f>C10+C12-1</f>
        <v>45016</v>
      </c>
      <c r="E11" s="55" t="s">
        <v>30</v>
      </c>
      <c r="F11" s="56">
        <f>F4+F6+F7+F8+F9-F5</f>
        <v>1019.58</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45041</v>
      </c>
      <c r="E13" s="53" t="s">
        <v>31</v>
      </c>
      <c r="F13" s="54">
        <v>50000</v>
      </c>
    </row>
    <row r="14" spans="2:12" x14ac:dyDescent="0.35">
      <c r="E14" s="51" t="s">
        <v>32</v>
      </c>
      <c r="F14" s="52">
        <f>F13-F11</f>
        <v>48980.42</v>
      </c>
      <c r="H14" s="103" t="s">
        <v>44</v>
      </c>
      <c r="I14" s="104"/>
    </row>
    <row r="15" spans="2:12" ht="29.5" thickBot="1" x14ac:dyDescent="0.4">
      <c r="B15"/>
      <c r="C15" s="3"/>
      <c r="E15" s="53" t="s">
        <v>33</v>
      </c>
      <c r="F15" s="54">
        <v>20000</v>
      </c>
      <c r="H15" s="7" t="s">
        <v>45</v>
      </c>
      <c r="I15" s="8">
        <f>K61</f>
        <v>19.579999999999998</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3" t="s">
        <v>51</v>
      </c>
      <c r="I18" s="104"/>
    </row>
    <row r="19" spans="2:23" ht="15" thickBot="1" x14ac:dyDescent="0.4">
      <c r="B19" s="31" t="s">
        <v>16</v>
      </c>
      <c r="C19" s="41">
        <f>C17+C3</f>
        <v>45071</v>
      </c>
      <c r="H19" s="7" t="s">
        <v>42</v>
      </c>
      <c r="I19" s="8">
        <f>'March Statement'!I19+'March Statement'!F6+'March Statement'!I7+'March Statement'!I15-'March Statement'!I11</f>
        <v>1050</v>
      </c>
    </row>
    <row r="20" spans="2:23" ht="15" thickBot="1" x14ac:dyDescent="0.4">
      <c r="H20" s="49" t="s">
        <v>43</v>
      </c>
      <c r="I20" s="50">
        <f>'May Statement'!I20+'May Statement'!F7+'May Statement'!I8+'May Statement'!I16-'May Statement'!I12</f>
        <v>0</v>
      </c>
      <c r="J20" s="5"/>
    </row>
    <row r="21" spans="2:23" x14ac:dyDescent="0.35">
      <c r="B21" s="103" t="s">
        <v>17</v>
      </c>
      <c r="C21" s="104"/>
      <c r="E21" s="103" t="s">
        <v>22</v>
      </c>
      <c r="F21" s="104"/>
      <c r="I21" s="62">
        <f>SUM(I19:I20)</f>
        <v>1050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50</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1050</v>
      </c>
      <c r="L29" s="12">
        <f>M29</f>
        <v>0.64697260273972601</v>
      </c>
      <c r="M29" s="12">
        <f>K29*$F$22</f>
        <v>0.64697260273972601</v>
      </c>
      <c r="N29" s="12">
        <f>I29+J29-G29</f>
        <v>0</v>
      </c>
      <c r="O29" s="12">
        <f>P29</f>
        <v>0</v>
      </c>
      <c r="P29" s="12">
        <f>N29*$F$22</f>
        <v>0</v>
      </c>
      <c r="Q29" s="12">
        <f>K29+N29</f>
        <v>1050</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1050.6500000000001</v>
      </c>
      <c r="L30" s="13">
        <f>M30-M29</f>
        <v>0.64737310958904115</v>
      </c>
      <c r="M30" s="13">
        <f>IF(K30=0,0,M29+K30*$F$22)</f>
        <v>1.2943457123287672</v>
      </c>
      <c r="N30" s="13">
        <f t="shared" ref="N30:N58" si="3">ROUND(N29+I30+J30+O29-G30,2)</f>
        <v>0</v>
      </c>
      <c r="O30" s="13">
        <f>P30-P29</f>
        <v>0</v>
      </c>
      <c r="P30" s="13">
        <f>ROUND(P29+N30*$F$22,2)</f>
        <v>0</v>
      </c>
      <c r="Q30" s="13">
        <f>ROUND(N30+K30-M29-P29,2)</f>
        <v>1050</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1051.3</v>
      </c>
      <c r="L31" s="13">
        <f t="shared" ref="L31:L58" si="7">M31-M30</f>
        <v>0.64777361643835607</v>
      </c>
      <c r="M31" s="13">
        <f t="shared" ref="M31:M58" si="8">IF(K31=0,0,M30+K31*$F$22)</f>
        <v>1.9421193287671232</v>
      </c>
      <c r="N31" s="13">
        <f t="shared" si="3"/>
        <v>0</v>
      </c>
      <c r="O31" s="13">
        <f t="shared" ref="O31:O58" si="9">P31-P30</f>
        <v>0</v>
      </c>
      <c r="P31" s="13">
        <f t="shared" ref="P31:P56" si="10">ROUND(P30+N31*$F$22,2)</f>
        <v>0</v>
      </c>
      <c r="Q31" s="13">
        <f t="shared" ref="Q31:Q58" si="11">ROUND(N31+K31-M30-P30,2)</f>
        <v>1050.01</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1051.95</v>
      </c>
      <c r="L32" s="13">
        <f t="shared" si="7"/>
        <v>0.64817412328767121</v>
      </c>
      <c r="M32" s="13">
        <f t="shared" si="8"/>
        <v>2.5902934520547944</v>
      </c>
      <c r="N32" s="13">
        <f t="shared" si="3"/>
        <v>0</v>
      </c>
      <c r="O32" s="13">
        <f t="shared" si="9"/>
        <v>0</v>
      </c>
      <c r="P32" s="13">
        <f t="shared" si="10"/>
        <v>0</v>
      </c>
      <c r="Q32" s="13">
        <f t="shared" si="11"/>
        <v>1050.01</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1052.5999999999999</v>
      </c>
      <c r="L33" s="13">
        <f t="shared" si="7"/>
        <v>0.64857463013698613</v>
      </c>
      <c r="M33" s="13">
        <f t="shared" si="8"/>
        <v>3.2388680821917806</v>
      </c>
      <c r="N33" s="13">
        <f t="shared" si="3"/>
        <v>0</v>
      </c>
      <c r="O33" s="13">
        <f t="shared" si="9"/>
        <v>0</v>
      </c>
      <c r="P33" s="13">
        <f t="shared" si="10"/>
        <v>0</v>
      </c>
      <c r="Q33" s="13">
        <f t="shared" si="11"/>
        <v>1050.01</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1053.25</v>
      </c>
      <c r="L34" s="13">
        <f t="shared" si="7"/>
        <v>0.64897513698630149</v>
      </c>
      <c r="M34" s="13">
        <f t="shared" si="8"/>
        <v>3.8878432191780821</v>
      </c>
      <c r="N34" s="13">
        <f t="shared" si="3"/>
        <v>0</v>
      </c>
      <c r="O34" s="13">
        <f t="shared" si="9"/>
        <v>0</v>
      </c>
      <c r="P34" s="13">
        <f t="shared" si="10"/>
        <v>0</v>
      </c>
      <c r="Q34" s="13">
        <f t="shared" si="11"/>
        <v>1050.01</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1053.9000000000001</v>
      </c>
      <c r="L35" s="13">
        <f t="shared" si="7"/>
        <v>0.64937564383561686</v>
      </c>
      <c r="M35" s="13">
        <f t="shared" si="8"/>
        <v>4.5372188630136989</v>
      </c>
      <c r="N35" s="13">
        <f t="shared" si="3"/>
        <v>0</v>
      </c>
      <c r="O35" s="13">
        <f t="shared" si="9"/>
        <v>0</v>
      </c>
      <c r="P35" s="13">
        <f t="shared" si="10"/>
        <v>0</v>
      </c>
      <c r="Q35" s="13">
        <f t="shared" si="11"/>
        <v>1050.01</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1054.55</v>
      </c>
      <c r="L36" s="13">
        <f t="shared" si="7"/>
        <v>0.64977615068493133</v>
      </c>
      <c r="M36" s="13">
        <f t="shared" si="8"/>
        <v>5.1869950136986303</v>
      </c>
      <c r="N36" s="13">
        <f t="shared" si="3"/>
        <v>0</v>
      </c>
      <c r="O36" s="13">
        <f t="shared" si="9"/>
        <v>0</v>
      </c>
      <c r="P36" s="13">
        <f t="shared" si="10"/>
        <v>0</v>
      </c>
      <c r="Q36" s="13">
        <f t="shared" si="11"/>
        <v>1050.01</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1055.2</v>
      </c>
      <c r="L37" s="13">
        <f t="shared" si="7"/>
        <v>0.65017665753424669</v>
      </c>
      <c r="M37" s="13">
        <f t="shared" si="8"/>
        <v>5.8371716712328769</v>
      </c>
      <c r="N37" s="13">
        <f t="shared" si="3"/>
        <v>0</v>
      </c>
      <c r="O37" s="13">
        <f t="shared" si="9"/>
        <v>0</v>
      </c>
      <c r="P37" s="13">
        <f t="shared" si="10"/>
        <v>0</v>
      </c>
      <c r="Q37" s="13">
        <f t="shared" si="11"/>
        <v>1050.01</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1055.8499999999999</v>
      </c>
      <c r="L38" s="13">
        <f t="shared" si="7"/>
        <v>0.65057716438356117</v>
      </c>
      <c r="M38" s="13">
        <f t="shared" si="8"/>
        <v>6.4877488356164381</v>
      </c>
      <c r="N38" s="13">
        <f t="shared" si="3"/>
        <v>0</v>
      </c>
      <c r="O38" s="13">
        <f t="shared" si="9"/>
        <v>0</v>
      </c>
      <c r="P38" s="13">
        <f t="shared" si="10"/>
        <v>0</v>
      </c>
      <c r="Q38" s="13">
        <f t="shared" si="11"/>
        <v>1050.01</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1056.5</v>
      </c>
      <c r="L39" s="13">
        <f t="shared" si="7"/>
        <v>0.65097767123287653</v>
      </c>
      <c r="M39" s="13">
        <f t="shared" si="8"/>
        <v>7.1387265068493146</v>
      </c>
      <c r="N39" s="13">
        <f t="shared" si="3"/>
        <v>0</v>
      </c>
      <c r="O39" s="13">
        <f>P39-P38</f>
        <v>0</v>
      </c>
      <c r="P39" s="13">
        <f t="shared" si="10"/>
        <v>0</v>
      </c>
      <c r="Q39" s="13">
        <f t="shared" si="11"/>
        <v>1050.01</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1057.1500000000001</v>
      </c>
      <c r="L40" s="13">
        <f t="shared" si="7"/>
        <v>0.65137817808219189</v>
      </c>
      <c r="M40" s="13">
        <f t="shared" si="8"/>
        <v>7.7901046849315065</v>
      </c>
      <c r="N40" s="13">
        <f t="shared" si="3"/>
        <v>0</v>
      </c>
      <c r="O40" s="13">
        <f t="shared" si="9"/>
        <v>0</v>
      </c>
      <c r="P40" s="13">
        <f t="shared" si="10"/>
        <v>0</v>
      </c>
      <c r="Q40" s="13">
        <f t="shared" si="11"/>
        <v>1050.01</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1057.8</v>
      </c>
      <c r="L41" s="13">
        <f t="shared" si="7"/>
        <v>0.65177868493150726</v>
      </c>
      <c r="M41" s="13">
        <f t="shared" si="8"/>
        <v>8.4418833698630138</v>
      </c>
      <c r="N41" s="13">
        <f t="shared" si="3"/>
        <v>0</v>
      </c>
      <c r="O41" s="13">
        <f t="shared" si="9"/>
        <v>0</v>
      </c>
      <c r="P41" s="13">
        <f t="shared" si="10"/>
        <v>0</v>
      </c>
      <c r="Q41" s="13">
        <f t="shared" si="11"/>
        <v>1050.01</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1058.45</v>
      </c>
      <c r="L42" s="13">
        <f t="shared" si="7"/>
        <v>0.65217919178082262</v>
      </c>
      <c r="M42" s="13">
        <f t="shared" si="8"/>
        <v>9.0940625616438364</v>
      </c>
      <c r="N42" s="13">
        <f t="shared" si="3"/>
        <v>0</v>
      </c>
      <c r="O42" s="13">
        <f t="shared" si="9"/>
        <v>0</v>
      </c>
      <c r="P42" s="13">
        <f t="shared" si="10"/>
        <v>0</v>
      </c>
      <c r="Q42" s="13">
        <f t="shared" si="11"/>
        <v>1050.01</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c r="K43" s="13">
        <f t="shared" si="6"/>
        <v>1059.0999999999999</v>
      </c>
      <c r="L43" s="13">
        <f t="shared" si="7"/>
        <v>0.65257969863013621</v>
      </c>
      <c r="M43" s="13">
        <f t="shared" si="8"/>
        <v>9.7466422602739726</v>
      </c>
      <c r="N43" s="13">
        <f t="shared" si="3"/>
        <v>1000</v>
      </c>
      <c r="O43" s="13">
        <f t="shared" si="9"/>
        <v>0.62</v>
      </c>
      <c r="P43" s="13">
        <f t="shared" si="10"/>
        <v>0.62</v>
      </c>
      <c r="Q43" s="13">
        <f t="shared" si="11"/>
        <v>2050.0100000000002</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1059.75</v>
      </c>
      <c r="L44" s="13">
        <f t="shared" si="7"/>
        <v>0.65298020547945157</v>
      </c>
      <c r="M44" s="13">
        <f t="shared" si="8"/>
        <v>10.399622465753424</v>
      </c>
      <c r="N44" s="13">
        <f t="shared" si="3"/>
        <v>1000.62</v>
      </c>
      <c r="O44" s="13">
        <f t="shared" si="9"/>
        <v>0.62</v>
      </c>
      <c r="P44" s="13">
        <f t="shared" si="10"/>
        <v>1.24</v>
      </c>
      <c r="Q44" s="13">
        <f t="shared" si="11"/>
        <v>2050</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1060.4000000000001</v>
      </c>
      <c r="L45" s="13">
        <f t="shared" si="7"/>
        <v>0.65338071232876693</v>
      </c>
      <c r="M45" s="13">
        <f t="shared" si="8"/>
        <v>11.053003178082191</v>
      </c>
      <c r="N45" s="13">
        <f t="shared" si="3"/>
        <v>1001.24</v>
      </c>
      <c r="O45" s="13">
        <f t="shared" si="9"/>
        <v>0.62000000000000011</v>
      </c>
      <c r="P45" s="13">
        <f t="shared" si="10"/>
        <v>1.86</v>
      </c>
      <c r="Q45" s="13">
        <f t="shared" si="11"/>
        <v>2050</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1061.05</v>
      </c>
      <c r="L46" s="13">
        <f t="shared" si="7"/>
        <v>0.6537812191780823</v>
      </c>
      <c r="M46" s="13">
        <f t="shared" si="8"/>
        <v>11.706784397260273</v>
      </c>
      <c r="N46" s="13">
        <f t="shared" si="3"/>
        <v>1001.86</v>
      </c>
      <c r="O46" s="13">
        <f t="shared" si="9"/>
        <v>0.61999999999999988</v>
      </c>
      <c r="P46" s="13">
        <f t="shared" si="10"/>
        <v>2.48</v>
      </c>
      <c r="Q46" s="13">
        <f t="shared" si="11"/>
        <v>2050</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1061.7</v>
      </c>
      <c r="L47" s="13">
        <f t="shared" si="7"/>
        <v>0.65418172602739766</v>
      </c>
      <c r="M47" s="13">
        <f t="shared" si="8"/>
        <v>12.360966123287671</v>
      </c>
      <c r="N47" s="13">
        <f t="shared" si="3"/>
        <v>1002.48</v>
      </c>
      <c r="O47" s="13">
        <f t="shared" si="9"/>
        <v>0.62000000000000011</v>
      </c>
      <c r="P47" s="13">
        <f t="shared" si="10"/>
        <v>3.1</v>
      </c>
      <c r="Q47" s="13">
        <f t="shared" si="11"/>
        <v>2049.9899999999998</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1062.3499999999999</v>
      </c>
      <c r="L48" s="13">
        <f t="shared" si="7"/>
        <v>0.65458223287671302</v>
      </c>
      <c r="M48" s="13">
        <f t="shared" si="8"/>
        <v>13.015548356164384</v>
      </c>
      <c r="N48" s="13">
        <f t="shared" si="3"/>
        <v>1003.1</v>
      </c>
      <c r="O48" s="13">
        <f t="shared" si="9"/>
        <v>0.62000000000000011</v>
      </c>
      <c r="P48" s="13">
        <f t="shared" si="10"/>
        <v>3.72</v>
      </c>
      <c r="Q48" s="13">
        <f t="shared" si="11"/>
        <v>2049.9899999999998</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1063</v>
      </c>
      <c r="L49" s="13">
        <f t="shared" si="7"/>
        <v>0.65498273972602661</v>
      </c>
      <c r="M49" s="13">
        <f t="shared" si="8"/>
        <v>13.670531095890411</v>
      </c>
      <c r="N49" s="13">
        <f t="shared" si="3"/>
        <v>1003.72</v>
      </c>
      <c r="O49" s="13">
        <f t="shared" si="9"/>
        <v>0.61999999999999966</v>
      </c>
      <c r="P49" s="13">
        <f t="shared" si="10"/>
        <v>4.34</v>
      </c>
      <c r="Q49" s="13">
        <f t="shared" si="11"/>
        <v>2049.98</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1063.6500000000001</v>
      </c>
      <c r="L50" s="13">
        <f t="shared" si="7"/>
        <v>0.65538324657534197</v>
      </c>
      <c r="M50" s="13">
        <f t="shared" si="8"/>
        <v>14.325914342465753</v>
      </c>
      <c r="N50" s="13">
        <f t="shared" si="3"/>
        <v>1004.34</v>
      </c>
      <c r="O50" s="13">
        <f t="shared" si="9"/>
        <v>0.62000000000000011</v>
      </c>
      <c r="P50" s="13">
        <f t="shared" si="10"/>
        <v>4.96</v>
      </c>
      <c r="Q50" s="13">
        <f t="shared" si="11"/>
        <v>2049.98</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1064.31</v>
      </c>
      <c r="L51" s="13">
        <f t="shared" si="7"/>
        <v>0.65578991506849249</v>
      </c>
      <c r="M51" s="13">
        <f t="shared" si="8"/>
        <v>14.981704257534245</v>
      </c>
      <c r="N51" s="13">
        <f t="shared" si="3"/>
        <v>1004.96</v>
      </c>
      <c r="O51" s="13">
        <f t="shared" si="9"/>
        <v>0.62000000000000011</v>
      </c>
      <c r="P51" s="13">
        <f t="shared" si="10"/>
        <v>5.58</v>
      </c>
      <c r="Q51" s="13">
        <f t="shared" si="11"/>
        <v>2049.98</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1064.97</v>
      </c>
      <c r="L52" s="13">
        <f t="shared" si="7"/>
        <v>0.65619658356164301</v>
      </c>
      <c r="M52" s="13">
        <f t="shared" si="8"/>
        <v>15.637900841095888</v>
      </c>
      <c r="N52" s="13">
        <f>ROUND(N51+I52+J52+O51-G52,2)</f>
        <v>1005.58</v>
      </c>
      <c r="O52" s="13">
        <f t="shared" si="9"/>
        <v>0.62000000000000011</v>
      </c>
      <c r="P52" s="13">
        <f t="shared" si="10"/>
        <v>6.2</v>
      </c>
      <c r="Q52" s="13">
        <f t="shared" si="11"/>
        <v>2049.9899999999998</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1065.6300000000001</v>
      </c>
      <c r="L53" s="13">
        <f t="shared" si="7"/>
        <v>0.65660325205479353</v>
      </c>
      <c r="M53" s="13">
        <f t="shared" si="8"/>
        <v>16.294504093150682</v>
      </c>
      <c r="N53" s="13">
        <f t="shared" si="3"/>
        <v>1006.2</v>
      </c>
      <c r="O53" s="13">
        <f t="shared" si="9"/>
        <v>0.62000000000000011</v>
      </c>
      <c r="P53" s="13">
        <f t="shared" si="10"/>
        <v>6.82</v>
      </c>
      <c r="Q53" s="13">
        <f t="shared" si="11"/>
        <v>2049.9899999999998</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1066.29</v>
      </c>
      <c r="L54" s="13">
        <f t="shared" si="7"/>
        <v>0.65700992054794582</v>
      </c>
      <c r="M54" s="13">
        <f t="shared" si="8"/>
        <v>16.951514013698628</v>
      </c>
      <c r="N54" s="13">
        <f t="shared" si="3"/>
        <v>1006.82</v>
      </c>
      <c r="O54" s="13">
        <f t="shared" si="9"/>
        <v>0.62000000000000011</v>
      </c>
      <c r="P54" s="13">
        <f>ROUND(P53+N54*$F$22,2)</f>
        <v>7.44</v>
      </c>
      <c r="Q54" s="13">
        <f t="shared" si="11"/>
        <v>2050</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1066.95</v>
      </c>
      <c r="L55" s="13">
        <f t="shared" si="7"/>
        <v>0.65741658904109457</v>
      </c>
      <c r="M55" s="13">
        <f t="shared" si="8"/>
        <v>17.608930602739722</v>
      </c>
      <c r="N55" s="13">
        <f t="shared" si="3"/>
        <v>1007.44</v>
      </c>
      <c r="O55" s="13">
        <f t="shared" si="9"/>
        <v>0.62000000000000011</v>
      </c>
      <c r="P55" s="13">
        <f t="shared" si="10"/>
        <v>8.06</v>
      </c>
      <c r="Q55" s="13">
        <f t="shared" si="11"/>
        <v>2050</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1067.6099999999999</v>
      </c>
      <c r="L56" s="13">
        <f t="shared" si="7"/>
        <v>0.65782325753424686</v>
      </c>
      <c r="M56" s="13">
        <f t="shared" si="8"/>
        <v>18.266753860273969</v>
      </c>
      <c r="N56" s="13">
        <f t="shared" si="3"/>
        <v>1008.06</v>
      </c>
      <c r="O56" s="13">
        <f t="shared" si="9"/>
        <v>0.61999999999999922</v>
      </c>
      <c r="P56" s="13">
        <f t="shared" si="10"/>
        <v>8.68</v>
      </c>
      <c r="Q56" s="13">
        <f t="shared" si="11"/>
        <v>2050</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1068.27</v>
      </c>
      <c r="L57" s="13">
        <f t="shared" si="7"/>
        <v>0.65822992602739561</v>
      </c>
      <c r="M57" s="13">
        <f t="shared" si="8"/>
        <v>18.924983786301365</v>
      </c>
      <c r="N57" s="13">
        <f t="shared" si="3"/>
        <v>1008.68</v>
      </c>
      <c r="O57" s="13">
        <f t="shared" si="9"/>
        <v>0.62000000000000099</v>
      </c>
      <c r="P57" s="13">
        <f>ROUND(P56+N57*$F$22,2)</f>
        <v>9.3000000000000007</v>
      </c>
      <c r="Q57" s="13">
        <f t="shared" si="11"/>
        <v>2050</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1068.93</v>
      </c>
      <c r="L58" s="13">
        <f t="shared" si="7"/>
        <v>0.6586365945205479</v>
      </c>
      <c r="M58" s="13">
        <f t="shared" si="8"/>
        <v>19.583620380821912</v>
      </c>
      <c r="N58" s="13">
        <f t="shared" si="3"/>
        <v>1009.3</v>
      </c>
      <c r="O58" s="13">
        <f t="shared" si="9"/>
        <v>0.61999999999999922</v>
      </c>
      <c r="P58" s="13">
        <f>ROUND(P57+N58*$F$22,2)</f>
        <v>9.92</v>
      </c>
      <c r="Q58" s="13">
        <f t="shared" si="11"/>
        <v>2050.0100000000002</v>
      </c>
      <c r="R58" s="17"/>
      <c r="S58" s="17"/>
      <c r="T58" s="17">
        <f t="shared" si="14"/>
        <v>0</v>
      </c>
      <c r="U58" s="17">
        <f t="shared" si="4"/>
        <v>0</v>
      </c>
      <c r="V58" s="18">
        <f t="shared" si="12"/>
        <v>0</v>
      </c>
      <c r="W58" s="16">
        <f t="shared" si="13"/>
        <v>0</v>
      </c>
    </row>
    <row r="59" spans="2:23" ht="15" thickBot="1" x14ac:dyDescent="0.4">
      <c r="B59" s="122" t="s">
        <v>49</v>
      </c>
      <c r="C59" s="123"/>
      <c r="D59" s="67">
        <f t="shared" ref="D59:L59" si="15">SUM(D29:D58)</f>
        <v>0</v>
      </c>
      <c r="E59" s="21">
        <f t="shared" si="15"/>
        <v>0</v>
      </c>
      <c r="F59" s="21">
        <f t="shared" si="15"/>
        <v>0</v>
      </c>
      <c r="G59" s="21">
        <f t="shared" si="15"/>
        <v>0</v>
      </c>
      <c r="H59" s="22">
        <f t="shared" si="15"/>
        <v>0</v>
      </c>
      <c r="I59" s="20">
        <f t="shared" si="15"/>
        <v>1000</v>
      </c>
      <c r="J59" s="21">
        <f t="shared" si="15"/>
        <v>0</v>
      </c>
      <c r="K59" s="21">
        <f t="shared" si="15"/>
        <v>31783.110000000008</v>
      </c>
      <c r="L59" s="74">
        <f t="shared" si="15"/>
        <v>19.583620380821912</v>
      </c>
      <c r="M59" s="20"/>
      <c r="N59" s="21">
        <f>SUM(N29:N58)</f>
        <v>16074.4</v>
      </c>
      <c r="O59" s="21">
        <f>SUM(O29:O58)</f>
        <v>9.92</v>
      </c>
      <c r="P59" s="20"/>
      <c r="Q59" s="20"/>
      <c r="R59" s="22">
        <f>SUM(R29:R58)</f>
        <v>0</v>
      </c>
      <c r="S59" s="22">
        <f>SUM(S29:S58)</f>
        <v>0</v>
      </c>
      <c r="T59" s="22">
        <f>SUM(T29:T58)</f>
        <v>0</v>
      </c>
      <c r="U59" s="22">
        <f>SUM(U29:U58)</f>
        <v>0</v>
      </c>
      <c r="V59" s="23"/>
      <c r="W59" s="23"/>
    </row>
    <row r="60" spans="2:23" ht="15" thickBot="1" x14ac:dyDescent="0.4">
      <c r="G60" s="61"/>
      <c r="J60" s="82" t="s">
        <v>71</v>
      </c>
      <c r="K60" s="82">
        <f>K59/$C$18</f>
        <v>1059.4370000000004</v>
      </c>
      <c r="M60" s="82" t="s">
        <v>69</v>
      </c>
      <c r="N60" s="82">
        <f>N59/$C$18</f>
        <v>535.81333333333328</v>
      </c>
      <c r="O60" s="61"/>
      <c r="S60" s="82" t="s">
        <v>65</v>
      </c>
      <c r="T60" s="82">
        <f>T59/$C$18</f>
        <v>0</v>
      </c>
    </row>
    <row r="61" spans="2:23" ht="15" thickBot="1" x14ac:dyDescent="0.4">
      <c r="H61" s="2"/>
      <c r="J61" s="82" t="s">
        <v>72</v>
      </c>
      <c r="K61" s="82">
        <f>ROUND(K60*$F$22*$C$18,2)</f>
        <v>19.579999999999998</v>
      </c>
      <c r="M61" s="82" t="s">
        <v>70</v>
      </c>
      <c r="N61" s="82">
        <f>IF(ROUND(N58,2)=0,0,N60*$F$22*$C$18)</f>
        <v>9.9044727671232859</v>
      </c>
      <c r="S61" s="82" t="s">
        <v>64</v>
      </c>
      <c r="T61" s="82">
        <f>T60*$F$23*$C$18</f>
        <v>0</v>
      </c>
    </row>
    <row r="62" spans="2:23" x14ac:dyDescent="0.35">
      <c r="M62" s="61"/>
      <c r="N62" s="61"/>
    </row>
    <row r="64" spans="2:23" x14ac:dyDescent="0.35">
      <c r="L64" s="61">
        <f>K61+N61</f>
        <v>29.484472767123286</v>
      </c>
    </row>
    <row r="65" spans="13:14" x14ac:dyDescent="0.35">
      <c r="M65" s="101" t="s">
        <v>74</v>
      </c>
      <c r="N65" s="101">
        <f>K61+N61</f>
        <v>29.484472767123286</v>
      </c>
    </row>
    <row r="66" spans="13:14" x14ac:dyDescent="0.35">
      <c r="M66" s="102" t="s">
        <v>75</v>
      </c>
      <c r="N66" s="102">
        <v>29.41</v>
      </c>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abSelected="1" topLeftCell="B28" zoomScale="53" zoomScaleNormal="53" workbookViewId="0">
      <selection activeCell="L30" sqref="L3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2119.48</v>
      </c>
    </row>
    <row r="6" spans="2:12" x14ac:dyDescent="0.35">
      <c r="B6" s="30" t="s">
        <v>8</v>
      </c>
      <c r="C6" s="39">
        <v>45016</v>
      </c>
      <c r="E6" s="34" t="s">
        <v>26</v>
      </c>
      <c r="F6" s="35">
        <f>I60</f>
        <v>0</v>
      </c>
      <c r="H6" s="103" t="s">
        <v>40</v>
      </c>
      <c r="I6" s="104"/>
    </row>
    <row r="7" spans="2:12" ht="29" x14ac:dyDescent="0.35">
      <c r="B7" s="30" t="s">
        <v>6</v>
      </c>
      <c r="C7" s="40">
        <v>31</v>
      </c>
      <c r="E7" s="34" t="s">
        <v>27</v>
      </c>
      <c r="F7" s="35">
        <f>R60</f>
        <v>0</v>
      </c>
      <c r="H7" s="7" t="s">
        <v>37</v>
      </c>
      <c r="I7" s="8">
        <f>J60</f>
        <v>0</v>
      </c>
      <c r="L7" s="61"/>
    </row>
    <row r="8" spans="2:12" ht="29.5" thickBot="1" x14ac:dyDescent="0.4">
      <c r="B8" s="31" t="s">
        <v>7</v>
      </c>
      <c r="C8" s="41">
        <f>C6+C3</f>
        <v>45041</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25" t="s">
        <v>41</v>
      </c>
      <c r="I10" s="126"/>
      <c r="J10" s="127"/>
    </row>
    <row r="11" spans="2:12" ht="14.5" customHeight="1" x14ac:dyDescent="0.35">
      <c r="B11" s="30" t="s">
        <v>13</v>
      </c>
      <c r="C11" s="39">
        <f>C10+C12-1</f>
        <v>45046</v>
      </c>
      <c r="E11" s="55" t="s">
        <v>30</v>
      </c>
      <c r="F11" s="56">
        <f>F4+F6+F7+F8+F9-F5</f>
        <v>-2119.48</v>
      </c>
      <c r="H11" s="72" t="s">
        <v>42</v>
      </c>
      <c r="I11" s="73">
        <f>SUM(F60:G60)</f>
        <v>2119.48</v>
      </c>
      <c r="J11" s="114" t="s">
        <v>73</v>
      </c>
      <c r="K11" s="124"/>
    </row>
    <row r="12" spans="2:12" ht="15" thickBot="1" x14ac:dyDescent="0.4">
      <c r="B12" s="30" t="s">
        <v>14</v>
      </c>
      <c r="C12" s="40">
        <v>30</v>
      </c>
      <c r="E12" s="4"/>
      <c r="F12" s="6"/>
      <c r="H12" s="49" t="s">
        <v>43</v>
      </c>
      <c r="I12" s="50">
        <f>H60</f>
        <v>0</v>
      </c>
      <c r="J12" s="115"/>
      <c r="K12" s="124"/>
    </row>
    <row r="13" spans="2:12" ht="15" thickBot="1" x14ac:dyDescent="0.4">
      <c r="B13" s="31" t="s">
        <v>15</v>
      </c>
      <c r="C13" s="41">
        <v>45071</v>
      </c>
      <c r="E13" s="53" t="s">
        <v>31</v>
      </c>
      <c r="F13" s="54">
        <v>48960</v>
      </c>
    </row>
    <row r="14" spans="2:12" x14ac:dyDescent="0.35">
      <c r="E14" s="51" t="s">
        <v>32</v>
      </c>
      <c r="F14" s="52">
        <f>F13-F11</f>
        <v>51079.48</v>
      </c>
      <c r="H14" s="103" t="s">
        <v>44</v>
      </c>
      <c r="I14" s="104"/>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103" t="s">
        <v>51</v>
      </c>
      <c r="I18" s="104"/>
    </row>
    <row r="19" spans="2:23" ht="15" thickBot="1" x14ac:dyDescent="0.4">
      <c r="B19" s="31" t="s">
        <v>16</v>
      </c>
      <c r="C19" s="41">
        <f>C17+C3</f>
        <v>45102</v>
      </c>
      <c r="H19" s="7" t="s">
        <v>42</v>
      </c>
      <c r="I19" s="8">
        <v>2119.48</v>
      </c>
    </row>
    <row r="20" spans="2:23" ht="15" thickBot="1" x14ac:dyDescent="0.4">
      <c r="H20" s="49" t="s">
        <v>43</v>
      </c>
      <c r="I20" s="50">
        <f>'Feb Statement'!I20+'Feb Statement'!F7+'Feb Statement'!I8+'Feb Statement'!I16-'Feb Statement'!I12</f>
        <v>0</v>
      </c>
      <c r="J20" s="5"/>
    </row>
    <row r="21" spans="2:23" x14ac:dyDescent="0.35">
      <c r="B21" s="103" t="s">
        <v>17</v>
      </c>
      <c r="C21" s="104"/>
      <c r="E21" s="103" t="s">
        <v>22</v>
      </c>
      <c r="F21" s="104"/>
      <c r="I21" s="62">
        <f>SUM(I19:I20)</f>
        <v>2119.48</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110.48</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2119.48</v>
      </c>
      <c r="L29" s="12">
        <f>M29</f>
        <v>1.31</v>
      </c>
      <c r="M29" s="12">
        <f>ROUND(K29*$F$22,2)</f>
        <v>1.31</v>
      </c>
      <c r="N29" s="12">
        <f>I29+J29-G29</f>
        <v>0</v>
      </c>
      <c r="O29" s="12">
        <f>P29</f>
        <v>0</v>
      </c>
      <c r="P29" s="12">
        <f>N29*$F$22</f>
        <v>0</v>
      </c>
      <c r="Q29" s="12">
        <f>K29+N29</f>
        <v>2119.48</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-1.31</v>
      </c>
      <c r="M30" s="13">
        <f>IF(K30=0,0,M29+ROUND(K30*$F$22,2))</f>
        <v>0</v>
      </c>
      <c r="N30" s="13">
        <f t="shared" ref="N30:N58" si="3">ROUND(N29+I30+J30+O29-G30,2)</f>
        <v>0</v>
      </c>
      <c r="O30" s="13">
        <f>P30-P29</f>
        <v>0</v>
      </c>
      <c r="P30" s="13">
        <f>ROUND(P29+N30*$F$22,2)</f>
        <v>0</v>
      </c>
      <c r="Q30" s="13">
        <f>ROUND(N30+K30-M29-P29,2)</f>
        <v>-1.31</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0</v>
      </c>
      <c r="L31" s="13">
        <f t="shared" ref="L31:L58" si="7">M31-M30</f>
        <v>0</v>
      </c>
      <c r="M31" s="13">
        <f t="shared" ref="M31:M59" si="8">IF(K31=0,0,M30+ROUND(K31*$F$22,2))</f>
        <v>0</v>
      </c>
      <c r="N31" s="13">
        <f t="shared" si="3"/>
        <v>0</v>
      </c>
      <c r="O31" s="13">
        <f t="shared" ref="O31:O58" si="9">P31-P30</f>
        <v>0</v>
      </c>
      <c r="P31" s="13">
        <f t="shared" ref="P31:P58" si="10">ROUND(P30+N31*$F$22,2)</f>
        <v>0</v>
      </c>
      <c r="Q31" s="13">
        <f t="shared" ref="Q31:Q58" si="11">ROUND(N31+K31-M30-P30,2)</f>
        <v>0</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0</v>
      </c>
      <c r="L43" s="87">
        <f t="shared" si="7"/>
        <v>0</v>
      </c>
      <c r="M43" s="87">
        <f t="shared" si="8"/>
        <v>0</v>
      </c>
      <c r="N43" s="87">
        <f>ROUND(N42+I43+J43+O42-G43,2)</f>
        <v>0</v>
      </c>
      <c r="O43" s="87">
        <f t="shared" si="9"/>
        <v>0</v>
      </c>
      <c r="P43" s="87">
        <f t="shared" si="10"/>
        <v>0</v>
      </c>
      <c r="Q43" s="87">
        <f t="shared" si="11"/>
        <v>0</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0</v>
      </c>
      <c r="L47" s="87">
        <f t="shared" si="7"/>
        <v>0</v>
      </c>
      <c r="M47" s="13">
        <f t="shared" si="8"/>
        <v>0</v>
      </c>
      <c r="N47" s="87">
        <f t="shared" si="3"/>
        <v>0</v>
      </c>
      <c r="O47" s="87">
        <f t="shared" si="9"/>
        <v>0</v>
      </c>
      <c r="P47" s="87">
        <f t="shared" si="10"/>
        <v>0</v>
      </c>
      <c r="Q47" s="87">
        <f t="shared" si="11"/>
        <v>0</v>
      </c>
      <c r="R47" s="87"/>
      <c r="S47" s="87"/>
      <c r="T47" s="87">
        <f t="shared" si="14"/>
        <v>0</v>
      </c>
      <c r="U47" s="87">
        <f t="shared" si="4"/>
        <v>0</v>
      </c>
      <c r="V47" s="88">
        <f t="shared" si="12"/>
        <v>0</v>
      </c>
      <c r="W47" s="89">
        <f t="shared" si="13"/>
        <v>0</v>
      </c>
    </row>
    <row r="48" spans="2:23" x14ac:dyDescent="0.35">
      <c r="B48" s="47">
        <f t="shared" si="0"/>
        <v>45065</v>
      </c>
      <c r="C48" s="48">
        <f t="shared" si="1"/>
        <v>45066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45068</v>
      </c>
      <c r="C51" s="48">
        <f t="shared" si="1"/>
        <v>45069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v>2119.48</v>
      </c>
      <c r="E53" s="87">
        <f>IF(SUM(E$29:E52)=$I$24,0,IF((D53&lt;=$I$24-SUM(E$29:E52)),D53,$I$24-SUM(E$29:E52)))</f>
        <v>110.48</v>
      </c>
      <c r="F53" s="87">
        <f>IF($I$19&gt;0,IF(SUM(F$29:F52)&lt;$I$19,IF((D53-E53)&gt;0,IF($I$20=0,IF($I$19-SUM(F$29:F52)&gt;D53,D53,$I$19-SUM(F$29:F52)),E53),D53),0)+IF($I$20&gt;0,IF(D53-$I$20-SUM($H$29:H52)-IF($I$19=0,0,E53)&gt;0,IF(D53-$I$20-SUM($H$29:H52)-IF($I$19=0,0,E53)&gt;$I$19,$I$19-SUM(F$29:F52)-E53,D53-$I$20-SUM($H$29:H52)-IF($I$19=0,0,E53)),0),0),0)</f>
        <v>2119.48</v>
      </c>
      <c r="G53" s="87">
        <f t="shared" si="2"/>
        <v>0</v>
      </c>
      <c r="H53" s="87">
        <f t="shared" si="5"/>
        <v>0</v>
      </c>
      <c r="I53" s="87"/>
      <c r="J53" s="87"/>
      <c r="K53" s="87">
        <f t="shared" si="6"/>
        <v>0</v>
      </c>
      <c r="L53" s="87">
        <f t="shared" si="7"/>
        <v>0</v>
      </c>
      <c r="M53" s="87">
        <f t="shared" si="8"/>
        <v>0</v>
      </c>
      <c r="N53" s="87">
        <f t="shared" si="3"/>
        <v>0</v>
      </c>
      <c r="O53" s="87">
        <f t="shared" si="9"/>
        <v>0</v>
      </c>
      <c r="P53" s="87">
        <f t="shared" si="10"/>
        <v>0</v>
      </c>
      <c r="Q53" s="87">
        <f t="shared" si="11"/>
        <v>0</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s="99"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0</v>
      </c>
      <c r="L55" s="96">
        <f t="shared" si="7"/>
        <v>0</v>
      </c>
      <c r="M55" s="96">
        <f t="shared" si="8"/>
        <v>0</v>
      </c>
      <c r="N55" s="96">
        <f t="shared" si="3"/>
        <v>0</v>
      </c>
      <c r="O55" s="96">
        <f t="shared" si="9"/>
        <v>0</v>
      </c>
      <c r="P55" s="96">
        <f t="shared" si="10"/>
        <v>0</v>
      </c>
      <c r="Q55" s="96">
        <f t="shared" si="11"/>
        <v>0</v>
      </c>
      <c r="R55" s="96"/>
      <c r="S55" s="96"/>
      <c r="T55" s="96">
        <f t="shared" si="14"/>
        <v>0</v>
      </c>
      <c r="U55" s="96">
        <f t="shared" si="4"/>
        <v>0</v>
      </c>
      <c r="V55" s="97">
        <f t="shared" si="12"/>
        <v>0</v>
      </c>
      <c r="W55" s="98">
        <f t="shared" si="13"/>
        <v>0</v>
      </c>
    </row>
    <row r="56" spans="2:23" s="90" customFormat="1" x14ac:dyDescent="0.35">
      <c r="B56" s="84">
        <f t="shared" si="0"/>
        <v>45073</v>
      </c>
      <c r="C56" s="85">
        <f t="shared" si="1"/>
        <v>45074</v>
      </c>
      <c r="D56" s="86"/>
      <c r="E56" s="92">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0</v>
      </c>
      <c r="L56" s="87">
        <f t="shared" si="7"/>
        <v>0</v>
      </c>
      <c r="M56" s="87">
        <f t="shared" si="8"/>
        <v>0</v>
      </c>
      <c r="N56" s="87">
        <f t="shared" si="3"/>
        <v>0</v>
      </c>
      <c r="O56" s="87">
        <f t="shared" si="9"/>
        <v>0</v>
      </c>
      <c r="P56" s="87">
        <f t="shared" si="10"/>
        <v>0</v>
      </c>
      <c r="Q56" s="87">
        <f t="shared" si="11"/>
        <v>0</v>
      </c>
      <c r="R56" s="87"/>
      <c r="S56" s="87"/>
      <c r="T56" s="87">
        <f t="shared" si="14"/>
        <v>0</v>
      </c>
      <c r="U56" s="87">
        <f t="shared" si="4"/>
        <v>0</v>
      </c>
      <c r="V56" s="88">
        <f t="shared" si="12"/>
        <v>0</v>
      </c>
      <c r="W56" s="89">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 t="shared" si="10"/>
        <v>0</v>
      </c>
      <c r="Q57" s="13">
        <f t="shared" si="11"/>
        <v>0</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 t="shared" si="10"/>
        <v>0</v>
      </c>
      <c r="Q58" s="13">
        <f t="shared" si="11"/>
        <v>0</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0</v>
      </c>
      <c r="L59" s="13">
        <f t="shared" ref="L59" si="18">M59-M58</f>
        <v>0</v>
      </c>
      <c r="M59" s="13">
        <f t="shared" si="8"/>
        <v>0</v>
      </c>
      <c r="N59" s="13">
        <f t="shared" ref="N59" si="19">ROUND(N58+I59+J59+O58-G59,2)</f>
        <v>0</v>
      </c>
      <c r="O59" s="13">
        <f t="shared" ref="O59" si="20">P59-P58</f>
        <v>0</v>
      </c>
      <c r="P59" s="13">
        <f>ROUND(P58+N59*$F$22,2)</f>
        <v>0</v>
      </c>
      <c r="Q59" s="13">
        <f t="shared" ref="Q59" si="21">ROUND(N59+K59-M58-P58,2)</f>
        <v>0</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22" t="s">
        <v>49</v>
      </c>
      <c r="C60" s="123"/>
      <c r="D60" s="67">
        <f t="shared" ref="D60:L60" si="26">SUM(D29:D59)</f>
        <v>2119.48</v>
      </c>
      <c r="E60" s="21">
        <f t="shared" si="26"/>
        <v>110.48</v>
      </c>
      <c r="F60" s="21">
        <f t="shared" si="26"/>
        <v>2119.48</v>
      </c>
      <c r="G60" s="21">
        <f t="shared" si="26"/>
        <v>0</v>
      </c>
      <c r="H60" s="22">
        <f t="shared" si="26"/>
        <v>0</v>
      </c>
      <c r="I60" s="20">
        <f t="shared" si="26"/>
        <v>0</v>
      </c>
      <c r="J60" s="21">
        <f t="shared" si="26"/>
        <v>0</v>
      </c>
      <c r="K60" s="21">
        <f t="shared" si="26"/>
        <v>2119.48</v>
      </c>
      <c r="L60" s="74">
        <f t="shared" si="26"/>
        <v>0</v>
      </c>
      <c r="M60" s="20"/>
      <c r="N60" s="21">
        <f>SUM(N29:N59)</f>
        <v>0</v>
      </c>
      <c r="O60" s="21">
        <f>SUM(O29:O59)</f>
        <v>0</v>
      </c>
      <c r="P60" s="20"/>
      <c r="Q60" s="20"/>
      <c r="R60" s="22">
        <f>SUM(R29:R59)</f>
        <v>0</v>
      </c>
      <c r="S60" s="22">
        <f>SUM(S29:S59)</f>
        <v>0</v>
      </c>
      <c r="T60" s="22">
        <f>SUM(T29:T59)</f>
        <v>0</v>
      </c>
      <c r="U60" s="22">
        <f>SUM(U29:U59)</f>
        <v>0</v>
      </c>
      <c r="V60" s="23"/>
      <c r="W60" s="23"/>
    </row>
    <row r="61" spans="2:23" ht="15" thickBot="1" x14ac:dyDescent="0.4">
      <c r="G61" s="61"/>
      <c r="J61" s="82" t="s">
        <v>71</v>
      </c>
      <c r="K61" s="82">
        <f>K60/$C$18</f>
        <v>68.370322580645166</v>
      </c>
      <c r="M61" s="82" t="s">
        <v>69</v>
      </c>
      <c r="N61" s="82">
        <f>N60/$C$18</f>
        <v>0</v>
      </c>
      <c r="O61" s="61"/>
      <c r="S61" s="82" t="s">
        <v>65</v>
      </c>
      <c r="T61" s="82">
        <f>T60/$C$18</f>
        <v>0</v>
      </c>
    </row>
    <row r="62" spans="2:23" ht="15" thickBot="1" x14ac:dyDescent="0.4">
      <c r="H62" s="2"/>
      <c r="J62" s="82" t="s">
        <v>72</v>
      </c>
      <c r="K62" s="82">
        <f>ROUND(K61*$F$22*$C$18,2)</f>
        <v>1.31</v>
      </c>
      <c r="M62" s="82" t="s">
        <v>70</v>
      </c>
      <c r="N62" s="82">
        <f>IF(ROUND(N59,2)=0,0,N61*$F$22*$C$18)</f>
        <v>0</v>
      </c>
      <c r="S62" s="82" t="s">
        <v>64</v>
      </c>
      <c r="T62" s="82">
        <f>T61*$F$23*$C$18</f>
        <v>0</v>
      </c>
    </row>
    <row r="63" spans="2:23" x14ac:dyDescent="0.35">
      <c r="M63" s="61"/>
      <c r="N63" s="61"/>
    </row>
    <row r="64" spans="2:23" ht="15" thickBot="1" x14ac:dyDescent="0.4"/>
    <row r="65" spans="11:19" ht="15" thickBot="1" x14ac:dyDescent="0.4">
      <c r="M65" s="82">
        <f>K62+N62</f>
        <v>1.31</v>
      </c>
      <c r="P65" s="61">
        <f>N62-N68</f>
        <v>0</v>
      </c>
    </row>
    <row r="66" spans="11:19" ht="15" thickBot="1" x14ac:dyDescent="0.4">
      <c r="K66" s="61">
        <f>SUM(K29:K52)</f>
        <v>2119.48</v>
      </c>
      <c r="N66" s="61">
        <f>SUM(N29:N55)</f>
        <v>0</v>
      </c>
      <c r="P66" s="61">
        <f>SUM(O56:O59)</f>
        <v>0</v>
      </c>
    </row>
    <row r="67" spans="11:19" ht="15" thickBot="1" x14ac:dyDescent="0.4">
      <c r="K67" s="82">
        <f>K66/$C$18</f>
        <v>68.370322580645166</v>
      </c>
      <c r="N67" s="82">
        <f>N66/$C$18</f>
        <v>0</v>
      </c>
      <c r="O67" s="61">
        <f>SUM(O43:O55)</f>
        <v>0</v>
      </c>
    </row>
    <row r="68" spans="11:19" ht="15" thickBot="1" x14ac:dyDescent="0.4">
      <c r="K68" s="82">
        <f>ROUND(K67*$F$22*$C$18,2)</f>
        <v>1.31</v>
      </c>
      <c r="M68">
        <v>25.48</v>
      </c>
      <c r="N68" s="82">
        <f>ROUND(N67*$F$22*$C$18,2)</f>
        <v>0</v>
      </c>
      <c r="O68">
        <v>17.440000000000001</v>
      </c>
    </row>
    <row r="69" spans="11:19" x14ac:dyDescent="0.35">
      <c r="M69" s="61"/>
      <c r="O69" s="61">
        <f>SUM(O67,O68)</f>
        <v>17.440000000000001</v>
      </c>
    </row>
    <row r="70" spans="11:19" x14ac:dyDescent="0.35">
      <c r="M70" s="100">
        <f>K68+N68</f>
        <v>1.31</v>
      </c>
      <c r="S70" s="61">
        <f>N62+L60</f>
        <v>0</v>
      </c>
    </row>
    <row r="72" spans="11:19" x14ac:dyDescent="0.35">
      <c r="M72" s="61">
        <f>M65-M68</f>
        <v>-24.17</v>
      </c>
    </row>
    <row r="74" spans="11:19" x14ac:dyDescent="0.35">
      <c r="N74" s="61">
        <f>(K68+N68)-(SUM(L56:L59)+SUM(O56:O59))</f>
        <v>1.31</v>
      </c>
    </row>
    <row r="75" spans="11:19" x14ac:dyDescent="0.35">
      <c r="M75" s="61">
        <f>M55+N68</f>
        <v>0</v>
      </c>
    </row>
    <row r="79" spans="11:19" x14ac:dyDescent="0.35">
      <c r="M79" s="61">
        <f>K29-D48</f>
        <v>2119.48</v>
      </c>
    </row>
    <row r="80" spans="11:19" x14ac:dyDescent="0.35">
      <c r="M80">
        <f>M79</f>
        <v>2119.48</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16" t="s">
        <v>50</v>
      </c>
      <c r="F2" s="117"/>
    </row>
    <row r="3" spans="2:12" ht="15" thickBot="1" x14ac:dyDescent="0.4">
      <c r="B3" s="28" t="s">
        <v>1</v>
      </c>
      <c r="C3" s="37">
        <v>25</v>
      </c>
      <c r="E3" s="45" t="s">
        <v>24</v>
      </c>
      <c r="F3" s="46">
        <f>C17</f>
        <v>45107</v>
      </c>
    </row>
    <row r="4" spans="2:12" ht="15" thickBot="1" x14ac:dyDescent="0.4">
      <c r="B4"/>
      <c r="C4"/>
      <c r="E4" s="62" t="s">
        <v>25</v>
      </c>
      <c r="F4" s="62">
        <f>'May Statement'!F11</f>
        <v>-2119.48</v>
      </c>
    </row>
    <row r="5" spans="2:12" ht="15" thickBot="1" x14ac:dyDescent="0.4">
      <c r="B5" s="29" t="s">
        <v>5</v>
      </c>
      <c r="C5" s="38">
        <v>45017</v>
      </c>
      <c r="E5" s="32" t="s">
        <v>10</v>
      </c>
      <c r="F5" s="33">
        <f>SUM(I11:I12)</f>
        <v>0</v>
      </c>
    </row>
    <row r="6" spans="2:12" x14ac:dyDescent="0.35">
      <c r="B6" s="30" t="s">
        <v>8</v>
      </c>
      <c r="C6" s="39">
        <v>45046</v>
      </c>
      <c r="E6" s="34" t="s">
        <v>26</v>
      </c>
      <c r="F6" s="35">
        <f>I59</f>
        <v>0</v>
      </c>
      <c r="H6" s="103" t="s">
        <v>40</v>
      </c>
      <c r="I6" s="104"/>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0</v>
      </c>
      <c r="L9" s="61"/>
    </row>
    <row r="10" spans="2:12" ht="15" thickBot="1" x14ac:dyDescent="0.4">
      <c r="B10" s="29" t="s">
        <v>12</v>
      </c>
      <c r="C10" s="38">
        <v>45047</v>
      </c>
      <c r="E10" s="4"/>
      <c r="F10" s="6"/>
      <c r="H10" s="125" t="s">
        <v>41</v>
      </c>
      <c r="I10" s="126"/>
      <c r="J10" s="127"/>
    </row>
    <row r="11" spans="2:12" ht="14.5" customHeight="1" x14ac:dyDescent="0.35">
      <c r="B11" s="30" t="s">
        <v>13</v>
      </c>
      <c r="C11" s="39">
        <f>C10+C12-1</f>
        <v>45077</v>
      </c>
      <c r="E11" s="55" t="s">
        <v>30</v>
      </c>
      <c r="F11" s="56">
        <f>F4+F6+F7+F8+F9-F5</f>
        <v>-2119.48</v>
      </c>
      <c r="H11" s="72" t="s">
        <v>42</v>
      </c>
      <c r="I11" s="73">
        <f>SUM(F59:G59)</f>
        <v>0</v>
      </c>
      <c r="J11" s="114" t="s">
        <v>73</v>
      </c>
      <c r="K11" s="124"/>
    </row>
    <row r="12" spans="2:12" ht="15" thickBot="1" x14ac:dyDescent="0.4">
      <c r="B12" s="30" t="s">
        <v>14</v>
      </c>
      <c r="C12" s="40">
        <v>31</v>
      </c>
      <c r="E12" s="4"/>
      <c r="F12" s="6"/>
      <c r="H12" s="49" t="s">
        <v>43</v>
      </c>
      <c r="I12" s="50">
        <f>H59</f>
        <v>0</v>
      </c>
      <c r="J12" s="115"/>
      <c r="K12" s="124"/>
    </row>
    <row r="13" spans="2:12" ht="15" thickBot="1" x14ac:dyDescent="0.4">
      <c r="B13" s="31" t="s">
        <v>15</v>
      </c>
      <c r="C13" s="41">
        <v>45102</v>
      </c>
      <c r="E13" s="53" t="s">
        <v>31</v>
      </c>
      <c r="F13" s="54">
        <v>18000</v>
      </c>
    </row>
    <row r="14" spans="2:12" x14ac:dyDescent="0.35">
      <c r="E14" s="51" t="s">
        <v>32</v>
      </c>
      <c r="F14" s="52">
        <f>F13-F11</f>
        <v>20119.48</v>
      </c>
      <c r="H14" s="103" t="s">
        <v>44</v>
      </c>
      <c r="I14" s="104"/>
    </row>
    <row r="15" spans="2:12" ht="29.5" thickBot="1" x14ac:dyDescent="0.4">
      <c r="B15"/>
      <c r="C15" s="3"/>
      <c r="E15" s="53" t="s">
        <v>33</v>
      </c>
      <c r="F15" s="54">
        <v>1200</v>
      </c>
      <c r="H15" s="7" t="s">
        <v>45</v>
      </c>
      <c r="I15" s="8">
        <f>K61</f>
        <v>0</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3" t="s">
        <v>51</v>
      </c>
      <c r="I18" s="104"/>
    </row>
    <row r="19" spans="2:23" ht="15" thickBot="1" x14ac:dyDescent="0.4">
      <c r="B19" s="31" t="s">
        <v>16</v>
      </c>
      <c r="C19" s="41">
        <f>C17+C3</f>
        <v>45132</v>
      </c>
      <c r="H19" s="7" t="s">
        <v>42</v>
      </c>
      <c r="I19" s="8">
        <f>'May Statement'!I19+'May Statement'!F6+'May Statement'!I7+'May Statement'!I15-'May Statement'!I11</f>
        <v>0</v>
      </c>
    </row>
    <row r="20" spans="2:23" ht="15" thickBot="1" x14ac:dyDescent="0.4">
      <c r="H20" s="49" t="s">
        <v>43</v>
      </c>
      <c r="I20" s="50">
        <f>'May Statement'!I20+'May Statement'!F7+'May Statement'!I8+'May Statement'!I16-'May Statement'!I12</f>
        <v>0</v>
      </c>
      <c r="J20" s="5"/>
    </row>
    <row r="21" spans="2:23" x14ac:dyDescent="0.35">
      <c r="B21" s="103" t="s">
        <v>17</v>
      </c>
      <c r="C21" s="104"/>
      <c r="E21" s="103" t="s">
        <v>22</v>
      </c>
      <c r="F21" s="104"/>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7" si="3">ROUND(N29+I30+J30+O29-G30,2)</f>
        <v>0</v>
      </c>
      <c r="O30" s="13">
        <f>P30-P29</f>
        <v>0</v>
      </c>
      <c r="P30" s="13">
        <f>ROUND(P29+N30*$F$22,2)</f>
        <v>0</v>
      </c>
      <c r="Q30" s="13">
        <f>ROUND(N30+K30-M29-P29,2)</f>
        <v>0</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0</v>
      </c>
      <c r="L31" s="13">
        <f t="shared" ref="L31:L57" si="7">M31-M30</f>
        <v>0</v>
      </c>
      <c r="M31" s="13">
        <f t="shared" ref="M31:M57" si="8">IF(K31=0,0,M30+K31*$F$22)</f>
        <v>0</v>
      </c>
      <c r="N31" s="13">
        <f t="shared" si="3"/>
        <v>0</v>
      </c>
      <c r="O31" s="13">
        <f t="shared" ref="O31:O57" si="9">P31-P30</f>
        <v>0</v>
      </c>
      <c r="P31" s="13">
        <f t="shared" ref="P31:P56" si="10">ROUND(P30+N31*$F$22,2)</f>
        <v>0</v>
      </c>
      <c r="Q31" s="13">
        <f t="shared" ref="Q31:Q57" si="11">ROUND(N31+K31-M30-P30,2)</f>
        <v>0</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ROUND(P53+N54*$F$22,2)</f>
        <v>0</v>
      </c>
      <c r="Q54" s="13">
        <f t="shared" si="11"/>
        <v>0</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0</v>
      </c>
      <c r="O56" s="13">
        <f t="shared" si="9"/>
        <v>0</v>
      </c>
      <c r="P56" s="13">
        <f t="shared" si="10"/>
        <v>0</v>
      </c>
      <c r="Q56" s="13">
        <f t="shared" si="11"/>
        <v>0</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ROUND(P56+N57*$F$22,2)</f>
        <v>0</v>
      </c>
      <c r="Q57" s="13">
        <f t="shared" si="11"/>
        <v>0</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0</v>
      </c>
      <c r="L58" s="13">
        <f t="shared" ref="L58" si="18">M58-M57</f>
        <v>0</v>
      </c>
      <c r="M58" s="13">
        <f t="shared" ref="M58" si="19">IF(K58=0,0,M57+K58*$F$22)</f>
        <v>0</v>
      </c>
      <c r="N58" s="13">
        <f t="shared" ref="N58" si="20">ROUND(N57+I58+J58+O57-G58,2)</f>
        <v>0</v>
      </c>
      <c r="O58" s="13">
        <f t="shared" ref="O58" si="21">P58-P57</f>
        <v>0</v>
      </c>
      <c r="P58" s="13">
        <f>ROUND(P57+N58*$F$22,2)</f>
        <v>0</v>
      </c>
      <c r="Q58" s="13">
        <f t="shared" ref="Q58" si="22">ROUND(N58+K58-M57-P57,2)</f>
        <v>0</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22" t="s">
        <v>49</v>
      </c>
      <c r="C59" s="123"/>
      <c r="D59" s="67">
        <f t="shared" ref="D59:L59" si="27">SUM(D29:D58)</f>
        <v>0</v>
      </c>
      <c r="E59" s="21">
        <f t="shared" si="27"/>
        <v>0</v>
      </c>
      <c r="F59" s="21">
        <f t="shared" si="27"/>
        <v>0</v>
      </c>
      <c r="G59" s="21">
        <f t="shared" si="27"/>
        <v>0</v>
      </c>
      <c r="H59" s="22">
        <f t="shared" si="27"/>
        <v>0</v>
      </c>
      <c r="I59" s="20">
        <f t="shared" si="27"/>
        <v>0</v>
      </c>
      <c r="J59" s="21">
        <f t="shared" si="27"/>
        <v>0</v>
      </c>
      <c r="K59" s="21">
        <f t="shared" si="27"/>
        <v>0</v>
      </c>
      <c r="L59" s="74">
        <f t="shared" si="27"/>
        <v>0</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0</v>
      </c>
      <c r="M60" s="82" t="s">
        <v>69</v>
      </c>
      <c r="N60" s="82">
        <f>N59/$C$18</f>
        <v>0</v>
      </c>
      <c r="O60" s="61"/>
      <c r="S60" s="82" t="s">
        <v>65</v>
      </c>
      <c r="T60" s="82">
        <f>T59/$C$18</f>
        <v>0</v>
      </c>
    </row>
    <row r="61" spans="2:23" ht="15" thickBot="1" x14ac:dyDescent="0.4">
      <c r="H61" s="2"/>
      <c r="J61" s="82" t="s">
        <v>72</v>
      </c>
      <c r="K61" s="82">
        <f>M58</f>
        <v>0</v>
      </c>
      <c r="M61" s="82" t="s">
        <v>70</v>
      </c>
      <c r="N61" s="82">
        <f>IF(ROUND(N58,2)=0,0,N60*$F$22*$C$18)</f>
        <v>0</v>
      </c>
      <c r="S61" s="82" t="s">
        <v>64</v>
      </c>
      <c r="T61" s="82">
        <f>T60*$F$23*$C$18</f>
        <v>0</v>
      </c>
    </row>
    <row r="62" spans="2:23" x14ac:dyDescent="0.35">
      <c r="M62" s="61"/>
      <c r="N62" s="61"/>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2024-03-12T10:52:47Z</dcterms:modified>
</cp:coreProperties>
</file>