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vinod\Desktop\credit card execution\"/>
    </mc:Choice>
  </mc:AlternateContent>
  <xr:revisionPtr revIDLastSave="0" documentId="13_ncr:1_{993808E4-0308-4E1A-A4DA-9BF5AE5CD6EB}" xr6:coauthVersionLast="47" xr6:coauthVersionMax="47" xr10:uidLastSave="{00000000-0000-0000-0000-000000000000}"/>
  <bookViews>
    <workbookView xWindow="-110" yWindow="-110" windowWidth="19420" windowHeight="10300" firstSheet="1" activeTab="4" xr2:uid="{82F1B295-1E0D-4939-B68C-1A75AF022691}"/>
  </bookViews>
  <sheets>
    <sheet name="Jan Statement" sheetId="1" r:id="rId1"/>
    <sheet name="Feb Statement" sheetId="12" r:id="rId2"/>
    <sheet name="March Statement" sheetId="16" r:id="rId3"/>
    <sheet name="April Statement" sheetId="15" r:id="rId4"/>
    <sheet name="May Statement" sheetId="13" r:id="rId5"/>
    <sheet name="june Statement" sheetId="1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9" i="16" l="1"/>
  <c r="M79" i="13"/>
  <c r="M80" i="13" s="1"/>
  <c r="M29" i="13"/>
  <c r="L29" i="13" s="1"/>
  <c r="F4" i="15"/>
  <c r="C10" i="13"/>
  <c r="S60" i="16"/>
  <c r="R60" i="16"/>
  <c r="F7" i="16" s="1"/>
  <c r="J60" i="16"/>
  <c r="I7" i="16" s="1"/>
  <c r="F8" i="16" s="1"/>
  <c r="I60" i="16"/>
  <c r="F6" i="16" s="1"/>
  <c r="D60" i="16"/>
  <c r="E29" i="16"/>
  <c r="F23" i="16"/>
  <c r="F22" i="16"/>
  <c r="F18" i="16"/>
  <c r="C16" i="16"/>
  <c r="C11" i="16"/>
  <c r="C10" i="16"/>
  <c r="I8" i="16"/>
  <c r="C8" i="16"/>
  <c r="S59" i="15"/>
  <c r="R59" i="15"/>
  <c r="F7" i="15" s="1"/>
  <c r="J59" i="15"/>
  <c r="I7" i="15" s="1"/>
  <c r="F8" i="15" s="1"/>
  <c r="I59" i="15"/>
  <c r="F6" i="15" s="1"/>
  <c r="D59" i="15"/>
  <c r="E29" i="15"/>
  <c r="C29" i="15"/>
  <c r="B29" i="15" s="1"/>
  <c r="F23" i="15"/>
  <c r="F22" i="15"/>
  <c r="F18" i="15"/>
  <c r="C16" i="15"/>
  <c r="C17" i="15" s="1"/>
  <c r="F17" i="15" s="1"/>
  <c r="C11" i="15"/>
  <c r="I8" i="15"/>
  <c r="C8" i="15"/>
  <c r="E48" i="1"/>
  <c r="S59" i="14"/>
  <c r="R59" i="14"/>
  <c r="F7" i="14" s="1"/>
  <c r="J59" i="14"/>
  <c r="I59" i="14"/>
  <c r="F6" i="14" s="1"/>
  <c r="D59" i="14"/>
  <c r="S60" i="13"/>
  <c r="R60" i="13"/>
  <c r="J60" i="13"/>
  <c r="I60" i="13"/>
  <c r="D60" i="13"/>
  <c r="I8" i="14"/>
  <c r="I7" i="14"/>
  <c r="E29" i="14"/>
  <c r="E30" i="14" s="1"/>
  <c r="F23" i="14"/>
  <c r="F22" i="14"/>
  <c r="F18" i="14"/>
  <c r="C16" i="14"/>
  <c r="C11" i="14"/>
  <c r="C8" i="14"/>
  <c r="S60" i="1"/>
  <c r="R60" i="1"/>
  <c r="J60" i="1"/>
  <c r="D57" i="12"/>
  <c r="I65" i="12"/>
  <c r="E30" i="16" l="1"/>
  <c r="C29" i="16"/>
  <c r="C17" i="16"/>
  <c r="E30" i="15"/>
  <c r="C19" i="15"/>
  <c r="C30" i="15"/>
  <c r="F3" i="15"/>
  <c r="F8" i="14"/>
  <c r="C29" i="14"/>
  <c r="C17" i="14"/>
  <c r="E31" i="14"/>
  <c r="H29" i="1"/>
  <c r="E29" i="1"/>
  <c r="E29" i="13"/>
  <c r="F4" i="1"/>
  <c r="D60" i="1"/>
  <c r="F3" i="16" l="1"/>
  <c r="C19" i="16"/>
  <c r="F17" i="16"/>
  <c r="E31" i="16"/>
  <c r="B29" i="16"/>
  <c r="C30" i="16"/>
  <c r="E31" i="15"/>
  <c r="B30" i="15"/>
  <c r="C31" i="15"/>
  <c r="E32" i="14"/>
  <c r="F17" i="14"/>
  <c r="C19" i="14"/>
  <c r="F3" i="14"/>
  <c r="C30" i="14"/>
  <c r="B29" i="14"/>
  <c r="I60" i="1"/>
  <c r="T29" i="1"/>
  <c r="W29" i="1" s="1"/>
  <c r="E30" i="1"/>
  <c r="F29" i="1"/>
  <c r="E30" i="13"/>
  <c r="C31" i="16" l="1"/>
  <c r="B30" i="16"/>
  <c r="E32" i="16"/>
  <c r="E32" i="15"/>
  <c r="C32" i="15"/>
  <c r="B31" i="15"/>
  <c r="B30" i="14"/>
  <c r="C31" i="14"/>
  <c r="E33" i="14"/>
  <c r="E34" i="14" s="1"/>
  <c r="E35" i="14" s="1"/>
  <c r="F30" i="1"/>
  <c r="G29" i="1"/>
  <c r="E31" i="1"/>
  <c r="E31" i="13"/>
  <c r="E33" i="16" l="1"/>
  <c r="C32" i="16"/>
  <c r="B31" i="16"/>
  <c r="C33" i="15"/>
  <c r="B32" i="15"/>
  <c r="E33" i="15"/>
  <c r="B31" i="14"/>
  <c r="C32" i="14"/>
  <c r="E36" i="14"/>
  <c r="N29" i="1"/>
  <c r="E32" i="1"/>
  <c r="F31" i="1"/>
  <c r="E32" i="13"/>
  <c r="B32" i="16" l="1"/>
  <c r="C33" i="16"/>
  <c r="E34" i="16"/>
  <c r="E34" i="15"/>
  <c r="E35" i="15"/>
  <c r="C34" i="15"/>
  <c r="B33" i="15"/>
  <c r="C33" i="14"/>
  <c r="B32" i="14"/>
  <c r="E37" i="14"/>
  <c r="E33" i="1"/>
  <c r="E34" i="1" s="1"/>
  <c r="F32" i="1"/>
  <c r="E33" i="13"/>
  <c r="E37" i="15" l="1"/>
  <c r="E36" i="15"/>
  <c r="E35" i="16"/>
  <c r="B33" i="16"/>
  <c r="C34" i="16"/>
  <c r="C35" i="15"/>
  <c r="B34" i="15"/>
  <c r="E38" i="15"/>
  <c r="C34" i="14"/>
  <c r="B33" i="14"/>
  <c r="E38" i="14"/>
  <c r="F33" i="1"/>
  <c r="E35" i="1"/>
  <c r="E34" i="13"/>
  <c r="E35" i="13" s="1"/>
  <c r="E36" i="16" l="1"/>
  <c r="C35" i="16"/>
  <c r="B34" i="16"/>
  <c r="C36" i="15"/>
  <c r="B35" i="15"/>
  <c r="E39" i="15"/>
  <c r="E40" i="15" s="1"/>
  <c r="E41" i="15" s="1"/>
  <c r="C35" i="14"/>
  <c r="B34" i="14"/>
  <c r="E39" i="14"/>
  <c r="E40" i="14" s="1"/>
  <c r="E41" i="14" s="1"/>
  <c r="E42" i="14" s="1"/>
  <c r="E43" i="14" s="1"/>
  <c r="E44" i="14" s="1"/>
  <c r="E45" i="14" s="1"/>
  <c r="E46" i="14" s="1"/>
  <c r="E36" i="1"/>
  <c r="E37" i="1" s="1"/>
  <c r="F34" i="1"/>
  <c r="E36" i="13"/>
  <c r="E37" i="16" l="1"/>
  <c r="C36" i="16"/>
  <c r="B35" i="16"/>
  <c r="E42" i="15"/>
  <c r="E43" i="15" s="1"/>
  <c r="B36" i="15"/>
  <c r="C37" i="15"/>
  <c r="C36" i="14"/>
  <c r="B35" i="14"/>
  <c r="E47" i="14"/>
  <c r="E48" i="14" s="1"/>
  <c r="E49" i="14" s="1"/>
  <c r="E50" i="14" s="1"/>
  <c r="E51" i="14" s="1"/>
  <c r="E52" i="14" s="1"/>
  <c r="E53" i="14" s="1"/>
  <c r="E54" i="14" s="1"/>
  <c r="E55" i="14" s="1"/>
  <c r="E56" i="14" s="1"/>
  <c r="E57" i="14" s="1"/>
  <c r="E58" i="14" s="1"/>
  <c r="E59" i="14" s="1"/>
  <c r="E38" i="1"/>
  <c r="E39" i="1" s="1"/>
  <c r="E40" i="1" s="1"/>
  <c r="E41" i="1" s="1"/>
  <c r="E42" i="1" s="1"/>
  <c r="E43" i="1" s="1"/>
  <c r="E44" i="1" s="1"/>
  <c r="E45" i="1" s="1"/>
  <c r="E46" i="1" s="1"/>
  <c r="E47" i="1" s="1"/>
  <c r="E49" i="1" s="1"/>
  <c r="E50" i="1" s="1"/>
  <c r="E51" i="1" s="1"/>
  <c r="E52" i="1" s="1"/>
  <c r="E53" i="1" s="1"/>
  <c r="E54" i="1" s="1"/>
  <c r="E55" i="1" s="1"/>
  <c r="E56" i="1" s="1"/>
  <c r="E57" i="1" s="1"/>
  <c r="E58" i="1" s="1"/>
  <c r="E59" i="1" s="1"/>
  <c r="E60" i="1" s="1"/>
  <c r="F35" i="1"/>
  <c r="E37" i="13"/>
  <c r="E44" i="15" l="1"/>
  <c r="E38" i="16"/>
  <c r="E39" i="16" s="1"/>
  <c r="E40" i="16" s="1"/>
  <c r="E41" i="16" s="1"/>
  <c r="E42" i="16" s="1"/>
  <c r="E43" i="16" s="1"/>
  <c r="E44" i="16" s="1"/>
  <c r="E45" i="16" s="1"/>
  <c r="E46" i="16" s="1"/>
  <c r="E47" i="16" s="1"/>
  <c r="E48" i="16" s="1"/>
  <c r="E49" i="16" s="1"/>
  <c r="E50" i="16" s="1"/>
  <c r="E51" i="16" s="1"/>
  <c r="E52" i="16" s="1"/>
  <c r="E53" i="16" s="1"/>
  <c r="E54" i="16" s="1"/>
  <c r="E55" i="16" s="1"/>
  <c r="E56" i="16" s="1"/>
  <c r="E57" i="16" s="1"/>
  <c r="E58" i="16" s="1"/>
  <c r="E59" i="16" s="1"/>
  <c r="E60" i="16" s="1"/>
  <c r="C37" i="16"/>
  <c r="B36" i="16"/>
  <c r="B37" i="15"/>
  <c r="C38" i="15"/>
  <c r="B36" i="14"/>
  <c r="C37" i="14"/>
  <c r="F36" i="1"/>
  <c r="F37" i="1" s="1"/>
  <c r="F38" i="1" s="1"/>
  <c r="E38" i="13"/>
  <c r="E39" i="13" s="1"/>
  <c r="E40" i="13" s="1"/>
  <c r="E41" i="13" s="1"/>
  <c r="E42" i="13" s="1"/>
  <c r="E43" i="13" s="1"/>
  <c r="E44" i="13" s="1"/>
  <c r="E45" i="13" s="1"/>
  <c r="E46" i="13" s="1"/>
  <c r="E47" i="13" s="1"/>
  <c r="E48" i="13" s="1"/>
  <c r="E49" i="13" s="1"/>
  <c r="E50" i="13" s="1"/>
  <c r="E51" i="13" s="1"/>
  <c r="E52" i="13" s="1"/>
  <c r="E53" i="13" s="1"/>
  <c r="E54" i="13" s="1"/>
  <c r="E55" i="13" s="1"/>
  <c r="E56" i="13" s="1"/>
  <c r="E57" i="13" s="1"/>
  <c r="E58" i="13" s="1"/>
  <c r="E59" i="13" s="1"/>
  <c r="E60" i="13" s="1"/>
  <c r="E45" i="15" l="1"/>
  <c r="E46" i="15" s="1"/>
  <c r="E47" i="15" s="1"/>
  <c r="E48" i="15" s="1"/>
  <c r="E49" i="15" s="1"/>
  <c r="E50" i="15" s="1"/>
  <c r="E51" i="15" s="1"/>
  <c r="E52" i="15" s="1"/>
  <c r="E53" i="15" s="1"/>
  <c r="E54" i="15" s="1"/>
  <c r="E55" i="15" s="1"/>
  <c r="E56" i="15" s="1"/>
  <c r="E57" i="15" s="1"/>
  <c r="E58" i="15" s="1"/>
  <c r="E59" i="15" s="1"/>
  <c r="C38" i="16"/>
  <c r="B37" i="16"/>
  <c r="C39" i="15"/>
  <c r="B38" i="15"/>
  <c r="B37" i="14"/>
  <c r="C38" i="14"/>
  <c r="F39" i="1"/>
  <c r="C39" i="16" l="1"/>
  <c r="B38" i="16"/>
  <c r="C40" i="15"/>
  <c r="B39" i="15"/>
  <c r="C39" i="14"/>
  <c r="B38" i="14"/>
  <c r="F40" i="1"/>
  <c r="B39" i="16" l="1"/>
  <c r="C40" i="16"/>
  <c r="C41" i="15"/>
  <c r="B40" i="15"/>
  <c r="C40" i="14"/>
  <c r="B39" i="14"/>
  <c r="F41" i="1"/>
  <c r="B40" i="16" l="1"/>
  <c r="C41" i="16"/>
  <c r="C42" i="15"/>
  <c r="B41" i="15"/>
  <c r="C41" i="14"/>
  <c r="B40" i="14"/>
  <c r="F42" i="1"/>
  <c r="B41" i="16" l="1"/>
  <c r="C42" i="16"/>
  <c r="C43" i="15"/>
  <c r="B42" i="15"/>
  <c r="C42" i="14"/>
  <c r="B41" i="14"/>
  <c r="F43" i="1"/>
  <c r="C43" i="16" l="1"/>
  <c r="B42" i="16"/>
  <c r="C44" i="15"/>
  <c r="B43" i="15"/>
  <c r="C43" i="14"/>
  <c r="B42" i="14"/>
  <c r="F44" i="1"/>
  <c r="B43" i="16" l="1"/>
  <c r="C44" i="16"/>
  <c r="B44" i="15"/>
  <c r="C45" i="15"/>
  <c r="C44" i="14"/>
  <c r="B43" i="14"/>
  <c r="F45" i="1"/>
  <c r="C45" i="16" l="1"/>
  <c r="B44" i="16"/>
  <c r="B45" i="15"/>
  <c r="C46" i="15"/>
  <c r="C45" i="14"/>
  <c r="B44" i="14"/>
  <c r="F46" i="1"/>
  <c r="C46" i="16" l="1"/>
  <c r="B45" i="16"/>
  <c r="C47" i="15"/>
  <c r="B46" i="15"/>
  <c r="C46" i="14"/>
  <c r="B45" i="14"/>
  <c r="F47" i="1"/>
  <c r="C47" i="16" l="1"/>
  <c r="B46" i="16"/>
  <c r="C48" i="15"/>
  <c r="B47" i="15"/>
  <c r="B46" i="14"/>
  <c r="C47" i="14"/>
  <c r="F48" i="1"/>
  <c r="C48" i="16" l="1"/>
  <c r="B47" i="16"/>
  <c r="C49" i="15"/>
  <c r="B48" i="15"/>
  <c r="B47" i="14"/>
  <c r="C48" i="14"/>
  <c r="F49" i="1"/>
  <c r="B48" i="16" l="1"/>
  <c r="C49" i="16"/>
  <c r="C50" i="15"/>
  <c r="B49" i="15"/>
  <c r="B48" i="14"/>
  <c r="C49" i="14"/>
  <c r="F50" i="1"/>
  <c r="C50" i="16" l="1"/>
  <c r="B49" i="16"/>
  <c r="C51" i="15"/>
  <c r="B50" i="15"/>
  <c r="C50" i="14"/>
  <c r="B49" i="14"/>
  <c r="F51" i="1"/>
  <c r="C51" i="16" l="1"/>
  <c r="B50" i="16"/>
  <c r="C52" i="15"/>
  <c r="B51" i="15"/>
  <c r="C51" i="14"/>
  <c r="B50" i="14"/>
  <c r="F52" i="1"/>
  <c r="C52" i="16" l="1"/>
  <c r="B51" i="16"/>
  <c r="B52" i="15"/>
  <c r="C53" i="15"/>
  <c r="C52" i="14"/>
  <c r="B51" i="14"/>
  <c r="F53" i="1"/>
  <c r="C53" i="16" l="1"/>
  <c r="B52" i="16"/>
  <c r="B53" i="15"/>
  <c r="C54" i="15"/>
  <c r="C53" i="14"/>
  <c r="B52" i="14"/>
  <c r="F54" i="1"/>
  <c r="C54" i="16" l="1"/>
  <c r="B53" i="16"/>
  <c r="C55" i="15"/>
  <c r="B54" i="15"/>
  <c r="C54" i="14"/>
  <c r="B53" i="14"/>
  <c r="F55" i="1"/>
  <c r="C55" i="16" l="1"/>
  <c r="B54" i="16"/>
  <c r="C56" i="15"/>
  <c r="B55" i="15"/>
  <c r="C55" i="14"/>
  <c r="B54" i="14"/>
  <c r="F56" i="1"/>
  <c r="F57" i="1" s="1"/>
  <c r="B55" i="16" l="1"/>
  <c r="C56" i="16"/>
  <c r="C57" i="15"/>
  <c r="B56" i="15"/>
  <c r="C56" i="14"/>
  <c r="B55" i="14"/>
  <c r="F58" i="1"/>
  <c r="F59" i="1" s="1"/>
  <c r="B56" i="16" l="1"/>
  <c r="C57" i="16"/>
  <c r="C58" i="15"/>
  <c r="B58" i="15" s="1"/>
  <c r="B57" i="15"/>
  <c r="F60" i="1"/>
  <c r="C57" i="14"/>
  <c r="C58" i="14" s="1"/>
  <c r="B58" i="14" s="1"/>
  <c r="B56" i="14"/>
  <c r="Q29" i="1"/>
  <c r="C58" i="16" l="1"/>
  <c r="B57" i="16"/>
  <c r="B57" i="14"/>
  <c r="E29" i="12"/>
  <c r="C59" i="16" l="1"/>
  <c r="B59" i="16" s="1"/>
  <c r="B58" i="16"/>
  <c r="E30" i="12"/>
  <c r="C8" i="13"/>
  <c r="E31" i="12" l="1"/>
  <c r="I8" i="13"/>
  <c r="F7" i="13"/>
  <c r="I7" i="13"/>
  <c r="F8" i="13" s="1"/>
  <c r="F6" i="13"/>
  <c r="F23" i="13"/>
  <c r="F22" i="13"/>
  <c r="F18" i="13"/>
  <c r="F18" i="1"/>
  <c r="S57" i="12"/>
  <c r="R57" i="12"/>
  <c r="J57" i="12"/>
  <c r="E32" i="12" l="1"/>
  <c r="C16" i="1"/>
  <c r="C29" i="1" s="1"/>
  <c r="F23" i="1"/>
  <c r="V29" i="1" s="1"/>
  <c r="U29" i="1" s="1"/>
  <c r="I8" i="12"/>
  <c r="F7" i="12"/>
  <c r="I7" i="12"/>
  <c r="F23" i="12"/>
  <c r="F22" i="12"/>
  <c r="I21" i="1"/>
  <c r="F22" i="1"/>
  <c r="C30" i="1" l="1"/>
  <c r="B29" i="1"/>
  <c r="P29" i="1"/>
  <c r="O29" i="1" s="1"/>
  <c r="M29" i="1"/>
  <c r="E33" i="12"/>
  <c r="C10" i="12"/>
  <c r="C11" i="12" s="1"/>
  <c r="C13" i="12" s="1"/>
  <c r="I57" i="12"/>
  <c r="F6" i="12" s="1"/>
  <c r="C17" i="1"/>
  <c r="C19" i="1" s="1"/>
  <c r="F8" i="12"/>
  <c r="C31" i="1" l="1"/>
  <c r="B30" i="1"/>
  <c r="L29" i="1"/>
  <c r="K30" i="1" s="1"/>
  <c r="E34" i="12"/>
  <c r="E35" i="12" s="1"/>
  <c r="E36" i="12" s="1"/>
  <c r="E37" i="12" s="1"/>
  <c r="H30" i="1"/>
  <c r="C16" i="12"/>
  <c r="C29" i="12" s="1"/>
  <c r="M30" i="1" l="1"/>
  <c r="L30" i="1" s="1"/>
  <c r="K31" i="1" s="1"/>
  <c r="C32" i="1"/>
  <c r="B31" i="1"/>
  <c r="C16" i="13"/>
  <c r="G30" i="1"/>
  <c r="T30" i="1"/>
  <c r="E38" i="12"/>
  <c r="E39" i="12" s="1"/>
  <c r="E40" i="12" s="1"/>
  <c r="B29" i="12"/>
  <c r="C30" i="12"/>
  <c r="B30" i="12" s="1"/>
  <c r="F18" i="12"/>
  <c r="C17" i="12"/>
  <c r="M31" i="1" l="1"/>
  <c r="L31" i="1" s="1"/>
  <c r="K32" i="1" s="1"/>
  <c r="N30" i="1"/>
  <c r="P30" i="1" s="1"/>
  <c r="C11" i="13"/>
  <c r="B32" i="1"/>
  <c r="C33" i="1"/>
  <c r="W30" i="1"/>
  <c r="V30" i="1"/>
  <c r="E41" i="12"/>
  <c r="E42" i="12" s="1"/>
  <c r="E43" i="12" s="1"/>
  <c r="E44" i="12" s="1"/>
  <c r="E45" i="12" s="1"/>
  <c r="E46" i="12" s="1"/>
  <c r="E47" i="12" s="1"/>
  <c r="E48" i="12" s="1"/>
  <c r="E49" i="12" s="1"/>
  <c r="E50" i="12" s="1"/>
  <c r="E51" i="12" s="1"/>
  <c r="E52" i="12" s="1"/>
  <c r="E53" i="12" s="1"/>
  <c r="E54" i="12" s="1"/>
  <c r="E55" i="12" s="1"/>
  <c r="E56" i="12" s="1"/>
  <c r="E57" i="12" s="1"/>
  <c r="C31" i="12"/>
  <c r="C32" i="12" s="1"/>
  <c r="C29" i="13"/>
  <c r="C17" i="13"/>
  <c r="C19" i="13" s="1"/>
  <c r="F17" i="12"/>
  <c r="F3" i="12"/>
  <c r="B31" i="12"/>
  <c r="Q30" i="1" l="1"/>
  <c r="M32" i="1"/>
  <c r="L32" i="1" s="1"/>
  <c r="B33" i="1"/>
  <c r="C34" i="1"/>
  <c r="U30" i="1"/>
  <c r="O30" i="1"/>
  <c r="F3" i="13"/>
  <c r="F17" i="13"/>
  <c r="C30" i="13"/>
  <c r="B29" i="13"/>
  <c r="B32" i="12"/>
  <c r="C33" i="12"/>
  <c r="F17" i="1"/>
  <c r="K33" i="1" l="1"/>
  <c r="B34" i="1"/>
  <c r="C35" i="1"/>
  <c r="B30" i="13"/>
  <c r="C31" i="13"/>
  <c r="B33" i="12"/>
  <c r="C34" i="12"/>
  <c r="M33" i="1" l="1"/>
  <c r="L33" i="1" s="1"/>
  <c r="B35" i="1"/>
  <c r="C36" i="1"/>
  <c r="C32" i="13"/>
  <c r="B31" i="13"/>
  <c r="B34" i="12"/>
  <c r="C35" i="12"/>
  <c r="K34" i="1" l="1"/>
  <c r="C37" i="1"/>
  <c r="B36" i="1"/>
  <c r="B32" i="13"/>
  <c r="C33" i="13"/>
  <c r="B35" i="12"/>
  <c r="C36" i="12"/>
  <c r="M34" i="1" l="1"/>
  <c r="L34" i="1" s="1"/>
  <c r="K35" i="1" s="1"/>
  <c r="C38" i="1"/>
  <c r="B37" i="1"/>
  <c r="C34" i="13"/>
  <c r="B33" i="13"/>
  <c r="C37" i="12"/>
  <c r="B36" i="12"/>
  <c r="M35" i="1" l="1"/>
  <c r="L35" i="1" s="1"/>
  <c r="K36" i="1" s="1"/>
  <c r="C39" i="1"/>
  <c r="B38" i="1"/>
  <c r="B34" i="13"/>
  <c r="C35" i="13"/>
  <c r="B37" i="12"/>
  <c r="C38" i="12"/>
  <c r="M36" i="1" l="1"/>
  <c r="L36" i="1" s="1"/>
  <c r="K37" i="1" s="1"/>
  <c r="B39" i="1"/>
  <c r="C40" i="1"/>
  <c r="C36" i="13"/>
  <c r="B35" i="13"/>
  <c r="C39" i="12"/>
  <c r="B38" i="12"/>
  <c r="M37" i="1" l="1"/>
  <c r="L37" i="1" s="1"/>
  <c r="K38" i="1" s="1"/>
  <c r="C41" i="1"/>
  <c r="B40" i="1"/>
  <c r="C37" i="13"/>
  <c r="B36" i="13"/>
  <c r="B39" i="12"/>
  <c r="C40" i="12"/>
  <c r="M38" i="1" l="1"/>
  <c r="L38" i="1" s="1"/>
  <c r="K39" i="1" s="1"/>
  <c r="B41" i="1"/>
  <c r="C42" i="1"/>
  <c r="B37" i="13"/>
  <c r="C38" i="13"/>
  <c r="B40" i="12"/>
  <c r="C41" i="12"/>
  <c r="M39" i="1" l="1"/>
  <c r="L39" i="1" s="1"/>
  <c r="K40" i="1" s="1"/>
  <c r="C43" i="1"/>
  <c r="B42" i="1"/>
  <c r="B38" i="13"/>
  <c r="C39" i="13"/>
  <c r="C42" i="12"/>
  <c r="B41" i="12"/>
  <c r="M40" i="1" l="1"/>
  <c r="L40" i="1" s="1"/>
  <c r="K41" i="1" s="1"/>
  <c r="C44" i="1"/>
  <c r="B43" i="1"/>
  <c r="C40" i="13"/>
  <c r="B39" i="13"/>
  <c r="C43" i="12"/>
  <c r="B42" i="12"/>
  <c r="M41" i="1" l="1"/>
  <c r="L41" i="1" s="1"/>
  <c r="K42" i="1" s="1"/>
  <c r="B44" i="1"/>
  <c r="C45" i="1"/>
  <c r="B40" i="13"/>
  <c r="C41" i="13"/>
  <c r="B43" i="12"/>
  <c r="C44" i="12"/>
  <c r="M42" i="1" l="1"/>
  <c r="L42" i="1" s="1"/>
  <c r="K43" i="1" s="1"/>
  <c r="C46" i="1"/>
  <c r="B45" i="1"/>
  <c r="C42" i="13"/>
  <c r="B41" i="13"/>
  <c r="B44" i="12"/>
  <c r="C45" i="12"/>
  <c r="M43" i="1" l="1"/>
  <c r="L43" i="1" s="1"/>
  <c r="K44" i="1" s="1"/>
  <c r="C47" i="1"/>
  <c r="B46" i="1"/>
  <c r="B42" i="13"/>
  <c r="C43" i="13"/>
  <c r="B45" i="12"/>
  <c r="C46" i="12"/>
  <c r="M44" i="1" l="1"/>
  <c r="L44" i="1" s="1"/>
  <c r="K45" i="1" s="1"/>
  <c r="B47" i="1"/>
  <c r="C48" i="1"/>
  <c r="C44" i="13"/>
  <c r="B43" i="13"/>
  <c r="B46" i="12"/>
  <c r="C47" i="12"/>
  <c r="M45" i="1" l="1"/>
  <c r="L45" i="1" s="1"/>
  <c r="K46" i="1" s="1"/>
  <c r="C49" i="1"/>
  <c r="B48" i="1"/>
  <c r="C45" i="13"/>
  <c r="B44" i="13"/>
  <c r="B47" i="12"/>
  <c r="C48" i="12"/>
  <c r="M46" i="1" l="1"/>
  <c r="L46" i="1" s="1"/>
  <c r="K47" i="1" s="1"/>
  <c r="C50" i="1"/>
  <c r="B49" i="1"/>
  <c r="B45" i="13"/>
  <c r="C46" i="13"/>
  <c r="B48" i="12"/>
  <c r="C49" i="12"/>
  <c r="M47" i="1" l="1"/>
  <c r="L47" i="1" s="1"/>
  <c r="K48" i="1" s="1"/>
  <c r="B50" i="1"/>
  <c r="C51" i="1"/>
  <c r="C47" i="13"/>
  <c r="B46" i="13"/>
  <c r="B49" i="12"/>
  <c r="C50" i="12"/>
  <c r="M48" i="1" l="1"/>
  <c r="L48" i="1" s="1"/>
  <c r="K49" i="1" s="1"/>
  <c r="C52" i="1"/>
  <c r="B51" i="1"/>
  <c r="B47" i="13"/>
  <c r="C48" i="13"/>
  <c r="B50" i="12"/>
  <c r="C51" i="12"/>
  <c r="M49" i="1" l="1"/>
  <c r="L49" i="1" s="1"/>
  <c r="K50" i="1" s="1"/>
  <c r="C53" i="1"/>
  <c r="B52" i="1"/>
  <c r="B48" i="13"/>
  <c r="C49" i="13"/>
  <c r="C52" i="12"/>
  <c r="B51" i="12"/>
  <c r="M50" i="1" l="1"/>
  <c r="L50" i="1" s="1"/>
  <c r="K51" i="1" s="1"/>
  <c r="B53" i="1"/>
  <c r="C54" i="1"/>
  <c r="B49" i="13"/>
  <c r="C50" i="13"/>
  <c r="C53" i="12"/>
  <c r="B52" i="12"/>
  <c r="M51" i="1" l="1"/>
  <c r="L51" i="1" s="1"/>
  <c r="K52" i="1" s="1"/>
  <c r="C55" i="1"/>
  <c r="B54" i="1"/>
  <c r="C51" i="13"/>
  <c r="B50" i="13"/>
  <c r="B53" i="12"/>
  <c r="C54" i="12"/>
  <c r="M52" i="1" l="1"/>
  <c r="L52" i="1" s="1"/>
  <c r="K53" i="1" s="1"/>
  <c r="B55" i="1"/>
  <c r="C56" i="1"/>
  <c r="C52" i="13"/>
  <c r="B51" i="13"/>
  <c r="C55" i="12"/>
  <c r="B54" i="12"/>
  <c r="M53" i="1" l="1"/>
  <c r="L53" i="1" s="1"/>
  <c r="K54" i="1" s="1"/>
  <c r="B56" i="1"/>
  <c r="C57" i="1"/>
  <c r="B52" i="13"/>
  <c r="C53" i="13"/>
  <c r="B55" i="12"/>
  <c r="C56" i="12"/>
  <c r="M54" i="1" l="1"/>
  <c r="L54" i="1" s="1"/>
  <c r="K55" i="1" s="1"/>
  <c r="B57" i="1"/>
  <c r="C58" i="1"/>
  <c r="B53" i="13"/>
  <c r="C54" i="13"/>
  <c r="B56" i="12"/>
  <c r="M55" i="1" l="1"/>
  <c r="L55" i="1" s="1"/>
  <c r="K56" i="1" s="1"/>
  <c r="B58" i="1"/>
  <c r="C59" i="1"/>
  <c r="B59" i="1" s="1"/>
  <c r="B54" i="13"/>
  <c r="C55" i="13"/>
  <c r="M56" i="1" l="1"/>
  <c r="L56" i="1" s="1"/>
  <c r="K57" i="1" s="1"/>
  <c r="C56" i="13"/>
  <c r="B55" i="13"/>
  <c r="M57" i="1" l="1"/>
  <c r="L57" i="1" s="1"/>
  <c r="K58" i="1"/>
  <c r="C57" i="13"/>
  <c r="B56" i="13"/>
  <c r="M58" i="1" l="1"/>
  <c r="L58" i="1" s="1"/>
  <c r="K59" i="1"/>
  <c r="C58" i="13"/>
  <c r="B57" i="13"/>
  <c r="B58" i="13" l="1"/>
  <c r="C59" i="13"/>
  <c r="B59" i="13" s="1"/>
  <c r="M59" i="1"/>
  <c r="K60" i="1"/>
  <c r="F7" i="1"/>
  <c r="K62" i="1" l="1"/>
  <c r="I15" i="1" s="1"/>
  <c r="L59" i="1"/>
  <c r="L60" i="1" s="1"/>
  <c r="F6" i="1"/>
  <c r="I8" i="1" l="1"/>
  <c r="F8" i="1" s="1"/>
  <c r="K61" i="1" l="1"/>
  <c r="H31" i="1" l="1"/>
  <c r="G31" i="1" l="1"/>
  <c r="T31" i="1"/>
  <c r="N31" i="1" l="1"/>
  <c r="Q31" i="1" s="1"/>
  <c r="W31" i="1"/>
  <c r="V31" i="1"/>
  <c r="P31" i="1" l="1"/>
  <c r="O31" i="1" s="1"/>
  <c r="U31" i="1"/>
  <c r="H32" i="1" l="1"/>
  <c r="G32" i="1" s="1"/>
  <c r="N32" i="1" l="1"/>
  <c r="Q32" i="1" s="1"/>
  <c r="T32" i="1"/>
  <c r="V32" i="1"/>
  <c r="P32" i="1" l="1"/>
  <c r="O32" i="1" s="1"/>
  <c r="W32" i="1"/>
  <c r="U32" i="1"/>
  <c r="H33" i="1" l="1"/>
  <c r="G33" i="1" s="1"/>
  <c r="N33" i="1" l="1"/>
  <c r="Q33" i="1" s="1"/>
  <c r="T33" i="1"/>
  <c r="P33" i="1" l="1"/>
  <c r="O33" i="1" s="1"/>
  <c r="W33" i="1"/>
  <c r="V33" i="1"/>
  <c r="U33" i="1" l="1"/>
  <c r="H34" i="1" l="1"/>
  <c r="G34" i="1" s="1"/>
  <c r="N34" i="1" s="1"/>
  <c r="T34" i="1" l="1"/>
  <c r="Q34" i="1"/>
  <c r="P34" i="1"/>
  <c r="W34" i="1"/>
  <c r="V34" i="1"/>
  <c r="O34" i="1" l="1"/>
  <c r="U34" i="1"/>
  <c r="H35" i="1" l="1"/>
  <c r="G35" i="1" s="1"/>
  <c r="N35" i="1" s="1"/>
  <c r="T35" i="1" l="1"/>
  <c r="Q35" i="1"/>
  <c r="P35" i="1"/>
  <c r="W35" i="1"/>
  <c r="V35" i="1"/>
  <c r="U35" i="1" l="1"/>
  <c r="O35" i="1"/>
  <c r="H36" i="1" l="1"/>
  <c r="G36" i="1" s="1"/>
  <c r="N36" i="1" s="1"/>
  <c r="Q36" i="1" l="1"/>
  <c r="P36" i="1"/>
  <c r="T36" i="1"/>
  <c r="W36" i="1" l="1"/>
  <c r="V36" i="1"/>
  <c r="O36" i="1"/>
  <c r="U36" i="1" l="1"/>
  <c r="H37" i="1" l="1"/>
  <c r="G37" i="1" s="1"/>
  <c r="N37" i="1" s="1"/>
  <c r="T37" i="1" l="1"/>
  <c r="W37" i="1" s="1"/>
  <c r="Q37" i="1"/>
  <c r="P37" i="1"/>
  <c r="V37" i="1" l="1"/>
  <c r="U37" i="1" s="1"/>
  <c r="O37" i="1"/>
  <c r="H38" i="1" l="1"/>
  <c r="G38" i="1" s="1"/>
  <c r="N38" i="1" s="1"/>
  <c r="Q38" i="1" l="1"/>
  <c r="P38" i="1"/>
  <c r="T38" i="1"/>
  <c r="O38" i="1" l="1"/>
  <c r="W38" i="1"/>
  <c r="V38" i="1"/>
  <c r="U38" i="1" l="1"/>
  <c r="H39" i="1" l="1"/>
  <c r="G39" i="1" l="1"/>
  <c r="T39" i="1"/>
  <c r="W39" i="1" l="1"/>
  <c r="V39" i="1"/>
  <c r="N39" i="1"/>
  <c r="Q39" i="1" l="1"/>
  <c r="P39" i="1"/>
  <c r="U39" i="1"/>
  <c r="O39" i="1" l="1"/>
  <c r="H40" i="1"/>
  <c r="G40" i="1" l="1"/>
  <c r="N40" i="1" s="1"/>
  <c r="T40" i="1"/>
  <c r="W40" i="1" l="1"/>
  <c r="V40" i="1"/>
  <c r="Q40" i="1"/>
  <c r="P40" i="1"/>
  <c r="O40" i="1" s="1"/>
  <c r="U40" i="1" l="1"/>
  <c r="H41" i="1" l="1"/>
  <c r="G41" i="1" l="1"/>
  <c r="T41" i="1"/>
  <c r="W41" i="1" l="1"/>
  <c r="V41" i="1"/>
  <c r="N41" i="1"/>
  <c r="P41" i="1" l="1"/>
  <c r="Q41" i="1"/>
  <c r="U41" i="1"/>
  <c r="H42" i="1" l="1"/>
  <c r="T42" i="1" s="1"/>
  <c r="O41" i="1"/>
  <c r="G42" i="1" l="1"/>
  <c r="W42" i="1"/>
  <c r="V42" i="1"/>
  <c r="U42" i="1" l="1"/>
  <c r="N42" i="1"/>
  <c r="Q42" i="1" l="1"/>
  <c r="P42" i="1"/>
  <c r="H43" i="1"/>
  <c r="T43" i="1" s="1"/>
  <c r="W43" i="1" l="1"/>
  <c r="V43" i="1"/>
  <c r="G43" i="1"/>
  <c r="O42" i="1"/>
  <c r="N43" i="1" l="1"/>
  <c r="U43" i="1"/>
  <c r="H44" i="1" l="1"/>
  <c r="G44" i="1" s="1"/>
  <c r="Q43" i="1"/>
  <c r="P43" i="1"/>
  <c r="O43" i="1" s="1"/>
  <c r="N44" i="1" l="1"/>
  <c r="T44" i="1"/>
  <c r="W44" i="1" l="1"/>
  <c r="V44" i="1"/>
  <c r="P44" i="1"/>
  <c r="Q44" i="1"/>
  <c r="U44" i="1" l="1"/>
  <c r="O44" i="1"/>
  <c r="H45" i="1" l="1"/>
  <c r="G45" i="1" s="1"/>
  <c r="N45" i="1" s="1"/>
  <c r="Q45" i="1" l="1"/>
  <c r="P45" i="1"/>
  <c r="T45" i="1"/>
  <c r="O45" i="1" l="1"/>
  <c r="W45" i="1"/>
  <c r="V45" i="1"/>
  <c r="U45" i="1" l="1"/>
  <c r="H46" i="1" l="1"/>
  <c r="G46" i="1" s="1"/>
  <c r="N46" i="1" s="1"/>
  <c r="Q46" i="1" l="1"/>
  <c r="P46" i="1"/>
  <c r="T46" i="1"/>
  <c r="W46" i="1" l="1"/>
  <c r="V46" i="1"/>
  <c r="O46" i="1"/>
  <c r="U46" i="1" l="1"/>
  <c r="H47" i="1" l="1"/>
  <c r="G47" i="1" s="1"/>
  <c r="N47" i="1" s="1"/>
  <c r="Q47" i="1" l="1"/>
  <c r="P47" i="1"/>
  <c r="O47" i="1" s="1"/>
  <c r="T47" i="1"/>
  <c r="W47" i="1" l="1"/>
  <c r="V47" i="1"/>
  <c r="U47" i="1" l="1"/>
  <c r="H48" i="1" l="1"/>
  <c r="G48" i="1" s="1"/>
  <c r="N48" i="1" s="1"/>
  <c r="P48" i="1" l="1"/>
  <c r="Q48" i="1"/>
  <c r="T48" i="1"/>
  <c r="W48" i="1" l="1"/>
  <c r="V48" i="1"/>
  <c r="O48" i="1"/>
  <c r="U48" i="1" l="1"/>
  <c r="H49" i="1" l="1"/>
  <c r="G49" i="1" s="1"/>
  <c r="N49" i="1" s="1"/>
  <c r="T49" i="1" l="1"/>
  <c r="W49" i="1" s="1"/>
  <c r="Q49" i="1"/>
  <c r="P49" i="1"/>
  <c r="V49" i="1" l="1"/>
  <c r="U49" i="1" s="1"/>
  <c r="O49" i="1"/>
  <c r="H50" i="1" l="1"/>
  <c r="G50" i="1" s="1"/>
  <c r="N50" i="1" s="1"/>
  <c r="Q50" i="1" l="1"/>
  <c r="P50" i="1"/>
  <c r="T50" i="1"/>
  <c r="W50" i="1" l="1"/>
  <c r="V50" i="1"/>
  <c r="O50" i="1"/>
  <c r="U50" i="1" l="1"/>
  <c r="H51" i="1" l="1"/>
  <c r="G51" i="1" s="1"/>
  <c r="N51" i="1" s="1"/>
  <c r="Q51" i="1" l="1"/>
  <c r="P51" i="1"/>
  <c r="T51" i="1"/>
  <c r="W51" i="1" l="1"/>
  <c r="V51" i="1"/>
  <c r="O51" i="1"/>
  <c r="U51" i="1" l="1"/>
  <c r="H52" i="1" l="1"/>
  <c r="G52" i="1" s="1"/>
  <c r="N52" i="1" s="1"/>
  <c r="T52" i="1" l="1"/>
  <c r="V52" i="1" s="1"/>
  <c r="Q52" i="1"/>
  <c r="P52" i="1"/>
  <c r="O52" i="1" s="1"/>
  <c r="W52" i="1" l="1"/>
  <c r="U52" i="1"/>
  <c r="H53" i="1" l="1"/>
  <c r="G53" i="1" s="1"/>
  <c r="N53" i="1" s="1"/>
  <c r="P53" i="1" l="1"/>
  <c r="O53" i="1" s="1"/>
  <c r="Q53" i="1"/>
  <c r="T53" i="1"/>
  <c r="W53" i="1" l="1"/>
  <c r="V53" i="1"/>
  <c r="U53" i="1" l="1"/>
  <c r="H54" i="1" l="1"/>
  <c r="G54" i="1" s="1"/>
  <c r="N54" i="1" s="1"/>
  <c r="P54" i="1" l="1"/>
  <c r="Q54" i="1"/>
  <c r="T54" i="1"/>
  <c r="W54" i="1" l="1"/>
  <c r="V54" i="1"/>
  <c r="O54" i="1"/>
  <c r="U54" i="1" l="1"/>
  <c r="H55" i="1" l="1"/>
  <c r="G55" i="1" s="1"/>
  <c r="N55" i="1" s="1"/>
  <c r="Q55" i="1" l="1"/>
  <c r="P55" i="1"/>
  <c r="T55" i="1"/>
  <c r="W55" i="1" l="1"/>
  <c r="V55" i="1"/>
  <c r="O55" i="1"/>
  <c r="U55" i="1" l="1"/>
  <c r="H56" i="1" l="1"/>
  <c r="G56" i="1" l="1"/>
  <c r="T56" i="1"/>
  <c r="W56" i="1" l="1"/>
  <c r="V56" i="1"/>
  <c r="U56" i="1" s="1"/>
  <c r="N56" i="1"/>
  <c r="H57" i="1" l="1"/>
  <c r="G57" i="1" s="1"/>
  <c r="Q56" i="1"/>
  <c r="P56" i="1"/>
  <c r="T57" i="1" l="1"/>
  <c r="W57" i="1" s="1"/>
  <c r="O56" i="1"/>
  <c r="N57" i="1" s="1"/>
  <c r="V57" i="1"/>
  <c r="Q57" i="1" l="1"/>
  <c r="U57" i="1"/>
  <c r="P57" i="1"/>
  <c r="O57" i="1" l="1"/>
  <c r="H58" i="1"/>
  <c r="G58" i="1" s="1"/>
  <c r="T58" i="1" l="1"/>
  <c r="W58" i="1" s="1"/>
  <c r="N58" i="1"/>
  <c r="V58" i="1" l="1"/>
  <c r="Q58" i="1"/>
  <c r="P58" i="1"/>
  <c r="U58" i="1"/>
  <c r="O58" i="1" l="1"/>
  <c r="H59" i="1"/>
  <c r="G59" i="1" l="1"/>
  <c r="H60" i="1"/>
  <c r="I12" i="1" s="1"/>
  <c r="T59" i="1"/>
  <c r="T60" i="1" s="1"/>
  <c r="T61" i="1" s="1"/>
  <c r="T62" i="1" s="1"/>
  <c r="I16" i="1" s="1"/>
  <c r="F9" i="1" s="1"/>
  <c r="F16" i="1" s="1"/>
  <c r="I20" i="12" l="1"/>
  <c r="W59" i="1"/>
  <c r="V59" i="1"/>
  <c r="U59" i="1" s="1"/>
  <c r="U60" i="1" s="1"/>
  <c r="N59" i="1"/>
  <c r="G60" i="1"/>
  <c r="I11" i="1" s="1"/>
  <c r="I19" i="12" l="1"/>
  <c r="F5" i="1"/>
  <c r="F11" i="1" s="1"/>
  <c r="F4" i="12" s="1"/>
  <c r="Q59" i="1"/>
  <c r="N60" i="1"/>
  <c r="N61" i="1" s="1"/>
  <c r="N62" i="1" s="1"/>
  <c r="P59" i="1"/>
  <c r="O59" i="1" s="1"/>
  <c r="O60" i="1" s="1"/>
  <c r="F14" i="1" l="1"/>
  <c r="I21" i="12"/>
  <c r="F29" i="12"/>
  <c r="H29" i="12" l="1"/>
  <c r="T29" i="12" s="1"/>
  <c r="V29" i="12" s="1"/>
  <c r="G29" i="12" l="1"/>
  <c r="N29" i="12" s="1"/>
  <c r="P29" i="12" s="1"/>
  <c r="O29" i="12" s="1"/>
  <c r="W29" i="12"/>
  <c r="F30" i="12"/>
  <c r="U29" i="12"/>
  <c r="H30" i="12" l="1"/>
  <c r="T30" i="12" s="1"/>
  <c r="F31" i="12"/>
  <c r="G30" i="12" l="1"/>
  <c r="N30" i="12" s="1"/>
  <c r="P30" i="12" s="1"/>
  <c r="O30" i="12" s="1"/>
  <c r="W30" i="12"/>
  <c r="V30" i="12"/>
  <c r="U30" i="12" l="1"/>
  <c r="H31" i="12" s="1"/>
  <c r="T31" i="12" l="1"/>
  <c r="G31" i="12"/>
  <c r="N31" i="12" s="1"/>
  <c r="P31" i="12" s="1"/>
  <c r="F32" i="12"/>
  <c r="O31" i="12" l="1"/>
  <c r="W31" i="12"/>
  <c r="V31" i="12"/>
  <c r="U31" i="12" l="1"/>
  <c r="H32" i="12" s="1"/>
  <c r="T32" i="12" l="1"/>
  <c r="F33" i="12"/>
  <c r="G32" i="12"/>
  <c r="N32" i="12" s="1"/>
  <c r="P32" i="12" s="1"/>
  <c r="O32" i="12" l="1"/>
  <c r="W32" i="12"/>
  <c r="V32" i="12"/>
  <c r="U32" i="12" l="1"/>
  <c r="H33" i="12" s="1"/>
  <c r="T33" i="12" l="1"/>
  <c r="G33" i="12"/>
  <c r="N33" i="12" s="1"/>
  <c r="P33" i="12" s="1"/>
  <c r="F34" i="12"/>
  <c r="O33" i="12" l="1"/>
  <c r="W33" i="12"/>
  <c r="V33" i="12"/>
  <c r="U33" i="12" l="1"/>
  <c r="H34" i="12" s="1"/>
  <c r="T34" i="12" l="1"/>
  <c r="F35" i="12"/>
  <c r="G34" i="12"/>
  <c r="N34" i="12" s="1"/>
  <c r="P34" i="12" s="1"/>
  <c r="O34" i="12" s="1"/>
  <c r="W34" i="12" l="1"/>
  <c r="V34" i="12"/>
  <c r="U34" i="12" l="1"/>
  <c r="H35" i="12" s="1"/>
  <c r="T35" i="12" l="1"/>
  <c r="F36" i="12"/>
  <c r="G35" i="12"/>
  <c r="N35" i="12" s="1"/>
  <c r="P35" i="12" s="1"/>
  <c r="O35" i="12" s="1"/>
  <c r="W35" i="12" l="1"/>
  <c r="V35" i="12"/>
  <c r="U35" i="12" l="1"/>
  <c r="H36" i="12" s="1"/>
  <c r="T36" i="12" l="1"/>
  <c r="F37" i="12"/>
  <c r="G36" i="12"/>
  <c r="N36" i="12" s="1"/>
  <c r="P36" i="12" s="1"/>
  <c r="O36" i="12" l="1"/>
  <c r="W36" i="12"/>
  <c r="V36" i="12"/>
  <c r="U36" i="12" l="1"/>
  <c r="H37" i="12" s="1"/>
  <c r="T37" i="12" l="1"/>
  <c r="G37" i="12"/>
  <c r="N37" i="12" s="1"/>
  <c r="P37" i="12" s="1"/>
  <c r="F38" i="12"/>
  <c r="O37" i="12" l="1"/>
  <c r="W37" i="12"/>
  <c r="V37" i="12"/>
  <c r="U37" i="12" l="1"/>
  <c r="H38" i="12" l="1"/>
  <c r="G38" i="12" l="1"/>
  <c r="N38" i="12" s="1"/>
  <c r="P38" i="12" s="1"/>
  <c r="F39" i="12"/>
  <c r="T38" i="12"/>
  <c r="W38" i="12" l="1"/>
  <c r="V38" i="12"/>
  <c r="O38" i="12"/>
  <c r="U38" i="12" l="1"/>
  <c r="H39" i="12" s="1"/>
  <c r="T39" i="12" l="1"/>
  <c r="F40" i="12"/>
  <c r="G39" i="12"/>
  <c r="N39" i="12" s="1"/>
  <c r="P39" i="12" l="1"/>
  <c r="W39" i="12"/>
  <c r="V39" i="12"/>
  <c r="U39" i="12" l="1"/>
  <c r="H40" i="12" s="1"/>
  <c r="O39" i="12"/>
  <c r="T40" i="12" l="1"/>
  <c r="F41" i="12"/>
  <c r="G40" i="12"/>
  <c r="N40" i="12" s="1"/>
  <c r="P40" i="12" l="1"/>
  <c r="W40" i="12"/>
  <c r="V40" i="12"/>
  <c r="U40" i="12" l="1"/>
  <c r="H41" i="12" s="1"/>
  <c r="O40" i="12"/>
  <c r="T41" i="12" l="1"/>
  <c r="F42" i="12"/>
  <c r="G41" i="12"/>
  <c r="N41" i="12" s="1"/>
  <c r="P41" i="12" l="1"/>
  <c r="W41" i="12"/>
  <c r="V41" i="12"/>
  <c r="U41" i="12" l="1"/>
  <c r="H42" i="12" s="1"/>
  <c r="O41" i="12"/>
  <c r="T42" i="12" l="1"/>
  <c r="G42" i="12"/>
  <c r="N42" i="12" s="1"/>
  <c r="F43" i="12"/>
  <c r="P42" i="12" l="1"/>
  <c r="W42" i="12"/>
  <c r="V42" i="12"/>
  <c r="U42" i="12" l="1"/>
  <c r="H43" i="12" s="1"/>
  <c r="O42" i="12"/>
  <c r="T43" i="12" l="1"/>
  <c r="G43" i="12"/>
  <c r="N43" i="12" s="1"/>
  <c r="F44" i="12"/>
  <c r="P43" i="12" l="1"/>
  <c r="W43" i="12"/>
  <c r="V43" i="12"/>
  <c r="U43" i="12" l="1"/>
  <c r="O43" i="12"/>
  <c r="H44" i="12" l="1"/>
  <c r="T44" i="12" s="1"/>
  <c r="W44" i="12" l="1"/>
  <c r="V44" i="12"/>
  <c r="G44" i="12"/>
  <c r="N44" i="12" s="1"/>
  <c r="P44" i="12" s="1"/>
  <c r="F45" i="12"/>
  <c r="O44" i="12" l="1"/>
  <c r="U44" i="12"/>
  <c r="H45" i="12" s="1"/>
  <c r="T45" i="12" s="1"/>
  <c r="W45" i="12" l="1"/>
  <c r="G45" i="12"/>
  <c r="N45" i="12" s="1"/>
  <c r="P45" i="12" s="1"/>
  <c r="V45" i="12"/>
  <c r="F46" i="12"/>
  <c r="O45" i="12" l="1"/>
  <c r="U45" i="12"/>
  <c r="H46" i="12" s="1"/>
  <c r="T46" i="12" s="1"/>
  <c r="W46" i="12" l="1"/>
  <c r="G46" i="12"/>
  <c r="N46" i="12" s="1"/>
  <c r="P46" i="12" s="1"/>
  <c r="V46" i="12"/>
  <c r="F47" i="12"/>
  <c r="O46" i="12" l="1"/>
  <c r="U46" i="12"/>
  <c r="H47" i="12" s="1"/>
  <c r="T47" i="12" s="1"/>
  <c r="V47" i="12" s="1"/>
  <c r="U47" i="12" l="1"/>
  <c r="F48" i="12"/>
  <c r="W47" i="12"/>
  <c r="G47" i="12"/>
  <c r="N47" i="12" s="1"/>
  <c r="P47" i="12" s="1"/>
  <c r="O47" i="12" s="1"/>
  <c r="H48" i="12" l="1"/>
  <c r="T48" i="12" s="1"/>
  <c r="G48" i="12" l="1"/>
  <c r="N48" i="12" s="1"/>
  <c r="P48" i="12" s="1"/>
  <c r="O48" i="12" s="1"/>
  <c r="F49" i="12"/>
  <c r="W48" i="12"/>
  <c r="V48" i="12"/>
  <c r="U48" i="12" s="1"/>
  <c r="H49" i="12" l="1"/>
  <c r="T49" i="12" s="1"/>
  <c r="V49" i="12" s="1"/>
  <c r="U49" i="12" s="1"/>
  <c r="F50" i="12"/>
  <c r="G49" i="12" l="1"/>
  <c r="N49" i="12" s="1"/>
  <c r="P49" i="12" s="1"/>
  <c r="O49" i="12" s="1"/>
  <c r="H50" i="12"/>
  <c r="T50" i="12" s="1"/>
  <c r="W49" i="12"/>
  <c r="F51" i="12"/>
  <c r="G50" i="12" l="1"/>
  <c r="N50" i="12" s="1"/>
  <c r="P50" i="12" s="1"/>
  <c r="W50" i="12"/>
  <c r="V50" i="12"/>
  <c r="U50" i="12"/>
  <c r="H51" i="12" l="1"/>
  <c r="T51" i="12" s="1"/>
  <c r="O50" i="12"/>
  <c r="W51" i="12" l="1"/>
  <c r="V51" i="12"/>
  <c r="F52" i="12"/>
  <c r="G51" i="12"/>
  <c r="N51" i="12" s="1"/>
  <c r="P51" i="12" l="1"/>
  <c r="U51" i="12"/>
  <c r="H52" i="12" l="1"/>
  <c r="T52" i="12" s="1"/>
  <c r="O51" i="12"/>
  <c r="W52" i="12" l="1"/>
  <c r="V52" i="12"/>
  <c r="F53" i="12"/>
  <c r="G52" i="12"/>
  <c r="N52" i="12" s="1"/>
  <c r="P52" i="12" l="1"/>
  <c r="U52" i="12"/>
  <c r="H53" i="12" l="1"/>
  <c r="T53" i="12" s="1"/>
  <c r="O52" i="12"/>
  <c r="W53" i="12" l="1"/>
  <c r="V53" i="12"/>
  <c r="F54" i="12"/>
  <c r="G53" i="12"/>
  <c r="N53" i="12" s="1"/>
  <c r="P53" i="12" l="1"/>
  <c r="U53" i="12"/>
  <c r="H54" i="12" l="1"/>
  <c r="T54" i="12" s="1"/>
  <c r="O53" i="12"/>
  <c r="W54" i="12" l="1"/>
  <c r="V54" i="12"/>
  <c r="U54" i="12" s="1"/>
  <c r="F55" i="12"/>
  <c r="G54" i="12"/>
  <c r="N54" i="12" s="1"/>
  <c r="H55" i="12" l="1"/>
  <c r="G55" i="12" s="1"/>
  <c r="P54" i="12"/>
  <c r="T55" i="12" l="1"/>
  <c r="V55" i="12" s="1"/>
  <c r="F56" i="12"/>
  <c r="O54" i="12"/>
  <c r="N55" i="12" s="1"/>
  <c r="P55" i="12" s="1"/>
  <c r="W55" i="12" l="1"/>
  <c r="O55" i="12"/>
  <c r="Q29" i="12"/>
  <c r="M29" i="12"/>
  <c r="L29" i="12" s="1"/>
  <c r="K30" i="12" s="1"/>
  <c r="U55" i="12"/>
  <c r="M30" i="12" l="1"/>
  <c r="L30" i="12" s="1"/>
  <c r="K31" i="12" s="1"/>
  <c r="Q30" i="12"/>
  <c r="H56" i="12"/>
  <c r="G56" i="12" l="1"/>
  <c r="N56" i="12" s="1"/>
  <c r="T56" i="12"/>
  <c r="M31" i="12"/>
  <c r="L31" i="12" s="1"/>
  <c r="K32" i="12" s="1"/>
  <c r="Q31" i="12"/>
  <c r="P56" i="12" l="1"/>
  <c r="M32" i="12"/>
  <c r="L32" i="12" s="1"/>
  <c r="K33" i="12" s="1"/>
  <c r="Q32" i="12"/>
  <c r="W56" i="12"/>
  <c r="V56" i="12"/>
  <c r="U56" i="12" l="1"/>
  <c r="M33" i="12"/>
  <c r="L33" i="12" s="1"/>
  <c r="K34" i="12" s="1"/>
  <c r="Q33" i="12"/>
  <c r="O56" i="12"/>
  <c r="M34" i="12" l="1"/>
  <c r="L34" i="12" s="1"/>
  <c r="K35" i="12" s="1"/>
  <c r="Q34" i="12"/>
  <c r="M35" i="12" l="1"/>
  <c r="L35" i="12" s="1"/>
  <c r="K36" i="12" s="1"/>
  <c r="Q35" i="12"/>
  <c r="Q36" i="12" l="1"/>
  <c r="M36" i="12"/>
  <c r="L36" i="12" s="1"/>
  <c r="K37" i="12" s="1"/>
  <c r="Q37" i="12" l="1"/>
  <c r="M37" i="12"/>
  <c r="L37" i="12" s="1"/>
  <c r="K38" i="12" s="1"/>
  <c r="M38" i="12" l="1"/>
  <c r="L38" i="12" s="1"/>
  <c r="K39" i="12" s="1"/>
  <c r="Q38" i="12"/>
  <c r="F57" i="12" l="1"/>
  <c r="M39" i="12"/>
  <c r="L39" i="12" s="1"/>
  <c r="K40" i="12" s="1"/>
  <c r="Q39" i="12"/>
  <c r="M40" i="12" l="1"/>
  <c r="Q40" i="12"/>
  <c r="T57" i="12" l="1"/>
  <c r="T58" i="12" s="1"/>
  <c r="T59" i="12" s="1"/>
  <c r="I16" i="12" s="1"/>
  <c r="U57" i="12"/>
  <c r="H57" i="12"/>
  <c r="I12" i="12" s="1"/>
  <c r="G57" i="12"/>
  <c r="I11" i="12" s="1"/>
  <c r="L40" i="12"/>
  <c r="K41" i="12" s="1"/>
  <c r="Q41" i="12" s="1"/>
  <c r="I20" i="16" l="1"/>
  <c r="M41" i="12"/>
  <c r="L41" i="12" s="1"/>
  <c r="K42" i="12" s="1"/>
  <c r="I20" i="13"/>
  <c r="F5" i="12"/>
  <c r="F16" i="12"/>
  <c r="M42" i="12" l="1"/>
  <c r="L42" i="12" s="1"/>
  <c r="K43" i="12" s="1"/>
  <c r="Q42" i="12"/>
  <c r="N57" i="12"/>
  <c r="N58" i="12" s="1"/>
  <c r="O57" i="12"/>
  <c r="M43" i="12" l="1"/>
  <c r="L43" i="12" s="1"/>
  <c r="K44" i="12" s="1"/>
  <c r="Q43" i="12"/>
  <c r="Q44" i="12" l="1"/>
  <c r="M44" i="12"/>
  <c r="L44" i="12" s="1"/>
  <c r="K45" i="12" s="1"/>
  <c r="M45" i="12" l="1"/>
  <c r="L45" i="12" s="1"/>
  <c r="K46" i="12" s="1"/>
  <c r="Q45" i="12"/>
  <c r="Q46" i="12" l="1"/>
  <c r="M46" i="12"/>
  <c r="L46" i="12" s="1"/>
  <c r="K47" i="12" s="1"/>
  <c r="M47" i="12" l="1"/>
  <c r="L47" i="12" s="1"/>
  <c r="K48" i="12" s="1"/>
  <c r="Q47" i="12"/>
  <c r="M48" i="12" l="1"/>
  <c r="L48" i="12" s="1"/>
  <c r="K49" i="12" s="1"/>
  <c r="Q48" i="12"/>
  <c r="M49" i="12" l="1"/>
  <c r="L49" i="12" s="1"/>
  <c r="K50" i="12" s="1"/>
  <c r="Q49" i="12"/>
  <c r="Q50" i="12" l="1"/>
  <c r="M50" i="12"/>
  <c r="L50" i="12" s="1"/>
  <c r="K51" i="12" s="1"/>
  <c r="M51" i="12" l="1"/>
  <c r="L51" i="12" s="1"/>
  <c r="K52" i="12" s="1"/>
  <c r="Q51" i="12"/>
  <c r="M52" i="12" l="1"/>
  <c r="L52" i="12" s="1"/>
  <c r="K53" i="12" s="1"/>
  <c r="Q52" i="12"/>
  <c r="M53" i="12" l="1"/>
  <c r="L53" i="12" s="1"/>
  <c r="K54" i="12" s="1"/>
  <c r="Q53" i="12"/>
  <c r="M54" i="12" l="1"/>
  <c r="L54" i="12" s="1"/>
  <c r="K55" i="12" s="1"/>
  <c r="Q54" i="12"/>
  <c r="M55" i="12" l="1"/>
  <c r="L55" i="12" s="1"/>
  <c r="K56" i="12" s="1"/>
  <c r="Q55" i="12"/>
  <c r="N59" i="12" l="1"/>
  <c r="Q56" i="12"/>
  <c r="M56" i="12"/>
  <c r="L56" i="12" s="1"/>
  <c r="K57" i="12"/>
  <c r="K58" i="12" s="1"/>
  <c r="K59" i="12" l="1"/>
  <c r="I15" i="12" s="1"/>
  <c r="L57" i="12"/>
  <c r="I19" i="16" l="1"/>
  <c r="F9" i="12"/>
  <c r="F11" i="12" s="1"/>
  <c r="F14" i="12" l="1"/>
  <c r="F4" i="16"/>
  <c r="I21" i="16"/>
  <c r="F29" i="16"/>
  <c r="F4" i="13"/>
  <c r="H29" i="16" l="1"/>
  <c r="G29" i="16" s="1"/>
  <c r="H29" i="13"/>
  <c r="N29" i="16" l="1"/>
  <c r="T29" i="16"/>
  <c r="F30" i="16"/>
  <c r="T29" i="13"/>
  <c r="V29" i="16" l="1"/>
  <c r="W29" i="16"/>
  <c r="P29" i="16"/>
  <c r="W29" i="13"/>
  <c r="V29" i="13"/>
  <c r="U29" i="13" s="1"/>
  <c r="H30" i="13" s="1"/>
  <c r="O29" i="16" l="1"/>
  <c r="U29" i="16"/>
  <c r="T30" i="13"/>
  <c r="H30" i="16" l="1"/>
  <c r="T30" i="16" s="1"/>
  <c r="V30" i="13"/>
  <c r="U30" i="13" s="1"/>
  <c r="H31" i="13" s="1"/>
  <c r="T31" i="13" s="1"/>
  <c r="W30" i="13"/>
  <c r="W30" i="16" l="1"/>
  <c r="V30" i="16"/>
  <c r="G30" i="16"/>
  <c r="F31" i="16"/>
  <c r="W31" i="13"/>
  <c r="V31" i="13"/>
  <c r="U31" i="13" s="1"/>
  <c r="U30" i="16" l="1"/>
  <c r="N30" i="16"/>
  <c r="H32" i="13"/>
  <c r="P30" i="16" l="1"/>
  <c r="H31" i="16"/>
  <c r="T32" i="13"/>
  <c r="G31" i="16" l="1"/>
  <c r="F32" i="16"/>
  <c r="T31" i="16"/>
  <c r="O30" i="16"/>
  <c r="W32" i="13"/>
  <c r="V32" i="13"/>
  <c r="W31" i="16" l="1"/>
  <c r="V31" i="16"/>
  <c r="N31" i="16"/>
  <c r="U32" i="13"/>
  <c r="P31" i="16" l="1"/>
  <c r="U31" i="16"/>
  <c r="H33" i="13"/>
  <c r="T33" i="13" s="1"/>
  <c r="H32" i="16" l="1"/>
  <c r="T32" i="16" s="1"/>
  <c r="O31" i="16"/>
  <c r="W33" i="13"/>
  <c r="V33" i="13"/>
  <c r="W32" i="16" l="1"/>
  <c r="V32" i="16"/>
  <c r="F33" i="16"/>
  <c r="G32" i="16"/>
  <c r="U33" i="13"/>
  <c r="N32" i="16" l="1"/>
  <c r="U32" i="16"/>
  <c r="H34" i="13"/>
  <c r="T34" i="13" s="1"/>
  <c r="H33" i="16" l="1"/>
  <c r="T33" i="16" s="1"/>
  <c r="P32" i="16"/>
  <c r="W34" i="13"/>
  <c r="V34" i="13"/>
  <c r="O32" i="16" l="1"/>
  <c r="W33" i="16"/>
  <c r="V33" i="16"/>
  <c r="G33" i="16"/>
  <c r="F34" i="16"/>
  <c r="U34" i="13"/>
  <c r="N33" i="16" l="1"/>
  <c r="U33" i="16"/>
  <c r="H34" i="16" s="1"/>
  <c r="T34" i="16" s="1"/>
  <c r="V34" i="16" s="1"/>
  <c r="H35" i="13"/>
  <c r="F35" i="16" l="1"/>
  <c r="G34" i="16"/>
  <c r="U34" i="16"/>
  <c r="W34" i="16"/>
  <c r="P33" i="16"/>
  <c r="T35" i="13"/>
  <c r="H35" i="16" l="1"/>
  <c r="G35" i="16" s="1"/>
  <c r="O33" i="16"/>
  <c r="N34" i="16" s="1"/>
  <c r="P34" i="16" s="1"/>
  <c r="W35" i="13"/>
  <c r="V35" i="13"/>
  <c r="T35" i="16" l="1"/>
  <c r="W35" i="16" s="1"/>
  <c r="F36" i="16"/>
  <c r="O34" i="16"/>
  <c r="N35" i="16" s="1"/>
  <c r="U35" i="13"/>
  <c r="V35" i="16" l="1"/>
  <c r="U35" i="16" s="1"/>
  <c r="P35" i="16"/>
  <c r="H36" i="13"/>
  <c r="T36" i="13" s="1"/>
  <c r="H36" i="16" l="1"/>
  <c r="T36" i="16" s="1"/>
  <c r="O35" i="16"/>
  <c r="W36" i="13"/>
  <c r="V36" i="13"/>
  <c r="W36" i="16" l="1"/>
  <c r="V36" i="16"/>
  <c r="F37" i="16"/>
  <c r="G36" i="16"/>
  <c r="N36" i="16" s="1"/>
  <c r="U36" i="13"/>
  <c r="P36" i="16" l="1"/>
  <c r="U36" i="16"/>
  <c r="H37" i="13"/>
  <c r="T37" i="13" s="1"/>
  <c r="H37" i="16" l="1"/>
  <c r="O36" i="16"/>
  <c r="W37" i="13"/>
  <c r="V37" i="13"/>
  <c r="G37" i="16" l="1"/>
  <c r="N37" i="16" s="1"/>
  <c r="F38" i="16"/>
  <c r="T37" i="16"/>
  <c r="U37" i="13"/>
  <c r="W37" i="16" l="1"/>
  <c r="V37" i="16"/>
  <c r="P37" i="16"/>
  <c r="H38" i="13"/>
  <c r="T38" i="13" s="1"/>
  <c r="O37" i="16" l="1"/>
  <c r="U37" i="16"/>
  <c r="H38" i="16" s="1"/>
  <c r="W38" i="13"/>
  <c r="V38" i="13"/>
  <c r="T38" i="16" l="1"/>
  <c r="G38" i="16"/>
  <c r="N38" i="16" s="1"/>
  <c r="F39" i="16"/>
  <c r="U38" i="13"/>
  <c r="P38" i="16" l="1"/>
  <c r="W38" i="16"/>
  <c r="V38" i="16"/>
  <c r="H39" i="13"/>
  <c r="T39" i="13" s="1"/>
  <c r="U38" i="16" l="1"/>
  <c r="O38" i="16"/>
  <c r="W39" i="13"/>
  <c r="V39" i="13"/>
  <c r="H39" i="16" l="1"/>
  <c r="T39" i="16" s="1"/>
  <c r="U39" i="13"/>
  <c r="W39" i="16" l="1"/>
  <c r="V39" i="16"/>
  <c r="G39" i="16"/>
  <c r="N39" i="16" s="1"/>
  <c r="F40" i="16"/>
  <c r="H40" i="13"/>
  <c r="T40" i="13" s="1"/>
  <c r="P39" i="16" l="1"/>
  <c r="U39" i="16"/>
  <c r="H40" i="16" s="1"/>
  <c r="T40" i="16" s="1"/>
  <c r="W40" i="13"/>
  <c r="V40" i="13"/>
  <c r="W40" i="16" l="1"/>
  <c r="F41" i="16"/>
  <c r="V40" i="16"/>
  <c r="O39" i="16"/>
  <c r="G40" i="16"/>
  <c r="U40" i="13"/>
  <c r="N40" i="16" l="1"/>
  <c r="P40" i="16" s="1"/>
  <c r="U40" i="16"/>
  <c r="H41" i="13"/>
  <c r="T41" i="13" s="1"/>
  <c r="H41" i="16" l="1"/>
  <c r="T41" i="16" s="1"/>
  <c r="O40" i="16"/>
  <c r="W41" i="13"/>
  <c r="V41" i="13"/>
  <c r="W41" i="16" l="1"/>
  <c r="V41" i="16"/>
  <c r="F42" i="16"/>
  <c r="G41" i="16"/>
  <c r="N41" i="16" s="1"/>
  <c r="U41" i="13"/>
  <c r="P41" i="16" l="1"/>
  <c r="U41" i="16"/>
  <c r="H42" i="13"/>
  <c r="T42" i="13" s="1"/>
  <c r="H42" i="16" l="1"/>
  <c r="T42" i="16" s="1"/>
  <c r="O41" i="16"/>
  <c r="W42" i="13"/>
  <c r="V42" i="13"/>
  <c r="W42" i="16" l="1"/>
  <c r="V42" i="16"/>
  <c r="G42" i="16"/>
  <c r="N42" i="16" s="1"/>
  <c r="F43" i="16"/>
  <c r="U42" i="13"/>
  <c r="P42" i="16" l="1"/>
  <c r="U42" i="16"/>
  <c r="H43" i="13"/>
  <c r="T43" i="13" s="1"/>
  <c r="H43" i="16" l="1"/>
  <c r="T43" i="16" s="1"/>
  <c r="O42" i="16"/>
  <c r="W43" i="13"/>
  <c r="V43" i="13"/>
  <c r="W43" i="16" l="1"/>
  <c r="V43" i="16"/>
  <c r="G43" i="16"/>
  <c r="N43" i="16" s="1"/>
  <c r="F44" i="16"/>
  <c r="U43" i="13"/>
  <c r="P43" i="16" l="1"/>
  <c r="U43" i="16"/>
  <c r="H44" i="13"/>
  <c r="T44" i="13" s="1"/>
  <c r="H44" i="16" l="1"/>
  <c r="T44" i="16" s="1"/>
  <c r="O43" i="16"/>
  <c r="W44" i="13"/>
  <c r="V44" i="13"/>
  <c r="W44" i="16" l="1"/>
  <c r="V44" i="16"/>
  <c r="G44" i="16"/>
  <c r="N44" i="16" s="1"/>
  <c r="F45" i="16"/>
  <c r="U44" i="13"/>
  <c r="P44" i="16" l="1"/>
  <c r="U44" i="16"/>
  <c r="H45" i="13"/>
  <c r="T45" i="13" s="1"/>
  <c r="H45" i="16" l="1"/>
  <c r="O44" i="16"/>
  <c r="W45" i="13"/>
  <c r="V45" i="13"/>
  <c r="G45" i="16" l="1"/>
  <c r="N45" i="16" s="1"/>
  <c r="F46" i="16"/>
  <c r="T45" i="16"/>
  <c r="U45" i="13"/>
  <c r="W45" i="16" l="1"/>
  <c r="V45" i="16"/>
  <c r="P45" i="16"/>
  <c r="H46" i="13"/>
  <c r="T46" i="13" s="1"/>
  <c r="U45" i="16" l="1"/>
  <c r="O45" i="16"/>
  <c r="W46" i="13"/>
  <c r="V46" i="13"/>
  <c r="H46" i="16" l="1"/>
  <c r="T46" i="16" s="1"/>
  <c r="U46" i="13"/>
  <c r="W46" i="16" l="1"/>
  <c r="V46" i="16"/>
  <c r="G46" i="16"/>
  <c r="N46" i="16" s="1"/>
  <c r="F47" i="16"/>
  <c r="H47" i="13"/>
  <c r="T47" i="13" s="1"/>
  <c r="P46" i="16" l="1"/>
  <c r="U46" i="16"/>
  <c r="W47" i="13"/>
  <c r="V47" i="13"/>
  <c r="H47" i="16" l="1"/>
  <c r="T47" i="16" s="1"/>
  <c r="O46" i="16"/>
  <c r="U47" i="13"/>
  <c r="W47" i="16" l="1"/>
  <c r="V47" i="16"/>
  <c r="G47" i="16"/>
  <c r="N47" i="16" s="1"/>
  <c r="F48" i="16"/>
  <c r="H48" i="13"/>
  <c r="T48" i="13" s="1"/>
  <c r="P47" i="16" l="1"/>
  <c r="U47" i="16"/>
  <c r="W48" i="13"/>
  <c r="V48" i="13"/>
  <c r="H48" i="16" l="1"/>
  <c r="T48" i="16" s="1"/>
  <c r="O47" i="16"/>
  <c r="U48" i="13"/>
  <c r="W48" i="16" l="1"/>
  <c r="V48" i="16"/>
  <c r="G48" i="16"/>
  <c r="N48" i="16" s="1"/>
  <c r="F49" i="16"/>
  <c r="H49" i="13"/>
  <c r="T49" i="13" s="1"/>
  <c r="P48" i="16" l="1"/>
  <c r="U48" i="16"/>
  <c r="H49" i="16" s="1"/>
  <c r="T49" i="16" s="1"/>
  <c r="V49" i="16" s="1"/>
  <c r="W49" i="13"/>
  <c r="V49" i="13"/>
  <c r="U49" i="16" l="1"/>
  <c r="O48" i="16"/>
  <c r="F50" i="16"/>
  <c r="W49" i="16"/>
  <c r="G49" i="16"/>
  <c r="U49" i="13"/>
  <c r="H50" i="16" l="1"/>
  <c r="T50" i="16" s="1"/>
  <c r="W50" i="16" s="1"/>
  <c r="N49" i="16"/>
  <c r="H50" i="13"/>
  <c r="T50" i="13" s="1"/>
  <c r="G50" i="16" l="1"/>
  <c r="F51" i="16"/>
  <c r="V50" i="16"/>
  <c r="U50" i="16" s="1"/>
  <c r="P49" i="16"/>
  <c r="W50" i="13"/>
  <c r="V50" i="13"/>
  <c r="H51" i="16" l="1"/>
  <c r="T51" i="16" s="1"/>
  <c r="O49" i="16"/>
  <c r="N50" i="16" s="1"/>
  <c r="P50" i="16" s="1"/>
  <c r="U50" i="13"/>
  <c r="O50" i="16" l="1"/>
  <c r="W51" i="16"/>
  <c r="V51" i="16"/>
  <c r="G51" i="16"/>
  <c r="F52" i="16"/>
  <c r="H51" i="13"/>
  <c r="T51" i="13" s="1"/>
  <c r="N51" i="16" l="1"/>
  <c r="P51" i="16" s="1"/>
  <c r="U51" i="16"/>
  <c r="W51" i="13"/>
  <c r="V51" i="13"/>
  <c r="H52" i="16" l="1"/>
  <c r="T52" i="16" s="1"/>
  <c r="O51" i="16"/>
  <c r="U51" i="13"/>
  <c r="W52" i="16" l="1"/>
  <c r="V52" i="16"/>
  <c r="F53" i="16"/>
  <c r="G52" i="16"/>
  <c r="N52" i="16" s="1"/>
  <c r="H52" i="13"/>
  <c r="T52" i="13" s="1"/>
  <c r="K31" i="16" l="1"/>
  <c r="K30" i="16"/>
  <c r="P52" i="16"/>
  <c r="U52" i="16"/>
  <c r="W52" i="13"/>
  <c r="V52" i="13"/>
  <c r="Q29" i="16" l="1"/>
  <c r="M29" i="16"/>
  <c r="L29" i="16" s="1"/>
  <c r="M30" i="16" s="1"/>
  <c r="L30" i="16" s="1"/>
  <c r="O52" i="16"/>
  <c r="H53" i="16"/>
  <c r="T53" i="16" s="1"/>
  <c r="U52" i="13"/>
  <c r="Q30" i="16" l="1"/>
  <c r="Q31" i="16"/>
  <c r="F54" i="16"/>
  <c r="G53" i="16"/>
  <c r="N53" i="16" s="1"/>
  <c r="W53" i="16"/>
  <c r="V53" i="16"/>
  <c r="H53" i="13"/>
  <c r="T53" i="13" s="1"/>
  <c r="M31" i="16" l="1"/>
  <c r="L31" i="16" s="1"/>
  <c r="K32" i="16" s="1"/>
  <c r="U53" i="16"/>
  <c r="P53" i="16"/>
  <c r="W53" i="13"/>
  <c r="V53" i="13"/>
  <c r="M32" i="16" l="1"/>
  <c r="Q32" i="16"/>
  <c r="O53" i="16"/>
  <c r="H54" i="16"/>
  <c r="T54" i="16" s="1"/>
  <c r="U53" i="13"/>
  <c r="L32" i="16" l="1"/>
  <c r="K33" i="16" s="1"/>
  <c r="W54" i="16"/>
  <c r="V54" i="16"/>
  <c r="G54" i="16"/>
  <c r="N54" i="16" s="1"/>
  <c r="F55" i="16"/>
  <c r="H54" i="13"/>
  <c r="T54" i="13" s="1"/>
  <c r="M33" i="16" l="1"/>
  <c r="L33" i="16" s="1"/>
  <c r="K34" i="16" s="1"/>
  <c r="Q33" i="16"/>
  <c r="P54" i="16"/>
  <c r="U54" i="16"/>
  <c r="H55" i="16" s="1"/>
  <c r="T55" i="16" s="1"/>
  <c r="V55" i="16" s="1"/>
  <c r="W54" i="13"/>
  <c r="V54" i="13"/>
  <c r="M34" i="16" l="1"/>
  <c r="L34" i="16" s="1"/>
  <c r="K35" i="16" s="1"/>
  <c r="Q34" i="16"/>
  <c r="U55" i="16"/>
  <c r="O54" i="16"/>
  <c r="W55" i="16"/>
  <c r="F56" i="16"/>
  <c r="G55" i="16"/>
  <c r="U54" i="13"/>
  <c r="H56" i="16" l="1"/>
  <c r="T56" i="16" s="1"/>
  <c r="W56" i="16" s="1"/>
  <c r="M35" i="16"/>
  <c r="L35" i="16" s="1"/>
  <c r="K36" i="16" s="1"/>
  <c r="Q35" i="16"/>
  <c r="N55" i="16"/>
  <c r="H55" i="13"/>
  <c r="T55" i="13" s="1"/>
  <c r="F57" i="16" l="1"/>
  <c r="V56" i="16"/>
  <c r="U56" i="16" s="1"/>
  <c r="G56" i="16"/>
  <c r="M36" i="16"/>
  <c r="L36" i="16" s="1"/>
  <c r="K37" i="16" s="1"/>
  <c r="Q36" i="16"/>
  <c r="P55" i="16"/>
  <c r="W55" i="13"/>
  <c r="V55" i="13"/>
  <c r="M37" i="16" l="1"/>
  <c r="Q37" i="16"/>
  <c r="H57" i="16"/>
  <c r="T57" i="16" s="1"/>
  <c r="O55" i="16"/>
  <c r="N56" i="16" s="1"/>
  <c r="P56" i="16" s="1"/>
  <c r="U55" i="13"/>
  <c r="L37" i="16" l="1"/>
  <c r="K38" i="16" s="1"/>
  <c r="M38" i="16" s="1"/>
  <c r="L38" i="16" s="1"/>
  <c r="K39" i="16" s="1"/>
  <c r="O56" i="16"/>
  <c r="W57" i="16"/>
  <c r="V57" i="16"/>
  <c r="G57" i="16"/>
  <c r="F58" i="16"/>
  <c r="H56" i="13"/>
  <c r="T56" i="13" s="1"/>
  <c r="N57" i="16" l="1"/>
  <c r="P57" i="16" s="1"/>
  <c r="Q39" i="16"/>
  <c r="M39" i="16"/>
  <c r="Q38" i="16"/>
  <c r="U57" i="16"/>
  <c r="W56" i="13"/>
  <c r="V56" i="13"/>
  <c r="L39" i="16" l="1"/>
  <c r="H58" i="16"/>
  <c r="T58" i="16" s="1"/>
  <c r="O57" i="16"/>
  <c r="U56" i="13"/>
  <c r="K40" i="16" l="1"/>
  <c r="W58" i="16"/>
  <c r="V58" i="16"/>
  <c r="G58" i="16"/>
  <c r="N58" i="16" s="1"/>
  <c r="F59" i="16"/>
  <c r="H57" i="13"/>
  <c r="T57" i="13" s="1"/>
  <c r="M40" i="16" l="1"/>
  <c r="L40" i="16" s="1"/>
  <c r="Q40" i="16"/>
  <c r="F60" i="16"/>
  <c r="U58" i="16"/>
  <c r="P58" i="16"/>
  <c r="W57" i="13"/>
  <c r="V57" i="13"/>
  <c r="K41" i="16" l="1"/>
  <c r="O58" i="16"/>
  <c r="H59" i="16"/>
  <c r="T59" i="16" s="1"/>
  <c r="U57" i="13"/>
  <c r="M41" i="16" l="1"/>
  <c r="Q41" i="16"/>
  <c r="W59" i="16"/>
  <c r="T60" i="16"/>
  <c r="T61" i="16" s="1"/>
  <c r="T62" i="16" s="1"/>
  <c r="I16" i="16" s="1"/>
  <c r="V59" i="16"/>
  <c r="U59" i="16" s="1"/>
  <c r="U60" i="16" s="1"/>
  <c r="H60" i="16"/>
  <c r="I12" i="16" s="1"/>
  <c r="G59" i="16"/>
  <c r="G60" i="16" s="1"/>
  <c r="I11" i="16" s="1"/>
  <c r="H58" i="13"/>
  <c r="L41" i="16" l="1"/>
  <c r="F5" i="16"/>
  <c r="N59" i="16"/>
  <c r="F16" i="16"/>
  <c r="T58" i="13"/>
  <c r="W58" i="13" s="1"/>
  <c r="K42" i="16" l="1"/>
  <c r="N60" i="16"/>
  <c r="P59" i="16"/>
  <c r="O59" i="16" s="1"/>
  <c r="O60" i="16" s="1"/>
  <c r="V58" i="13"/>
  <c r="U58" i="13" s="1"/>
  <c r="H59" i="13" s="1"/>
  <c r="N61" i="16" l="1"/>
  <c r="N62" i="16" s="1"/>
  <c r="M42" i="16"/>
  <c r="L42" i="16" s="1"/>
  <c r="Q42" i="16"/>
  <c r="T59" i="13"/>
  <c r="H60" i="13"/>
  <c r="I12" i="13" s="1"/>
  <c r="K43" i="16" l="1"/>
  <c r="W59" i="13"/>
  <c r="T60" i="13"/>
  <c r="T61" i="13" s="1"/>
  <c r="T62" i="13" s="1"/>
  <c r="I16" i="13" s="1"/>
  <c r="V59" i="13"/>
  <c r="U59" i="13" s="1"/>
  <c r="U60" i="13" s="1"/>
  <c r="M43" i="16" l="1"/>
  <c r="Q43" i="16"/>
  <c r="I20" i="14"/>
  <c r="I20" i="15"/>
  <c r="F16" i="13"/>
  <c r="L43" i="16" l="1"/>
  <c r="K44" i="16" s="1"/>
  <c r="M44" i="16" l="1"/>
  <c r="L44" i="16" s="1"/>
  <c r="K45" i="16" s="1"/>
  <c r="Q44" i="16"/>
  <c r="M45" i="16" l="1"/>
  <c r="Q45" i="16"/>
  <c r="L45" i="16" l="1"/>
  <c r="K46" i="16" s="1"/>
  <c r="M46" i="16" l="1"/>
  <c r="L46" i="16" s="1"/>
  <c r="K47" i="16" s="1"/>
  <c r="Q46" i="16"/>
  <c r="M47" i="16" l="1"/>
  <c r="L47" i="16" s="1"/>
  <c r="K48" i="16" s="1"/>
  <c r="Q47" i="16"/>
  <c r="M48" i="16" l="1"/>
  <c r="L48" i="16" s="1"/>
  <c r="K49" i="16" s="1"/>
  <c r="Q48" i="16"/>
  <c r="M49" i="16" l="1"/>
  <c r="Q49" i="16"/>
  <c r="L49" i="16" l="1"/>
  <c r="K50" i="16" s="1"/>
  <c r="M50" i="16" l="1"/>
  <c r="L50" i="16" s="1"/>
  <c r="K51" i="16" s="1"/>
  <c r="Q50" i="16"/>
  <c r="M51" i="16" l="1"/>
  <c r="L51" i="16" s="1"/>
  <c r="K52" i="16" s="1"/>
  <c r="Q51" i="16"/>
  <c r="M52" i="16" l="1"/>
  <c r="L52" i="16" s="1"/>
  <c r="K53" i="16" s="1"/>
  <c r="Q52" i="16"/>
  <c r="M53" i="16" l="1"/>
  <c r="L53" i="16" s="1"/>
  <c r="K54" i="16" s="1"/>
  <c r="Q53" i="16"/>
  <c r="M54" i="16" l="1"/>
  <c r="L54" i="16" s="1"/>
  <c r="K55" i="16" s="1"/>
  <c r="Q54" i="16"/>
  <c r="M55" i="16" l="1"/>
  <c r="L55" i="16" s="1"/>
  <c r="K56" i="16" s="1"/>
  <c r="Q55" i="16"/>
  <c r="M56" i="16" l="1"/>
  <c r="L56" i="16" s="1"/>
  <c r="K57" i="16" s="1"/>
  <c r="Q56" i="16"/>
  <c r="M57" i="16" l="1"/>
  <c r="L57" i="16" s="1"/>
  <c r="K58" i="16" s="1"/>
  <c r="Q57" i="16"/>
  <c r="M58" i="16" l="1"/>
  <c r="L58" i="16" s="1"/>
  <c r="K59" i="16" s="1"/>
  <c r="Q58" i="16"/>
  <c r="M59" i="16" l="1"/>
  <c r="Q59" i="16"/>
  <c r="K60" i="16"/>
  <c r="K61" i="16" s="1"/>
  <c r="K62" i="16" l="1"/>
  <c r="I15" i="16" s="1"/>
  <c r="L59" i="16"/>
  <c r="L60" i="16" s="1"/>
  <c r="F9" i="16" l="1"/>
  <c r="F11" i="16" s="1"/>
  <c r="F14" i="16" s="1"/>
  <c r="I19" i="15"/>
  <c r="H29" i="15"/>
  <c r="T29" i="15" s="1"/>
  <c r="W29" i="15" l="1"/>
  <c r="V29" i="15"/>
  <c r="U29" i="15" l="1"/>
  <c r="H30" i="15" s="1"/>
  <c r="T30" i="15" s="1"/>
  <c r="V30" i="15" s="1"/>
  <c r="U30" i="15" l="1"/>
  <c r="W30" i="15"/>
  <c r="H31" i="15" l="1"/>
  <c r="T31" i="15" s="1"/>
  <c r="V31" i="15" s="1"/>
  <c r="W31" i="15" l="1"/>
  <c r="U31" i="15"/>
  <c r="H32" i="15" l="1"/>
  <c r="T32" i="15" s="1"/>
  <c r="W32" i="15" s="1"/>
  <c r="V32" i="15" l="1"/>
  <c r="U32" i="15" s="1"/>
  <c r="H33" i="15" l="1"/>
  <c r="T33" i="15" l="1"/>
  <c r="V33" i="15" s="1"/>
  <c r="W33" i="15" l="1"/>
  <c r="U33" i="15"/>
  <c r="H34" i="15" s="1"/>
  <c r="T34" i="15" l="1"/>
  <c r="W34" i="15" l="1"/>
  <c r="V34" i="15"/>
  <c r="U34" i="15" s="1"/>
  <c r="H35" i="15" s="1"/>
  <c r="T35" i="15" s="1"/>
  <c r="V35" i="15" l="1"/>
  <c r="W35" i="15"/>
  <c r="U35" i="15" l="1"/>
  <c r="H36" i="15" l="1"/>
  <c r="T36" i="15" s="1"/>
  <c r="W36" i="15" l="1"/>
  <c r="V36" i="15"/>
  <c r="U36" i="15" l="1"/>
  <c r="H37" i="15" s="1"/>
  <c r="T37" i="15" s="1"/>
  <c r="W37" i="15" s="1"/>
  <c r="V37" i="15" l="1"/>
  <c r="U37" i="15" s="1"/>
  <c r="H38" i="15" l="1"/>
  <c r="T38" i="15" s="1"/>
  <c r="W38" i="15" l="1"/>
  <c r="V38" i="15"/>
  <c r="U38" i="15" s="1"/>
  <c r="H39" i="15" l="1"/>
  <c r="T39" i="15" s="1"/>
  <c r="V39" i="15" l="1"/>
  <c r="W39" i="15"/>
  <c r="U39" i="15" l="1"/>
  <c r="H40" i="15" s="1"/>
  <c r="T40" i="15" s="1"/>
  <c r="W40" i="15" s="1"/>
  <c r="V40" i="15" l="1"/>
  <c r="U40" i="15" s="1"/>
  <c r="H41" i="15" l="1"/>
  <c r="T41" i="15" l="1"/>
  <c r="W41" i="15" s="1"/>
  <c r="V41" i="15" l="1"/>
  <c r="U41" i="15" s="1"/>
  <c r="H42" i="15" s="1"/>
  <c r="T42" i="15" l="1"/>
  <c r="W42" i="15" l="1"/>
  <c r="V42" i="15"/>
  <c r="U42" i="15" s="1"/>
  <c r="H43" i="15" s="1"/>
  <c r="T43" i="15" s="1"/>
  <c r="V43" i="15" l="1"/>
  <c r="W43" i="15"/>
  <c r="U43" i="15" l="1"/>
  <c r="H44" i="15" s="1"/>
  <c r="T44" i="15" l="1"/>
  <c r="W44" i="15" l="1"/>
  <c r="V44" i="15"/>
  <c r="U44" i="15" s="1"/>
  <c r="H45" i="15" s="1"/>
  <c r="T45" i="15" s="1"/>
  <c r="V45" i="15" l="1"/>
  <c r="W45" i="15"/>
  <c r="U45" i="15" l="1"/>
  <c r="H46" i="15" l="1"/>
  <c r="T46" i="15" s="1"/>
  <c r="W46" i="15" l="1"/>
  <c r="V46" i="15"/>
  <c r="U46" i="15" l="1"/>
  <c r="H47" i="15" l="1"/>
  <c r="T47" i="15" s="1"/>
  <c r="W47" i="15" l="1"/>
  <c r="V47" i="15"/>
  <c r="U47" i="15" l="1"/>
  <c r="H48" i="15" l="1"/>
  <c r="T48" i="15" s="1"/>
  <c r="W48" i="15" l="1"/>
  <c r="V48" i="15"/>
  <c r="U48" i="15" l="1"/>
  <c r="H49" i="15" s="1"/>
  <c r="T49" i="15" s="1"/>
  <c r="W49" i="15" s="1"/>
  <c r="V49" i="15" l="1"/>
  <c r="U49" i="15" s="1"/>
  <c r="H50" i="15" l="1"/>
  <c r="T50" i="15" s="1"/>
  <c r="W50" i="15" s="1"/>
  <c r="V50" i="15" l="1"/>
  <c r="U50" i="15" s="1"/>
  <c r="H51" i="15" s="1"/>
  <c r="T51" i="15" s="1"/>
  <c r="W51" i="15" l="1"/>
  <c r="V51" i="15"/>
  <c r="U51" i="15" s="1"/>
  <c r="H52" i="15" l="1"/>
  <c r="T52" i="15" l="1"/>
  <c r="V52" i="15" s="1"/>
  <c r="W52" i="15" l="1"/>
  <c r="U52" i="15"/>
  <c r="H53" i="15" l="1"/>
  <c r="T53" i="15" s="1"/>
  <c r="W53" i="15" l="1"/>
  <c r="V53" i="15"/>
  <c r="U53" i="15" l="1"/>
  <c r="H54" i="15" l="1"/>
  <c r="T54" i="15" s="1"/>
  <c r="W54" i="15" l="1"/>
  <c r="V54" i="15"/>
  <c r="U54" i="15" l="1"/>
  <c r="H55" i="15" l="1"/>
  <c r="T55" i="15" s="1"/>
  <c r="W55" i="15" l="1"/>
  <c r="V55" i="15"/>
  <c r="U55" i="15" l="1"/>
  <c r="H56" i="15" l="1"/>
  <c r="T56" i="15" s="1"/>
  <c r="W56" i="15" l="1"/>
  <c r="V56" i="15"/>
  <c r="U56" i="15" l="1"/>
  <c r="H57" i="15" l="1"/>
  <c r="T57" i="15" s="1"/>
  <c r="W57" i="15" l="1"/>
  <c r="V57" i="15"/>
  <c r="U57" i="15" l="1"/>
  <c r="H58" i="15" l="1"/>
  <c r="H59" i="15" l="1"/>
  <c r="I12" i="15" s="1"/>
  <c r="T58" i="15"/>
  <c r="W58" i="15" l="1"/>
  <c r="T59" i="15"/>
  <c r="T60" i="15" s="1"/>
  <c r="T61" i="15" s="1"/>
  <c r="I16" i="15" s="1"/>
  <c r="F16" i="15" s="1"/>
  <c r="V58" i="15"/>
  <c r="U58" i="15" s="1"/>
  <c r="U59" i="15" s="1"/>
  <c r="H29" i="14"/>
  <c r="T29" i="14" s="1"/>
  <c r="V29" i="14" s="1"/>
  <c r="U29" i="14" s="1"/>
  <c r="W29" i="14" l="1"/>
  <c r="H30" i="14"/>
  <c r="T30" i="14" l="1"/>
  <c r="W30" i="14" l="1"/>
  <c r="V30" i="14"/>
  <c r="F29" i="15" l="1"/>
  <c r="I21" i="15"/>
  <c r="U30" i="14"/>
  <c r="F30" i="15" l="1"/>
  <c r="F31" i="15" s="1"/>
  <c r="G31" i="15" s="1"/>
  <c r="H31" i="14"/>
  <c r="G29" i="15"/>
  <c r="F32" i="15" l="1"/>
  <c r="G32" i="15" s="1"/>
  <c r="G30" i="15"/>
  <c r="N29" i="15"/>
  <c r="T31" i="14"/>
  <c r="F33" i="15" l="1"/>
  <c r="F34" i="15" s="1"/>
  <c r="F35" i="15" s="1"/>
  <c r="G35" i="15" s="1"/>
  <c r="W31" i="14"/>
  <c r="V31" i="14"/>
  <c r="P29" i="15"/>
  <c r="G33" i="15" l="1"/>
  <c r="O29" i="15"/>
  <c r="U31" i="14"/>
  <c r="G34" i="15"/>
  <c r="F36" i="15"/>
  <c r="F37" i="15" l="1"/>
  <c r="G36" i="15"/>
  <c r="H32" i="14"/>
  <c r="N30" i="15"/>
  <c r="G37" i="15" l="1"/>
  <c r="F38" i="15"/>
  <c r="P30" i="15"/>
  <c r="T32" i="14"/>
  <c r="W32" i="14" l="1"/>
  <c r="V32" i="14"/>
  <c r="O30" i="15"/>
  <c r="G38" i="15"/>
  <c r="F39" i="15"/>
  <c r="U32" i="14" l="1"/>
  <c r="G39" i="15"/>
  <c r="F40" i="15"/>
  <c r="N31" i="15"/>
  <c r="G40" i="15" l="1"/>
  <c r="F41" i="15"/>
  <c r="H33" i="14"/>
  <c r="P31" i="15"/>
  <c r="O31" i="15" l="1"/>
  <c r="T33" i="14"/>
  <c r="G41" i="15"/>
  <c r="F42" i="15"/>
  <c r="G42" i="15" l="1"/>
  <c r="F43" i="15"/>
  <c r="W33" i="14"/>
  <c r="V33" i="14"/>
  <c r="N32" i="15"/>
  <c r="U33" i="14" l="1"/>
  <c r="G43" i="15"/>
  <c r="F44" i="15"/>
  <c r="P32" i="15"/>
  <c r="G44" i="15" l="1"/>
  <c r="F45" i="15"/>
  <c r="O32" i="15"/>
  <c r="H34" i="14"/>
  <c r="T34" i="14" l="1"/>
  <c r="V34" i="14" s="1"/>
  <c r="G45" i="15"/>
  <c r="F46" i="15"/>
  <c r="N33" i="15"/>
  <c r="W34" i="14" l="1"/>
  <c r="P33" i="15"/>
  <c r="U34" i="14"/>
  <c r="G46" i="15"/>
  <c r="F47" i="15"/>
  <c r="G47" i="15" l="1"/>
  <c r="F48" i="15"/>
  <c r="O33" i="15"/>
  <c r="H35" i="14"/>
  <c r="T35" i="14" l="1"/>
  <c r="W35" i="14" s="1"/>
  <c r="N34" i="15"/>
  <c r="G48" i="15"/>
  <c r="F49" i="15"/>
  <c r="V35" i="14" l="1"/>
  <c r="U35" i="14" s="1"/>
  <c r="P34" i="15"/>
  <c r="G49" i="15"/>
  <c r="F50" i="15"/>
  <c r="O34" i="15" l="1"/>
  <c r="N35" i="15" s="1"/>
  <c r="P35" i="15" s="1"/>
  <c r="H36" i="14"/>
  <c r="G50" i="15"/>
  <c r="F51" i="15"/>
  <c r="T36" i="14" l="1"/>
  <c r="G51" i="15"/>
  <c r="F52" i="15"/>
  <c r="O35" i="15"/>
  <c r="N36" i="15" s="1"/>
  <c r="P36" i="15" l="1"/>
  <c r="G52" i="15"/>
  <c r="F53" i="15"/>
  <c r="W36" i="14"/>
  <c r="V36" i="14"/>
  <c r="M29" i="15" l="1"/>
  <c r="L29" i="15" s="1"/>
  <c r="Q29" i="15"/>
  <c r="G53" i="15"/>
  <c r="F54" i="15"/>
  <c r="K30" i="15"/>
  <c r="U36" i="14"/>
  <c r="O36" i="15"/>
  <c r="N37" i="15" s="1"/>
  <c r="P37" i="15" s="1"/>
  <c r="H37" i="14" l="1"/>
  <c r="G54" i="15"/>
  <c r="F55" i="15"/>
  <c r="M30" i="15"/>
  <c r="L30" i="15" s="1"/>
  <c r="Q30" i="15"/>
  <c r="O37" i="15"/>
  <c r="N38" i="15" s="1"/>
  <c r="T37" i="14" l="1"/>
  <c r="W37" i="14" s="1"/>
  <c r="G55" i="15"/>
  <c r="F56" i="15"/>
  <c r="K31" i="15"/>
  <c r="P38" i="15"/>
  <c r="V37" i="14" l="1"/>
  <c r="U37" i="14" s="1"/>
  <c r="M31" i="15"/>
  <c r="L31" i="15" s="1"/>
  <c r="K32" i="15" s="1"/>
  <c r="Q31" i="15"/>
  <c r="O38" i="15"/>
  <c r="N39" i="15" s="1"/>
  <c r="G56" i="15"/>
  <c r="F57" i="15"/>
  <c r="M32" i="15" l="1"/>
  <c r="L32" i="15" s="1"/>
  <c r="K33" i="15" s="1"/>
  <c r="Q32" i="15"/>
  <c r="P39" i="15"/>
  <c r="H38" i="14"/>
  <c r="G57" i="15"/>
  <c r="F58" i="15"/>
  <c r="T38" i="14" l="1"/>
  <c r="W38" i="14" s="1"/>
  <c r="G58" i="15"/>
  <c r="G59" i="15" s="1"/>
  <c r="F59" i="15"/>
  <c r="O39" i="15"/>
  <c r="N40" i="15" s="1"/>
  <c r="M33" i="15"/>
  <c r="L33" i="15" s="1"/>
  <c r="K34" i="15" s="1"/>
  <c r="Q33" i="15"/>
  <c r="V38" i="14" l="1"/>
  <c r="U38" i="14" s="1"/>
  <c r="I11" i="15"/>
  <c r="F5" i="15" s="1"/>
  <c r="M34" i="15"/>
  <c r="L34" i="15" s="1"/>
  <c r="K35" i="15" s="1"/>
  <c r="Q34" i="15"/>
  <c r="P40" i="15"/>
  <c r="H39" i="14" l="1"/>
  <c r="O40" i="15"/>
  <c r="N41" i="15" s="1"/>
  <c r="P41" i="15" s="1"/>
  <c r="M35" i="15"/>
  <c r="L35" i="15" s="1"/>
  <c r="K36" i="15" s="1"/>
  <c r="Q35" i="15"/>
  <c r="M36" i="15" l="1"/>
  <c r="L36" i="15" s="1"/>
  <c r="K37" i="15" s="1"/>
  <c r="Q36" i="15"/>
  <c r="O41" i="15"/>
  <c r="N42" i="15" s="1"/>
  <c r="T39" i="14"/>
  <c r="P42" i="15" l="1"/>
  <c r="M37" i="15"/>
  <c r="L37" i="15" s="1"/>
  <c r="K38" i="15" s="1"/>
  <c r="Q37" i="15"/>
  <c r="W39" i="14"/>
  <c r="V39" i="14"/>
  <c r="O42" i="15" l="1"/>
  <c r="N43" i="15" s="1"/>
  <c r="P43" i="15" s="1"/>
  <c r="U39" i="14"/>
  <c r="M38" i="15"/>
  <c r="L38" i="15" s="1"/>
  <c r="K39" i="15" s="1"/>
  <c r="Q38" i="15"/>
  <c r="H40" i="14" l="1"/>
  <c r="O43" i="15"/>
  <c r="N44" i="15" s="1"/>
  <c r="M39" i="15"/>
  <c r="L39" i="15" s="1"/>
  <c r="K40" i="15" s="1"/>
  <c r="Q39" i="15"/>
  <c r="P44" i="15" l="1"/>
  <c r="M40" i="15"/>
  <c r="L40" i="15" s="1"/>
  <c r="K41" i="15" s="1"/>
  <c r="Q40" i="15"/>
  <c r="T40" i="14"/>
  <c r="M41" i="15" l="1"/>
  <c r="L41" i="15" s="1"/>
  <c r="K42" i="15" s="1"/>
  <c r="Q41" i="15"/>
  <c r="W40" i="14"/>
  <c r="V40" i="14"/>
  <c r="O44" i="15"/>
  <c r="N45" i="15" s="1"/>
  <c r="P45" i="15" s="1"/>
  <c r="O45" i="15" l="1"/>
  <c r="N46" i="15" s="1"/>
  <c r="U40" i="14"/>
  <c r="M42" i="15"/>
  <c r="L42" i="15" s="1"/>
  <c r="K43" i="15" s="1"/>
  <c r="Q42" i="15"/>
  <c r="M43" i="15" l="1"/>
  <c r="L43" i="15" s="1"/>
  <c r="K44" i="15" s="1"/>
  <c r="Q43" i="15"/>
  <c r="P46" i="15"/>
  <c r="H41" i="14"/>
  <c r="T41" i="14" l="1"/>
  <c r="V41" i="14" s="1"/>
  <c r="O46" i="15"/>
  <c r="N47" i="15" s="1"/>
  <c r="M44" i="15"/>
  <c r="L44" i="15" s="1"/>
  <c r="K45" i="15" s="1"/>
  <c r="Q44" i="15"/>
  <c r="W41" i="14" l="1"/>
  <c r="M45" i="15"/>
  <c r="L45" i="15" s="1"/>
  <c r="K46" i="15" s="1"/>
  <c r="Q45" i="15"/>
  <c r="P47" i="15"/>
  <c r="U41" i="14"/>
  <c r="M46" i="15" l="1"/>
  <c r="L46" i="15" s="1"/>
  <c r="K47" i="15" s="1"/>
  <c r="Q46" i="15"/>
  <c r="O47" i="15"/>
  <c r="N48" i="15" s="1"/>
  <c r="H42" i="14"/>
  <c r="T42" i="14" l="1"/>
  <c r="W42" i="14" s="1"/>
  <c r="M47" i="15"/>
  <c r="L47" i="15" s="1"/>
  <c r="K48" i="15" s="1"/>
  <c r="Q47" i="15"/>
  <c r="P48" i="15"/>
  <c r="V42" i="14" l="1"/>
  <c r="U42" i="14" s="1"/>
  <c r="O48" i="15"/>
  <c r="N49" i="15" s="1"/>
  <c r="M48" i="15"/>
  <c r="L48" i="15" s="1"/>
  <c r="K49" i="15" s="1"/>
  <c r="Q48" i="15"/>
  <c r="H43" i="14" l="1"/>
  <c r="M49" i="15"/>
  <c r="L49" i="15" s="1"/>
  <c r="K50" i="15" s="1"/>
  <c r="Q49" i="15"/>
  <c r="P49" i="15"/>
  <c r="T43" i="14" l="1"/>
  <c r="W43" i="14" s="1"/>
  <c r="M50" i="15"/>
  <c r="L50" i="15" s="1"/>
  <c r="K51" i="15" s="1"/>
  <c r="O49" i="15"/>
  <c r="N50" i="15" s="1"/>
  <c r="P50" i="15" s="1"/>
  <c r="V43" i="14" l="1"/>
  <c r="U43" i="14" s="1"/>
  <c r="O50" i="15"/>
  <c r="N51" i="15" s="1"/>
  <c r="Q50" i="15"/>
  <c r="M51" i="15"/>
  <c r="L51" i="15" s="1"/>
  <c r="K52" i="15" s="1"/>
  <c r="Q51" i="15" l="1"/>
  <c r="H44" i="14"/>
  <c r="M52" i="15"/>
  <c r="L52" i="15" s="1"/>
  <c r="K53" i="15" s="1"/>
  <c r="P51" i="15"/>
  <c r="T44" i="14" l="1"/>
  <c r="V44" i="14" s="1"/>
  <c r="M53" i="15"/>
  <c r="L53" i="15" s="1"/>
  <c r="K54" i="15" s="1"/>
  <c r="O51" i="15"/>
  <c r="N52" i="15" s="1"/>
  <c r="P52" i="15" s="1"/>
  <c r="W44" i="14" l="1"/>
  <c r="O52" i="15"/>
  <c r="N53" i="15" s="1"/>
  <c r="M54" i="15"/>
  <c r="L54" i="15" s="1"/>
  <c r="K55" i="15" s="1"/>
  <c r="Q52" i="15"/>
  <c r="U44" i="14"/>
  <c r="M55" i="15" l="1"/>
  <c r="L55" i="15" s="1"/>
  <c r="K56" i="15" s="1"/>
  <c r="H45" i="14"/>
  <c r="Q53" i="15"/>
  <c r="P53" i="15"/>
  <c r="M56" i="15" l="1"/>
  <c r="L56" i="15" s="1"/>
  <c r="K57" i="15" s="1"/>
  <c r="T45" i="14"/>
  <c r="O53" i="15"/>
  <c r="N54" i="15" s="1"/>
  <c r="Q54" i="15" l="1"/>
  <c r="P54" i="15"/>
  <c r="W45" i="14"/>
  <c r="V45" i="14"/>
  <c r="M57" i="15"/>
  <c r="L57" i="15" s="1"/>
  <c r="K58" i="15" s="1"/>
  <c r="M58" i="15" l="1"/>
  <c r="K59" i="15"/>
  <c r="K60" i="15" s="1"/>
  <c r="U45" i="14"/>
  <c r="O54" i="15"/>
  <c r="N55" i="15" s="1"/>
  <c r="Q55" i="15" l="1"/>
  <c r="H46" i="14"/>
  <c r="K61" i="15"/>
  <c r="L58" i="15"/>
  <c r="L59" i="15" s="1"/>
  <c r="P55" i="15"/>
  <c r="I15" i="15" l="1"/>
  <c r="F9" i="15" s="1"/>
  <c r="T46" i="14"/>
  <c r="O55" i="15"/>
  <c r="N56" i="15" s="1"/>
  <c r="P56" i="15" s="1"/>
  <c r="I19" i="13" l="1"/>
  <c r="F29" i="13" s="1"/>
  <c r="W46" i="14"/>
  <c r="V46" i="14"/>
  <c r="O56" i="15"/>
  <c r="N57" i="15" s="1"/>
  <c r="Q56" i="15"/>
  <c r="I21" i="13" l="1"/>
  <c r="F30" i="13"/>
  <c r="G30" i="13" s="1"/>
  <c r="G29" i="13"/>
  <c r="N29" i="13" s="1"/>
  <c r="Q57" i="15"/>
  <c r="P57" i="15"/>
  <c r="U46" i="14"/>
  <c r="F31" i="13" l="1"/>
  <c r="G31" i="13" s="1"/>
  <c r="P29" i="13"/>
  <c r="H47" i="14"/>
  <c r="T47" i="14" s="1"/>
  <c r="O57" i="15"/>
  <c r="N58" i="15" s="1"/>
  <c r="P58" i="15" s="1"/>
  <c r="O58" i="15" s="1"/>
  <c r="O59" i="15" s="1"/>
  <c r="F32" i="13" l="1"/>
  <c r="G32" i="13" s="1"/>
  <c r="O29" i="13"/>
  <c r="N30" i="13" s="1"/>
  <c r="W47" i="14"/>
  <c r="V47" i="14"/>
  <c r="Q58" i="15"/>
  <c r="N59" i="15"/>
  <c r="N60" i="15" s="1"/>
  <c r="N61" i="15" s="1"/>
  <c r="N65" i="15" s="1"/>
  <c r="P30" i="13" l="1"/>
  <c r="O30" i="13" s="1"/>
  <c r="N31" i="13" s="1"/>
  <c r="F33" i="13"/>
  <c r="G33" i="13" s="1"/>
  <c r="U47" i="14"/>
  <c r="F34" i="13" l="1"/>
  <c r="G34" i="13" s="1"/>
  <c r="P31" i="13"/>
  <c r="H48" i="14"/>
  <c r="F35" i="13" l="1"/>
  <c r="G35" i="13" s="1"/>
  <c r="O31" i="13"/>
  <c r="N32" i="13" s="1"/>
  <c r="P32" i="13" s="1"/>
  <c r="O32" i="13" s="1"/>
  <c r="T48" i="14"/>
  <c r="F36" i="13" l="1"/>
  <c r="G36" i="13" s="1"/>
  <c r="N33" i="13"/>
  <c r="W48" i="14"/>
  <c r="V48" i="14"/>
  <c r="F37" i="13" l="1"/>
  <c r="G37" i="13" s="1"/>
  <c r="P33" i="13"/>
  <c r="U48" i="14"/>
  <c r="F38" i="13" l="1"/>
  <c r="G38" i="13" s="1"/>
  <c r="O33" i="13"/>
  <c r="N34" i="13" s="1"/>
  <c r="P34" i="13" s="1"/>
  <c r="H49" i="14"/>
  <c r="F39" i="13" l="1"/>
  <c r="G39" i="13" s="1"/>
  <c r="O34" i="13"/>
  <c r="N35" i="13" s="1"/>
  <c r="T49" i="14"/>
  <c r="F40" i="13" l="1"/>
  <c r="F41" i="13" s="1"/>
  <c r="G41" i="13" s="1"/>
  <c r="P35" i="13"/>
  <c r="W49" i="14"/>
  <c r="V49" i="14"/>
  <c r="F42" i="13" l="1"/>
  <c r="F43" i="13" s="1"/>
  <c r="F44" i="13" s="1"/>
  <c r="G44" i="13" s="1"/>
  <c r="G40" i="13"/>
  <c r="O35" i="13"/>
  <c r="N36" i="13" s="1"/>
  <c r="U49" i="14"/>
  <c r="F45" i="13" l="1"/>
  <c r="G45" i="13" s="1"/>
  <c r="G42" i="13"/>
  <c r="G43" i="13"/>
  <c r="P36" i="13"/>
  <c r="H50" i="14"/>
  <c r="F46" i="13" l="1"/>
  <c r="G46" i="13" s="1"/>
  <c r="O36" i="13"/>
  <c r="N37" i="13" s="1"/>
  <c r="P37" i="13" s="1"/>
  <c r="T50" i="14"/>
  <c r="F47" i="13" l="1"/>
  <c r="G47" i="13" s="1"/>
  <c r="O37" i="13"/>
  <c r="N38" i="13" s="1"/>
  <c r="W50" i="14"/>
  <c r="V50" i="14"/>
  <c r="F48" i="13" l="1"/>
  <c r="G48" i="13" s="1"/>
  <c r="P38" i="13"/>
  <c r="U50" i="14"/>
  <c r="F49" i="13" l="1"/>
  <c r="F50" i="13" s="1"/>
  <c r="F51" i="13" s="1"/>
  <c r="G51" i="13" s="1"/>
  <c r="O38" i="13"/>
  <c r="N39" i="13" s="1"/>
  <c r="P39" i="13" s="1"/>
  <c r="O39" i="13" s="1"/>
  <c r="H51" i="14"/>
  <c r="T51" i="14" s="1"/>
  <c r="G49" i="13" l="1"/>
  <c r="G50" i="13"/>
  <c r="F52" i="13"/>
  <c r="G52" i="13" s="1"/>
  <c r="Q29" i="13"/>
  <c r="N40" i="13"/>
  <c r="W51" i="14"/>
  <c r="V51" i="14"/>
  <c r="F53" i="13" l="1"/>
  <c r="K30" i="13" s="1"/>
  <c r="P40" i="13"/>
  <c r="U51" i="14"/>
  <c r="M30" i="13" l="1"/>
  <c r="F54" i="13"/>
  <c r="G54" i="13" s="1"/>
  <c r="G53" i="13"/>
  <c r="O40" i="13"/>
  <c r="N41" i="13" s="1"/>
  <c r="H52" i="14"/>
  <c r="F55" i="13" l="1"/>
  <c r="G55" i="13" s="1"/>
  <c r="Q30" i="13"/>
  <c r="L30" i="13"/>
  <c r="K31" i="13" s="1"/>
  <c r="P41" i="13"/>
  <c r="T52" i="14"/>
  <c r="M31" i="13" l="1"/>
  <c r="L31" i="13" s="1"/>
  <c r="K32" i="13" s="1"/>
  <c r="M32" i="13" s="1"/>
  <c r="F56" i="13"/>
  <c r="G56" i="13" s="1"/>
  <c r="Q31" i="13"/>
  <c r="O41" i="13"/>
  <c r="N42" i="13" s="1"/>
  <c r="W52" i="14"/>
  <c r="V52" i="14"/>
  <c r="P42" i="13" l="1"/>
  <c r="O42" i="13" s="1"/>
  <c r="N43" i="13" s="1"/>
  <c r="F57" i="13"/>
  <c r="G57" i="13" s="1"/>
  <c r="Q32" i="13"/>
  <c r="L32" i="13"/>
  <c r="K33" i="13" s="1"/>
  <c r="U52" i="14"/>
  <c r="M33" i="13" l="1"/>
  <c r="L33" i="13" s="1"/>
  <c r="K34" i="13" s="1"/>
  <c r="M34" i="13" s="1"/>
  <c r="F58" i="13"/>
  <c r="Q33" i="13"/>
  <c r="P43" i="13"/>
  <c r="H53" i="14"/>
  <c r="G58" i="13" l="1"/>
  <c r="F59" i="13"/>
  <c r="L34" i="13"/>
  <c r="K35" i="13" s="1"/>
  <c r="M35" i="13" s="1"/>
  <c r="Q34" i="13"/>
  <c r="O43" i="13"/>
  <c r="T53" i="14"/>
  <c r="N44" i="13" l="1"/>
  <c r="G59" i="13"/>
  <c r="G60" i="13" s="1"/>
  <c r="F60" i="13"/>
  <c r="L35" i="13"/>
  <c r="K36" i="13" s="1"/>
  <c r="Q35" i="13"/>
  <c r="W53" i="14"/>
  <c r="V53" i="14"/>
  <c r="P44" i="13" l="1"/>
  <c r="O44" i="13" s="1"/>
  <c r="M36" i="13"/>
  <c r="L36" i="13" s="1"/>
  <c r="K37" i="13" s="1"/>
  <c r="M37" i="13" s="1"/>
  <c r="L37" i="13" s="1"/>
  <c r="K38" i="13" s="1"/>
  <c r="M38" i="13" s="1"/>
  <c r="I11" i="13"/>
  <c r="F5" i="13" s="1"/>
  <c r="Q36" i="13"/>
  <c r="U53" i="14"/>
  <c r="N45" i="13" l="1"/>
  <c r="Q37" i="13"/>
  <c r="L38" i="13"/>
  <c r="K39" i="13" s="1"/>
  <c r="M39" i="13" s="1"/>
  <c r="Q38" i="13"/>
  <c r="H54" i="14"/>
  <c r="P45" i="13" l="1"/>
  <c r="O45" i="13" s="1"/>
  <c r="L39" i="13"/>
  <c r="K40" i="13" s="1"/>
  <c r="M40" i="13" s="1"/>
  <c r="Q39" i="13"/>
  <c r="T54" i="14"/>
  <c r="N46" i="13" l="1"/>
  <c r="L40" i="13"/>
  <c r="K41" i="13" s="1"/>
  <c r="M41" i="13" s="1"/>
  <c r="Q40" i="13"/>
  <c r="W54" i="14"/>
  <c r="V54" i="14"/>
  <c r="P46" i="13" l="1"/>
  <c r="L41" i="13"/>
  <c r="K42" i="13" s="1"/>
  <c r="M42" i="13" s="1"/>
  <c r="Q41" i="13"/>
  <c r="U54" i="14"/>
  <c r="O46" i="13" l="1"/>
  <c r="L42" i="13"/>
  <c r="K43" i="13" s="1"/>
  <c r="M43" i="13" s="1"/>
  <c r="Q42" i="13"/>
  <c r="H55" i="14"/>
  <c r="N47" i="13" l="1"/>
  <c r="L43" i="13"/>
  <c r="K44" i="13" s="1"/>
  <c r="M44" i="13" s="1"/>
  <c r="Q43" i="13"/>
  <c r="T55" i="14"/>
  <c r="V55" i="14" s="1"/>
  <c r="P47" i="13" l="1"/>
  <c r="O47" i="13" s="1"/>
  <c r="L44" i="13"/>
  <c r="K45" i="13" s="1"/>
  <c r="M45" i="13" s="1"/>
  <c r="Q44" i="13"/>
  <c r="W55" i="14"/>
  <c r="U55" i="14"/>
  <c r="N48" i="13" l="1"/>
  <c r="L45" i="13"/>
  <c r="K46" i="13" s="1"/>
  <c r="Q45" i="13"/>
  <c r="H56" i="14"/>
  <c r="P48" i="13" l="1"/>
  <c r="M46" i="13"/>
  <c r="L46" i="13" s="1"/>
  <c r="K47" i="13" s="1"/>
  <c r="M47" i="13" s="1"/>
  <c r="Q46" i="13"/>
  <c r="T56" i="14"/>
  <c r="W56" i="14" s="1"/>
  <c r="O48" i="13" l="1"/>
  <c r="N49" i="13" s="1"/>
  <c r="P49" i="13" s="1"/>
  <c r="O49" i="13" s="1"/>
  <c r="N50" i="13" s="1"/>
  <c r="P50" i="13" s="1"/>
  <c r="L47" i="13"/>
  <c r="K48" i="13" s="1"/>
  <c r="M48" i="13" s="1"/>
  <c r="Q47" i="13"/>
  <c r="V56" i="14"/>
  <c r="U56" i="14" s="1"/>
  <c r="O50" i="13" l="1"/>
  <c r="N51" i="13" s="1"/>
  <c r="P51" i="13" s="1"/>
  <c r="O51" i="13" s="1"/>
  <c r="N52" i="13" s="1"/>
  <c r="P52" i="13" s="1"/>
  <c r="O52" i="13" s="1"/>
  <c r="N53" i="13" s="1"/>
  <c r="L48" i="13"/>
  <c r="K49" i="13" s="1"/>
  <c r="M49" i="13" s="1"/>
  <c r="Q48" i="13"/>
  <c r="H57" i="14"/>
  <c r="P53" i="13" l="1"/>
  <c r="L49" i="13"/>
  <c r="K50" i="13" s="1"/>
  <c r="M50" i="13" s="1"/>
  <c r="Q49" i="13"/>
  <c r="T57" i="14"/>
  <c r="W57" i="14" s="1"/>
  <c r="L50" i="13" l="1"/>
  <c r="K51" i="13" s="1"/>
  <c r="M51" i="13" s="1"/>
  <c r="Q50" i="13"/>
  <c r="O53" i="13"/>
  <c r="N54" i="13" s="1"/>
  <c r="P54" i="13" s="1"/>
  <c r="V57" i="14"/>
  <c r="U57" i="14" s="1"/>
  <c r="O54" i="13" l="1"/>
  <c r="N55" i="13" s="1"/>
  <c r="L51" i="13"/>
  <c r="K52" i="13" s="1"/>
  <c r="Q51" i="13"/>
  <c r="H58" i="14"/>
  <c r="N66" i="13" l="1"/>
  <c r="N67" i="13" s="1"/>
  <c r="N68" i="13" s="1"/>
  <c r="M52" i="13"/>
  <c r="L52" i="13" s="1"/>
  <c r="K53" i="13" s="1"/>
  <c r="M53" i="13" s="1"/>
  <c r="K66" i="13"/>
  <c r="Q52" i="13"/>
  <c r="P55" i="13"/>
  <c r="H59" i="14"/>
  <c r="I12" i="14" s="1"/>
  <c r="T58" i="14"/>
  <c r="O55" i="13" l="1"/>
  <c r="L53" i="13"/>
  <c r="K54" i="13" s="1"/>
  <c r="M54" i="13" s="1"/>
  <c r="Q53" i="13"/>
  <c r="W58" i="14"/>
  <c r="T59" i="14"/>
  <c r="T60" i="14" s="1"/>
  <c r="T61" i="14" s="1"/>
  <c r="I16" i="14" s="1"/>
  <c r="V58" i="14"/>
  <c r="U58" i="14" s="1"/>
  <c r="U59" i="14" s="1"/>
  <c r="N56" i="13" l="1"/>
  <c r="P56" i="13" s="1"/>
  <c r="O56" i="13" s="1"/>
  <c r="O67" i="13"/>
  <c r="O69" i="13" s="1"/>
  <c r="L54" i="13"/>
  <c r="K55" i="13" s="1"/>
  <c r="Q54" i="13"/>
  <c r="F16" i="14"/>
  <c r="M55" i="13" l="1"/>
  <c r="K67" i="13"/>
  <c r="K68" i="13" s="1"/>
  <c r="M70" i="13" s="1"/>
  <c r="N57" i="13"/>
  <c r="P57" i="13" s="1"/>
  <c r="Q55" i="13"/>
  <c r="L55" i="13" l="1"/>
  <c r="K56" i="13" s="1"/>
  <c r="M56" i="13" s="1"/>
  <c r="M75" i="13"/>
  <c r="O57" i="13"/>
  <c r="Q56" i="13" l="1"/>
  <c r="N58" i="13"/>
  <c r="P58" i="13" s="1"/>
  <c r="O58" i="13" s="1"/>
  <c r="N59" i="13" s="1"/>
  <c r="P59" i="13" s="1"/>
  <c r="O59" i="13" s="1"/>
  <c r="O60" i="13" s="1"/>
  <c r="L56" i="13"/>
  <c r="K57" i="13" s="1"/>
  <c r="M57" i="13" s="1"/>
  <c r="P66" i="13" l="1"/>
  <c r="N60" i="13"/>
  <c r="N61" i="13" s="1"/>
  <c r="N62" i="13" s="1"/>
  <c r="L57" i="13"/>
  <c r="K58" i="13" s="1"/>
  <c r="M58" i="13" s="1"/>
  <c r="Q57" i="13"/>
  <c r="P65" i="13" l="1"/>
  <c r="L58" i="13"/>
  <c r="K59" i="13" s="1"/>
  <c r="M59" i="13" s="1"/>
  <c r="Q58" i="13"/>
  <c r="K60" i="13" l="1"/>
  <c r="K61" i="13" s="1"/>
  <c r="Q59" i="13"/>
  <c r="K62" i="13" l="1"/>
  <c r="M65" i="13" s="1"/>
  <c r="M72" i="13" s="1"/>
  <c r="L59" i="13"/>
  <c r="L60" i="13" l="1"/>
  <c r="S70" i="13" s="1"/>
  <c r="N74" i="13"/>
  <c r="I19" i="14"/>
  <c r="F9" i="13" l="1"/>
  <c r="F11" i="13" s="1"/>
  <c r="F4" i="14" s="1"/>
  <c r="I21" i="14"/>
  <c r="F29" i="14"/>
  <c r="F11" i="15"/>
  <c r="F14" i="15" s="1"/>
  <c r="F14" i="13" l="1"/>
  <c r="F30" i="14"/>
  <c r="F31" i="14" s="1"/>
  <c r="G29" i="14"/>
  <c r="N29" i="14" l="1"/>
  <c r="G30" i="14"/>
  <c r="F32" i="14"/>
  <c r="G31" i="14"/>
  <c r="G32" i="14" l="1"/>
  <c r="F33" i="14"/>
  <c r="G33" i="14" s="1"/>
  <c r="P29" i="14"/>
  <c r="O29" i="14" l="1"/>
  <c r="N30" i="14" s="1"/>
  <c r="P30" i="14" s="1"/>
  <c r="F34" i="14"/>
  <c r="O30" i="14" l="1"/>
  <c r="N31" i="14" s="1"/>
  <c r="G34" i="14"/>
  <c r="F35" i="14"/>
  <c r="G35" i="14" s="1"/>
  <c r="F36" i="14" l="1"/>
  <c r="G36" i="14" s="1"/>
  <c r="P31" i="14"/>
  <c r="F37" i="14" l="1"/>
  <c r="G37" i="14" s="1"/>
  <c r="O31" i="14"/>
  <c r="N32" i="14" s="1"/>
  <c r="P32" i="14" s="1"/>
  <c r="F38" i="14" l="1"/>
  <c r="G38" i="14" s="1"/>
  <c r="O32" i="14"/>
  <c r="N33" i="14" s="1"/>
  <c r="F39" i="14" l="1"/>
  <c r="G39" i="14" s="1"/>
  <c r="P33" i="14"/>
  <c r="F40" i="14" l="1"/>
  <c r="G40" i="14" s="1"/>
  <c r="O33" i="14"/>
  <c r="N34" i="14" s="1"/>
  <c r="P34" i="14" s="1"/>
  <c r="O34" i="14" s="1"/>
  <c r="N35" i="14" s="1"/>
  <c r="F41" i="14" l="1"/>
  <c r="G41" i="14" s="1"/>
  <c r="P35" i="14"/>
  <c r="F42" i="14" l="1"/>
  <c r="G42" i="14" s="1"/>
  <c r="O35" i="14"/>
  <c r="N36" i="14" s="1"/>
  <c r="P36" i="14" s="1"/>
  <c r="F43" i="14" l="1"/>
  <c r="G43" i="14" s="1"/>
  <c r="O36" i="14"/>
  <c r="N37" i="14" s="1"/>
  <c r="F44" i="14" l="1"/>
  <c r="G44" i="14" s="1"/>
  <c r="P37" i="14"/>
  <c r="F45" i="14" l="1"/>
  <c r="G45" i="14" s="1"/>
  <c r="O37" i="14"/>
  <c r="N38" i="14" s="1"/>
  <c r="P38" i="14" s="1"/>
  <c r="F46" i="14" l="1"/>
  <c r="F47" i="14" s="1"/>
  <c r="O38" i="14"/>
  <c r="N39" i="14" s="1"/>
  <c r="G46" i="14" l="1"/>
  <c r="P39" i="14"/>
  <c r="G47" i="14"/>
  <c r="F48" i="14"/>
  <c r="G48" i="14" l="1"/>
  <c r="F49" i="14"/>
  <c r="O39" i="14"/>
  <c r="N40" i="14" s="1"/>
  <c r="P40" i="14" s="1"/>
  <c r="O40" i="14" l="1"/>
  <c r="N41" i="14" s="1"/>
  <c r="G49" i="14"/>
  <c r="F50" i="14"/>
  <c r="P41" i="14" l="1"/>
  <c r="G50" i="14"/>
  <c r="F51" i="14"/>
  <c r="G51" i="14" l="1"/>
  <c r="F52" i="14"/>
  <c r="O41" i="14"/>
  <c r="N42" i="14" s="1"/>
  <c r="P42" i="14" s="1"/>
  <c r="O42" i="14" l="1"/>
  <c r="N43" i="14" s="1"/>
  <c r="G52" i="14"/>
  <c r="F53" i="14"/>
  <c r="P43" i="14" l="1"/>
  <c r="G53" i="14"/>
  <c r="K29" i="14"/>
  <c r="F54" i="14"/>
  <c r="Q29" i="14" l="1"/>
  <c r="M29" i="14"/>
  <c r="L29" i="14" s="1"/>
  <c r="K30" i="14" s="1"/>
  <c r="G54" i="14"/>
  <c r="F55" i="14"/>
  <c r="O43" i="14"/>
  <c r="N44" i="14" s="1"/>
  <c r="P44" i="14" s="1"/>
  <c r="M30" i="14" l="1"/>
  <c r="L30" i="14" s="1"/>
  <c r="K31" i="14" s="1"/>
  <c r="Q30" i="14"/>
  <c r="O44" i="14"/>
  <c r="N45" i="14" s="1"/>
  <c r="G55" i="14"/>
  <c r="F56" i="14"/>
  <c r="G56" i="14" l="1"/>
  <c r="F57" i="14"/>
  <c r="M31" i="14"/>
  <c r="L31" i="14" s="1"/>
  <c r="K32" i="14" s="1"/>
  <c r="Q31" i="14"/>
  <c r="P45" i="14"/>
  <c r="G57" i="14" l="1"/>
  <c r="F58" i="14"/>
  <c r="O45" i="14"/>
  <c r="N46" i="14" s="1"/>
  <c r="P46" i="14" s="1"/>
  <c r="M32" i="14"/>
  <c r="L32" i="14" s="1"/>
  <c r="K33" i="14" s="1"/>
  <c r="Q32" i="14"/>
  <c r="G58" i="14" l="1"/>
  <c r="G59" i="14" s="1"/>
  <c r="F59" i="14"/>
  <c r="M33" i="14"/>
  <c r="L33" i="14" s="1"/>
  <c r="K34" i="14" s="1"/>
  <c r="Q33" i="14"/>
  <c r="O46" i="14"/>
  <c r="N47" i="14" s="1"/>
  <c r="P47" i="14" l="1"/>
  <c r="I11" i="14"/>
  <c r="F5" i="14" s="1"/>
  <c r="M34" i="14"/>
  <c r="L34" i="14" s="1"/>
  <c r="K35" i="14" s="1"/>
  <c r="Q34" i="14"/>
  <c r="M35" i="14" l="1"/>
  <c r="L35" i="14" s="1"/>
  <c r="K36" i="14" s="1"/>
  <c r="Q35" i="14"/>
  <c r="O47" i="14"/>
  <c r="N48" i="14" s="1"/>
  <c r="P48" i="14" s="1"/>
  <c r="M36" i="14" l="1"/>
  <c r="L36" i="14" s="1"/>
  <c r="K37" i="14" s="1"/>
  <c r="Q36" i="14"/>
  <c r="O48" i="14"/>
  <c r="N49" i="14" s="1"/>
  <c r="P49" i="14" s="1"/>
  <c r="O49" i="14" l="1"/>
  <c r="N50" i="14" s="1"/>
  <c r="M37" i="14"/>
  <c r="L37" i="14" s="1"/>
  <c r="K38" i="14" s="1"/>
  <c r="Q37" i="14"/>
  <c r="P50" i="14" l="1"/>
  <c r="M38" i="14"/>
  <c r="L38" i="14" s="1"/>
  <c r="K39" i="14" s="1"/>
  <c r="Q38" i="14"/>
  <c r="M39" i="14" l="1"/>
  <c r="L39" i="14" s="1"/>
  <c r="K40" i="14" s="1"/>
  <c r="Q39" i="14"/>
  <c r="O50" i="14"/>
  <c r="N51" i="14" s="1"/>
  <c r="P51" i="14" s="1"/>
  <c r="O51" i="14" l="1"/>
  <c r="N52" i="14" s="1"/>
  <c r="Q40" i="14"/>
  <c r="M40" i="14"/>
  <c r="L40" i="14" s="1"/>
  <c r="K41" i="14" s="1"/>
  <c r="P52" i="14" l="1"/>
  <c r="M41" i="14"/>
  <c r="L41" i="14" s="1"/>
  <c r="K42" i="14" s="1"/>
  <c r="Q41" i="14"/>
  <c r="M42" i="14" l="1"/>
  <c r="L42" i="14" s="1"/>
  <c r="K43" i="14" s="1"/>
  <c r="Q42" i="14"/>
  <c r="O52" i="14"/>
  <c r="N53" i="14" s="1"/>
  <c r="P53" i="14" s="1"/>
  <c r="M43" i="14" l="1"/>
  <c r="L43" i="14" s="1"/>
  <c r="K44" i="14" s="1"/>
  <c r="Q43" i="14"/>
  <c r="O53" i="14"/>
  <c r="N54" i="14" s="1"/>
  <c r="M44" i="14" l="1"/>
  <c r="L44" i="14" s="1"/>
  <c r="K45" i="14" s="1"/>
  <c r="Q44" i="14"/>
  <c r="P54" i="14"/>
  <c r="M45" i="14" l="1"/>
  <c r="L45" i="14" s="1"/>
  <c r="K46" i="14" s="1"/>
  <c r="Q45" i="14"/>
  <c r="O54" i="14"/>
  <c r="N55" i="14" s="1"/>
  <c r="P55" i="14" s="1"/>
  <c r="O55" i="14" l="1"/>
  <c r="N56" i="14" s="1"/>
  <c r="M46" i="14"/>
  <c r="L46" i="14" s="1"/>
  <c r="K47" i="14" s="1"/>
  <c r="Q46" i="14"/>
  <c r="P56" i="14" l="1"/>
  <c r="M47" i="14"/>
  <c r="L47" i="14" s="1"/>
  <c r="K48" i="14" s="1"/>
  <c r="Q47" i="14"/>
  <c r="M48" i="14" l="1"/>
  <c r="L48" i="14" s="1"/>
  <c r="K49" i="14" s="1"/>
  <c r="Q48" i="14"/>
  <c r="O56" i="14"/>
  <c r="N57" i="14" s="1"/>
  <c r="P57" i="14" s="1"/>
  <c r="M49" i="14" l="1"/>
  <c r="L49" i="14" s="1"/>
  <c r="K50" i="14" s="1"/>
  <c r="Q49" i="14"/>
  <c r="O57" i="14"/>
  <c r="N58" i="14" s="1"/>
  <c r="N61" i="14" l="1"/>
  <c r="N59" i="14"/>
  <c r="N60" i="14" s="1"/>
  <c r="P58" i="14"/>
  <c r="O58" i="14" s="1"/>
  <c r="O59" i="14" s="1"/>
  <c r="M50" i="14"/>
  <c r="L50" i="14" s="1"/>
  <c r="K51" i="14" s="1"/>
  <c r="Q50" i="14"/>
  <c r="M51" i="14" l="1"/>
  <c r="L51" i="14" s="1"/>
  <c r="K52" i="14" s="1"/>
  <c r="Q51" i="14"/>
  <c r="M52" i="14" l="1"/>
  <c r="L52" i="14" s="1"/>
  <c r="K53" i="14" s="1"/>
  <c r="Q52" i="14"/>
  <c r="M53" i="14" l="1"/>
  <c r="L53" i="14" s="1"/>
  <c r="K54" i="14" s="1"/>
  <c r="Q53" i="14"/>
  <c r="M54" i="14" l="1"/>
  <c r="L54" i="14" s="1"/>
  <c r="K55" i="14" s="1"/>
  <c r="Q54" i="14"/>
  <c r="M55" i="14" l="1"/>
  <c r="L55" i="14" s="1"/>
  <c r="K56" i="14" s="1"/>
  <c r="Q55" i="14"/>
  <c r="M56" i="14" l="1"/>
  <c r="L56" i="14" s="1"/>
  <c r="K57" i="14" s="1"/>
  <c r="Q56" i="14"/>
  <c r="M57" i="14" l="1"/>
  <c r="L57" i="14" s="1"/>
  <c r="K58" i="14" s="1"/>
  <c r="Q57" i="14"/>
  <c r="M58" i="14" l="1"/>
  <c r="K59" i="14"/>
  <c r="K60" i="14" s="1"/>
  <c r="Q58" i="14"/>
  <c r="K61" i="14" l="1"/>
  <c r="I15" i="14" s="1"/>
  <c r="F9" i="14" s="1"/>
  <c r="F11" i="14" s="1"/>
  <c r="F14" i="14" s="1"/>
  <c r="L58" i="14"/>
  <c r="L59" i="1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tc={2FC40AFA-EE2D-4814-9D50-4A1E5EFD646B}</author>
    <author>tc={265D95DB-F35D-4FB3-9B3C-4292871D4EF9}</author>
    <author>tc={4765B8E7-2DAE-4636-94EB-58D03E92E3D9}</author>
    <author>Aastha Nagpal</author>
    <author>tc={FE437AAB-DEDB-4BBE-8725-9D5A50648006}</author>
    <author>tc={4E4969AA-DA0D-471B-A6E8-9ED228D60CEB}</author>
    <author>tc={50614674-6409-49B0-9923-83BD3DC82966}</author>
  </authors>
  <commentList>
    <comment ref="E4" authorId="0" shapeId="0" xr:uid="{2FC40AFA-EE2D-4814-9D50-4A1E5EFD646B}">
      <text>
        <t>[Threaded comment]
Your version of Excel allows you to read this threaded comment; however, any edits to it will get removed if the file is opened in a newer version of Excel. Learn more: https://go.microsoft.com/fwlink/?linkid=870924
Comment:
    Balance on the Previous Statement</t>
      </text>
    </comment>
    <comment ref="F16" authorId="1" shapeId="0" xr:uid="{265D95DB-F35D-4FB3-9B3C-4292871D4EF9}">
      <text>
        <t>[Threaded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t>
      </text>
    </comment>
    <comment ref="C28" authorId="2" shapeId="0" xr:uid="{4765B8E7-2DAE-4636-94EB-58D03E92E3D9}">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3" shapeId="0" xr:uid="{9ED65A2F-D2E4-43FA-9F6D-12C39E1199BE}">
      <text>
        <r>
          <rPr>
            <b/>
            <sz val="9"/>
            <color indexed="81"/>
            <rFont val="Tahoma"/>
            <family val="2"/>
          </rPr>
          <t>Aastha Nagpal:</t>
        </r>
        <r>
          <rPr>
            <sz val="9"/>
            <color indexed="81"/>
            <rFont val="Tahoma"/>
            <family val="2"/>
          </rPr>
          <t xml:space="preserve">
As per the Consumer Credit Card Agreement:
How We Apply Your Payments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
</t>
        </r>
      </text>
    </comment>
    <comment ref="K28" authorId="4" shapeId="0" xr:uid="{FE437AAB-DEDB-4BBE-8725-9D5A50648006}">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5" shapeId="0" xr:uid="{4E4969AA-DA0D-471B-A6E8-9ED228D60CEB}">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6" shapeId="0" xr:uid="{50614674-6409-49B0-9923-83BD3DC82966}">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tc={DEC17941-ACB0-40BE-B690-1757B9BBF7DB}</author>
    <author>tc={7069E7EF-BF54-4E6F-85AC-3BB9611B9643}</author>
    <author>Aastha Nagpal</author>
    <author>tc={FF4CFB1F-8685-4F1A-9306-A3E743B695F9}</author>
    <author>tc={78E5E8AD-5D5F-4973-B77C-176C5CB2DB6D}</author>
    <author>tc={00826543-4B5D-4F20-ACFB-D5ED7D82603E}</author>
  </authors>
  <commentList>
    <comment ref="F16" authorId="0" shapeId="0" xr:uid="{DEC17941-ACB0-40BE-B690-1757B9BBF7DB}">
      <text>
        <t xml:space="preserve">[Threaded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 
Whereas the cash advance fees will be deducted from the total available credit.
</t>
      </text>
    </comment>
    <comment ref="C28" authorId="1" shapeId="0" xr:uid="{7069E7EF-BF54-4E6F-85AC-3BB9611B9643}">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2" shapeId="0" xr:uid="{4334C7B5-81A8-47E4-8042-85F3BF928272}">
      <text>
        <r>
          <rPr>
            <b/>
            <sz val="9"/>
            <color indexed="81"/>
            <rFont val="Tahoma"/>
            <family val="2"/>
          </rPr>
          <t xml:space="preserve">Aastha Nagpal:
</t>
        </r>
        <r>
          <rPr>
            <sz val="9"/>
            <color indexed="81"/>
            <rFont val="Tahoma"/>
            <family val="2"/>
          </rPr>
          <t>As per the Consumer Credit Card Agreement:</t>
        </r>
        <r>
          <rPr>
            <sz val="9"/>
            <color indexed="81"/>
            <rFont val="Tahoma"/>
            <family val="2"/>
          </rPr>
          <t xml:space="preserve">
</t>
        </r>
        <r>
          <rPr>
            <b/>
            <sz val="9"/>
            <color indexed="81"/>
            <rFont val="Tahoma"/>
            <family val="2"/>
          </rPr>
          <t>How We Apply Your Payments</t>
        </r>
        <r>
          <rPr>
            <sz val="9"/>
            <color indexed="81"/>
            <rFont val="Tahoma"/>
            <family val="2"/>
          </rPr>
          <t xml:space="preserve">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t>
        </r>
      </text>
    </comment>
    <comment ref="K28" authorId="3" shapeId="0" xr:uid="{FF4CFB1F-8685-4F1A-9306-A3E743B695F9}">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4" shapeId="0" xr:uid="{78E5E8AD-5D5F-4973-B77C-176C5CB2DB6D}">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5" shapeId="0" xr:uid="{00826543-4B5D-4F20-ACFB-D5ED7D82603E}">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tc={FEC66625-373C-4D5A-A06D-9284B2AADCEA}</author>
    <author>tc={92075E43-E0D3-4976-8D1C-BA02AED145C2}</author>
    <author>Aastha Nagpal</author>
    <author>tc={F4C58777-5F51-482C-BEF6-4C0C824C719E}</author>
    <author>tc={EB685DE1-DAF4-4327-98A7-39D44A911DB1}</author>
    <author>tc={920CCB50-0E12-47EB-AECD-D1B6908B3781}</author>
  </authors>
  <commentList>
    <comment ref="F16" authorId="0" shapeId="0" xr:uid="{FEC66625-373C-4D5A-A06D-9284B2AADCEA}">
      <text>
        <t xml:space="preserve">[Threaded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 
Whereas the cash advance fees will be deducted from the total available credit.
</t>
      </text>
    </comment>
    <comment ref="C28" authorId="1" shapeId="0" xr:uid="{92075E43-E0D3-4976-8D1C-BA02AED145C2}">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2" shapeId="0" xr:uid="{55D6CB5A-BFBF-49FE-B94B-F47A029098E7}">
      <text>
        <r>
          <rPr>
            <b/>
            <sz val="9"/>
            <color indexed="81"/>
            <rFont val="Tahoma"/>
            <family val="2"/>
          </rPr>
          <t xml:space="preserve">Aastha Nagpal:
</t>
        </r>
        <r>
          <rPr>
            <sz val="9"/>
            <color indexed="81"/>
            <rFont val="Tahoma"/>
            <family val="2"/>
          </rPr>
          <t>As per the Consumer Credit Card Agreement:</t>
        </r>
        <r>
          <rPr>
            <sz val="9"/>
            <color indexed="81"/>
            <rFont val="Tahoma"/>
            <family val="2"/>
          </rPr>
          <t xml:space="preserve">
</t>
        </r>
        <r>
          <rPr>
            <b/>
            <sz val="9"/>
            <color indexed="81"/>
            <rFont val="Tahoma"/>
            <family val="2"/>
          </rPr>
          <t>How We Apply Your Payments</t>
        </r>
        <r>
          <rPr>
            <sz val="9"/>
            <color indexed="81"/>
            <rFont val="Tahoma"/>
            <family val="2"/>
          </rPr>
          <t xml:space="preserve">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t>
        </r>
      </text>
    </comment>
    <comment ref="K28" authorId="3" shapeId="0" xr:uid="{F4C58777-5F51-482C-BEF6-4C0C824C719E}">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4" shapeId="0" xr:uid="{EB685DE1-DAF4-4327-98A7-39D44A911DB1}">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5" shapeId="0" xr:uid="{920CCB50-0E12-47EB-AECD-D1B6908B3781}">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tc={9AB7E648-C1FC-4EA0-9D41-B4CF396832BD}</author>
    <author>tc={C7B5D7A4-A9DB-47CE-AE2F-2DB915567E92}</author>
    <author>Aastha Nagpal</author>
    <author>tc={3764AF11-9ADF-4B1C-B323-B7526DFF498C}</author>
    <author>tc={B74E22A6-D3FE-43A3-BB50-4BFA7C73EB65}</author>
    <author>tc={9F3894BC-1943-40B6-88AF-3D2EF9150113}</author>
  </authors>
  <commentList>
    <comment ref="F16" authorId="0" shapeId="0" xr:uid="{9AB7E648-C1FC-4EA0-9D41-B4CF396832BD}">
      <text>
        <t xml:space="preserve">[Threaded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 
Whereas the cash advance fees will be deducted from the total available credit.
</t>
      </text>
    </comment>
    <comment ref="C28" authorId="1" shapeId="0" xr:uid="{C7B5D7A4-A9DB-47CE-AE2F-2DB915567E92}">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2" shapeId="0" xr:uid="{BEA1DD38-C80F-4040-BFCC-9D8FB2DB9DA4}">
      <text>
        <r>
          <rPr>
            <b/>
            <sz val="9"/>
            <color indexed="81"/>
            <rFont val="Tahoma"/>
            <family val="2"/>
          </rPr>
          <t xml:space="preserve">Aastha Nagpal:
</t>
        </r>
        <r>
          <rPr>
            <sz val="9"/>
            <color indexed="81"/>
            <rFont val="Tahoma"/>
            <family val="2"/>
          </rPr>
          <t>As per the Consumer Credit Card Agreement:</t>
        </r>
        <r>
          <rPr>
            <sz val="9"/>
            <color indexed="81"/>
            <rFont val="Tahoma"/>
            <family val="2"/>
          </rPr>
          <t xml:space="preserve">
</t>
        </r>
        <r>
          <rPr>
            <b/>
            <sz val="9"/>
            <color indexed="81"/>
            <rFont val="Tahoma"/>
            <family val="2"/>
          </rPr>
          <t>How We Apply Your Payments</t>
        </r>
        <r>
          <rPr>
            <sz val="9"/>
            <color indexed="81"/>
            <rFont val="Tahoma"/>
            <family val="2"/>
          </rPr>
          <t xml:space="preserve">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t>
        </r>
      </text>
    </comment>
    <comment ref="K28" authorId="3" shapeId="0" xr:uid="{3764AF11-9ADF-4B1C-B323-B7526DFF498C}">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4" shapeId="0" xr:uid="{B74E22A6-D3FE-43A3-BB50-4BFA7C73EB65}">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5" shapeId="0" xr:uid="{9F3894BC-1943-40B6-88AF-3D2EF9150113}">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tc={204929E3-3989-46B6-934C-60EC50493070}</author>
    <author>tc={AC24F403-EE2F-43B5-B835-D02E07B6664B}</author>
    <author>Aastha Nagpal</author>
    <author>tc={9343A9DF-9714-4A44-888A-BC4EE5868084}</author>
    <author>tc={8398D22F-8D55-418A-B495-25A8496423E0}</author>
    <author>tc={9B927EB4-094F-4502-83D7-80E72B24D00A}</author>
  </authors>
  <commentList>
    <comment ref="F16" authorId="0" shapeId="0" xr:uid="{204929E3-3989-46B6-934C-60EC50493070}">
      <text>
        <t xml:space="preserve">[Threaded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 
Whereas the cash advance fees will be deducted from the total available credit.
</t>
      </text>
    </comment>
    <comment ref="C28" authorId="1" shapeId="0" xr:uid="{AC24F403-EE2F-43B5-B835-D02E07B6664B}">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2" shapeId="0" xr:uid="{EAAE099D-B468-48CE-BE24-71479FB95517}">
      <text>
        <r>
          <rPr>
            <b/>
            <sz val="9"/>
            <color indexed="81"/>
            <rFont val="Tahoma"/>
            <family val="2"/>
          </rPr>
          <t xml:space="preserve">Aastha Nagpal:
</t>
        </r>
        <r>
          <rPr>
            <sz val="9"/>
            <color indexed="81"/>
            <rFont val="Tahoma"/>
            <family val="2"/>
          </rPr>
          <t>As per the Consumer Credit Card Agreement:</t>
        </r>
        <r>
          <rPr>
            <sz val="9"/>
            <color indexed="81"/>
            <rFont val="Tahoma"/>
            <family val="2"/>
          </rPr>
          <t xml:space="preserve">
</t>
        </r>
        <r>
          <rPr>
            <b/>
            <sz val="9"/>
            <color indexed="81"/>
            <rFont val="Tahoma"/>
            <family val="2"/>
          </rPr>
          <t>How We Apply Your Payments</t>
        </r>
        <r>
          <rPr>
            <sz val="9"/>
            <color indexed="81"/>
            <rFont val="Tahoma"/>
            <family val="2"/>
          </rPr>
          <t xml:space="preserve">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t>
        </r>
      </text>
    </comment>
    <comment ref="K28" authorId="3" shapeId="0" xr:uid="{9343A9DF-9714-4A44-888A-BC4EE5868084}">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4" shapeId="0" xr:uid="{8398D22F-8D55-418A-B495-25A8496423E0}">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5" shapeId="0" xr:uid="{9B927EB4-094F-4502-83D7-80E72B24D00A}">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tc={474EB0FC-18D9-47FE-83D2-CA8CA2416CC8}</author>
    <author>tc={0CD447F8-2662-4A38-8BDE-B44E57127408}</author>
    <author>Aastha Nagpal</author>
    <author>tc={412216D1-1B7B-473D-BBB1-B1DDAC5AB9C0}</author>
    <author>tc={EB7D7686-839F-4E77-A1F0-D040DDF1CEB9}</author>
    <author>tc={20CD2B91-2249-4D2F-8957-5A2688EE61FF}</author>
  </authors>
  <commentList>
    <comment ref="F16" authorId="0" shapeId="0" xr:uid="{474EB0FC-18D9-47FE-83D2-CA8CA2416CC8}">
      <text>
        <t xml:space="preserve">[Threaded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 
Whereas the cash advance fees will be deducted from the total available credit.
</t>
      </text>
    </comment>
    <comment ref="C28" authorId="1" shapeId="0" xr:uid="{0CD447F8-2662-4A38-8BDE-B44E57127408}">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2" shapeId="0" xr:uid="{75F2334A-8187-41B8-83A5-E2C53124A3DF}">
      <text>
        <r>
          <rPr>
            <b/>
            <sz val="9"/>
            <color indexed="81"/>
            <rFont val="Tahoma"/>
            <family val="2"/>
          </rPr>
          <t xml:space="preserve">Aastha Nagpal:
</t>
        </r>
        <r>
          <rPr>
            <sz val="9"/>
            <color indexed="81"/>
            <rFont val="Tahoma"/>
            <family val="2"/>
          </rPr>
          <t>As per the Consumer Credit Card Agreement:</t>
        </r>
        <r>
          <rPr>
            <sz val="9"/>
            <color indexed="81"/>
            <rFont val="Tahoma"/>
            <family val="2"/>
          </rPr>
          <t xml:space="preserve">
</t>
        </r>
        <r>
          <rPr>
            <b/>
            <sz val="9"/>
            <color indexed="81"/>
            <rFont val="Tahoma"/>
            <family val="2"/>
          </rPr>
          <t>How We Apply Your Payments</t>
        </r>
        <r>
          <rPr>
            <sz val="9"/>
            <color indexed="81"/>
            <rFont val="Tahoma"/>
            <family val="2"/>
          </rPr>
          <t xml:space="preserve">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t>
        </r>
      </text>
    </comment>
    <comment ref="K28" authorId="3" shapeId="0" xr:uid="{412216D1-1B7B-473D-BBB1-B1DDAC5AB9C0}">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4" shapeId="0" xr:uid="{EB7D7686-839F-4E77-A1F0-D040DDF1CEB9}">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5" shapeId="0" xr:uid="{20CD2B91-2249-4D2F-8957-5A2688EE61FF}">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B249D82-470B-48AB-9B2E-4ED25EED5ACA}" keepAlive="1" name="Query - stmt (5)" description="Connection to the 'stmt (5)' query in the workbook." type="5" refreshedVersion="8" background="1" saveData="1">
    <dbPr connection="Provider=Microsoft.Mashup.OleDb.1;Data Source=$Workbook$;Location=&quot;stmt (5)&quot;;Extended Properties=&quot;&quot;" command="SELECT * FROM [stmt (5)]"/>
  </connection>
</connections>
</file>

<file path=xl/sharedStrings.xml><?xml version="1.0" encoding="utf-8"?>
<sst xmlns="http://schemas.openxmlformats.org/spreadsheetml/2006/main" count="488" uniqueCount="76">
  <si>
    <t>Statement Closing Date</t>
  </si>
  <si>
    <t>Grace Days</t>
  </si>
  <si>
    <t>Days in Billing Cycle</t>
  </si>
  <si>
    <t>Current Billing/Statement Cycle Start Date</t>
  </si>
  <si>
    <t>Days in Current Billing/Statement Cycle</t>
  </si>
  <si>
    <t>Previous Billing/Statement Cycle Start Date</t>
  </si>
  <si>
    <t>Days in Previous Billing/Statement Cycle</t>
  </si>
  <si>
    <t>Previous Due Date</t>
  </si>
  <si>
    <t>Previous Billing/Statement Cycle End Date</t>
  </si>
  <si>
    <t>Current Billing/Statement Cycle End Date</t>
  </si>
  <si>
    <t>Payments and Other Credits</t>
  </si>
  <si>
    <t>Accrued Interest(Cash Advances)</t>
  </si>
  <si>
    <t>Last Billing/Statement Cycle Start Date</t>
  </si>
  <si>
    <t>Last Billing/Statement Cycle End Date</t>
  </si>
  <si>
    <t>Days in Last Billing/Statement Cycle</t>
  </si>
  <si>
    <t>Last Due Date</t>
  </si>
  <si>
    <t>Next Due Date</t>
  </si>
  <si>
    <t>APRs</t>
  </si>
  <si>
    <t>Purchases</t>
  </si>
  <si>
    <t>Cash Advances</t>
  </si>
  <si>
    <t>Total Interest Accrued Till Date(Cash Advances)</t>
  </si>
  <si>
    <t>Daily Balance(Cash Advances)</t>
  </si>
  <si>
    <t>Daily Periodic Rates</t>
  </si>
  <si>
    <t>Billing Cycle</t>
  </si>
  <si>
    <t>Statement Generation Date</t>
  </si>
  <si>
    <t>Previous Balance</t>
  </si>
  <si>
    <t>Purchases and Adjustments</t>
  </si>
  <si>
    <t>Bank Cash Advances</t>
  </si>
  <si>
    <t>Fees Charged</t>
  </si>
  <si>
    <t>Interest Charged</t>
  </si>
  <si>
    <t>New Balance Total</t>
  </si>
  <si>
    <t>Total Credit Line</t>
  </si>
  <si>
    <t>Total Credit Available</t>
  </si>
  <si>
    <t>Cash Credit Line</t>
  </si>
  <si>
    <t>Portion of Credit Available
for Cash</t>
  </si>
  <si>
    <t>Fees (considered as Purchases)</t>
  </si>
  <si>
    <t>Fees (considered as Cash Advance)</t>
  </si>
  <si>
    <t>Fees Charged(considered as Purchases)</t>
  </si>
  <si>
    <t>Fees Charged(considered as Cash Advance)</t>
  </si>
  <si>
    <t>Cash Advance</t>
  </si>
  <si>
    <t>Fees Breakup</t>
  </si>
  <si>
    <t>Payments and Other Credits Breakup</t>
  </si>
  <si>
    <t>Towards Purchases</t>
  </si>
  <si>
    <t>Towards Cash Advance</t>
  </si>
  <si>
    <t>Interest Charges Breakup</t>
  </si>
  <si>
    <t>Towards Purchases(if at all applicable)</t>
  </si>
  <si>
    <t>Payments and Other Credits(Towards Cash Advance)</t>
  </si>
  <si>
    <t>PURCHASES</t>
  </si>
  <si>
    <t>CASH ADVANCES</t>
  </si>
  <si>
    <t>TOTALS</t>
  </si>
  <si>
    <t>Current Statement Details</t>
  </si>
  <si>
    <t>Previous Balance Breakup</t>
  </si>
  <si>
    <t>Date of the Transaction (Authorization Date)</t>
  </si>
  <si>
    <t>Date the Transaction is processed (Settlement Date)</t>
  </si>
  <si>
    <t>Running Balance(Purchases)</t>
  </si>
  <si>
    <t>Running Balance(Cash Advances)</t>
  </si>
  <si>
    <t>Minimum Due</t>
  </si>
  <si>
    <t>Credit Card Payments</t>
  </si>
  <si>
    <t>Daily Balance (Previous Cycle Purchases)</t>
  </si>
  <si>
    <t>Accrued Interest(Previous Cycle Purchases)</t>
  </si>
  <si>
    <t>Total Interest Accrued Till Date(Previous Cycle Purchases)</t>
  </si>
  <si>
    <t>Daily Balance (Current Cycle Purchases)</t>
  </si>
  <si>
    <t>Accrued Interest(Current Cycle Purchases)</t>
  </si>
  <si>
    <t>Total Interest Accrued Till Date(Current Cycle Purchases)</t>
  </si>
  <si>
    <t>Intt Charge(Cash Adv)</t>
  </si>
  <si>
    <t>ADB(Cash Adv)</t>
  </si>
  <si>
    <t>Payments and Other Credits(Towards Previous Balance Purchases)</t>
  </si>
  <si>
    <t>Payments and Other Credits(Towards Minimum Due)</t>
  </si>
  <si>
    <t>Payments and Other Credits(Towards Current Balance Purchases)</t>
  </si>
  <si>
    <t>ADB(Current Cycle Purchases)</t>
  </si>
  <si>
    <t>Intt Charge(Current Cycle Purchases)</t>
  </si>
  <si>
    <t>ADB(Prev Cycle Purchases)</t>
  </si>
  <si>
    <t>Intt Charge(Prev Cycle Purchases)</t>
  </si>
  <si>
    <r>
      <rPr>
        <b/>
        <u/>
        <sz val="11"/>
        <color theme="1"/>
        <rFont val="Calibri"/>
        <family val="2"/>
        <scheme val="minor"/>
      </rPr>
      <t>Important Note:</t>
    </r>
    <r>
      <rPr>
        <sz val="11"/>
        <color theme="1"/>
        <rFont val="Calibri"/>
        <family val="2"/>
        <scheme val="minor"/>
      </rPr>
      <t xml:space="preserve"> Any Excess Payment made will be stored in excess payment bucket. It is not being handled in this sheet.</t>
    </r>
  </si>
  <si>
    <t xml:space="preserve">Interest calculated as per excel </t>
  </si>
  <si>
    <t xml:space="preserve">Interest posted as per system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</si>
</sst>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5C]#,##0.00"/>
    <numFmt numFmtId="165" formatCode="[$-F800]dddd\,\ mmmm\ dd\,\ yyyy"/>
    <numFmt numFmtId="166" formatCode="0.0000000%"/>
    <numFmt numFmtId="167" formatCode="#,##0.0000000000"/>
  </numFmts>
  <fonts count="9" x14ac:knownFonts="1">
    <font>
      <sz val="11"/>
      <color theme="1"/>
      <name val="Calibri"/>
      <family val="2"/>
      <scheme val="minor"/>
    </font>
    <font>
      <b/>
      <sz val="11"/>
      <color theme="1"/>
      <name val="Calibri"/>
      <family val="2"/>
      <scheme val="minor"/>
    </font>
    <font>
      <b/>
      <sz val="11"/>
      <color theme="4" tint="-0.249977111117893"/>
      <name val="Calibri"/>
      <family val="2"/>
      <scheme val="minor"/>
    </font>
    <font>
      <sz val="9"/>
      <color indexed="81"/>
      <name val="Tahoma"/>
      <family val="2"/>
    </font>
    <font>
      <b/>
      <sz val="9"/>
      <color indexed="81"/>
      <name val="Tahoma"/>
      <family val="2"/>
    </font>
    <font>
      <b/>
      <u/>
      <sz val="11"/>
      <color theme="1"/>
      <name val="Calibri"/>
      <family val="2"/>
      <scheme val="minor"/>
    </font>
    <font>
      <sz val="7"/>
      <color rgb="FF212529"/>
      <name val="Arial"/>
      <family val="2"/>
    </font>
    <font>
      <sz val="11"/>
      <color rgb="FFFF0000"/>
      <name val="Calibri"/>
      <family val="2"/>
      <scheme val="minor"/>
    </font>
    <font>
      <b/>
      <sz val="11"/>
      <color rgb="FFFF0000"/>
      <name val="Calibri"/>
      <family val="2"/>
      <scheme val="minor"/>
    </font>
  </fonts>
  <fills count="17">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rgb="FF92D050"/>
        <bgColor indexed="64"/>
      </patternFill>
    </fill>
    <fill>
      <patternFill patternType="solid">
        <fgColor theme="6" tint="0.39997558519241921"/>
        <bgColor indexed="64"/>
      </patternFill>
    </fill>
    <fill>
      <patternFill patternType="solid">
        <fgColor theme="2"/>
        <bgColor indexed="64"/>
      </patternFill>
    </fill>
    <fill>
      <patternFill patternType="solid">
        <fgColor theme="8"/>
        <bgColor indexed="64"/>
      </patternFill>
    </fill>
    <fill>
      <patternFill patternType="solid">
        <fgColor rgb="FFFC9AF5"/>
        <bgColor indexed="64"/>
      </patternFill>
    </fill>
    <fill>
      <patternFill patternType="solid">
        <fgColor rgb="FFFF0000"/>
        <bgColor indexed="64"/>
      </patternFill>
    </fill>
    <fill>
      <patternFill patternType="solid">
        <fgColor theme="0"/>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bottom style="thin">
        <color rgb="FF000000"/>
      </bottom>
      <diagonal/>
    </border>
    <border>
      <left style="medium">
        <color indexed="64"/>
      </left>
      <right style="thin">
        <color rgb="FF000000"/>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rgb="FF000000"/>
      </left>
      <right style="thin">
        <color rgb="FF000000"/>
      </right>
      <top/>
      <bottom style="medium">
        <color indexed="64"/>
      </bottom>
      <diagonal/>
    </border>
    <border>
      <left style="thin">
        <color rgb="FF000000"/>
      </left>
      <right style="medium">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rgb="FF000000"/>
      </right>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s>
  <cellStyleXfs count="1">
    <xf numFmtId="0" fontId="0" fillId="0" borderId="0"/>
  </cellStyleXfs>
  <cellXfs count="128">
    <xf numFmtId="0" fontId="0" fillId="0" borderId="0" xfId="0"/>
    <xf numFmtId="0" fontId="0" fillId="0" borderId="0" xfId="0" applyAlignment="1">
      <alignment wrapText="1"/>
    </xf>
    <xf numFmtId="164" fontId="0" fillId="0" borderId="0" xfId="0" applyNumberFormat="1" applyAlignment="1">
      <alignment wrapText="1"/>
    </xf>
    <xf numFmtId="165" fontId="0" fillId="0" borderId="0" xfId="0" applyNumberFormat="1"/>
    <xf numFmtId="0" fontId="0" fillId="0" borderId="7" xfId="0" applyBorder="1" applyAlignment="1">
      <alignment wrapText="1"/>
    </xf>
    <xf numFmtId="167" fontId="0" fillId="0" borderId="0" xfId="0" applyNumberFormat="1"/>
    <xf numFmtId="164" fontId="0" fillId="0" borderId="8" xfId="0" applyNumberFormat="1" applyBorder="1" applyAlignment="1">
      <alignment wrapText="1"/>
    </xf>
    <xf numFmtId="0" fontId="0" fillId="2" borderId="7" xfId="0" applyFill="1" applyBorder="1" applyAlignment="1">
      <alignment wrapText="1"/>
    </xf>
    <xf numFmtId="164" fontId="0" fillId="2" borderId="8" xfId="0" applyNumberFormat="1" applyFill="1" applyBorder="1" applyAlignment="1">
      <alignment wrapText="1"/>
    </xf>
    <xf numFmtId="10" fontId="0" fillId="0" borderId="0" xfId="0" applyNumberFormat="1" applyAlignment="1">
      <alignment wrapText="1"/>
    </xf>
    <xf numFmtId="166" fontId="0" fillId="0" borderId="0" xfId="0" applyNumberFormat="1" applyAlignment="1">
      <alignment wrapText="1"/>
    </xf>
    <xf numFmtId="0" fontId="1" fillId="0" borderId="0" xfId="0" applyFont="1"/>
    <xf numFmtId="164" fontId="0" fillId="2" borderId="2" xfId="0" applyNumberFormat="1" applyFill="1" applyBorder="1"/>
    <xf numFmtId="164" fontId="0" fillId="2" borderId="1" xfId="0" applyNumberFormat="1" applyFill="1" applyBorder="1"/>
    <xf numFmtId="164" fontId="0" fillId="2" borderId="18" xfId="0" applyNumberFormat="1" applyFill="1" applyBorder="1"/>
    <xf numFmtId="164" fontId="0" fillId="3" borderId="2" xfId="0" applyNumberFormat="1" applyFill="1" applyBorder="1"/>
    <xf numFmtId="164" fontId="0" fillId="3" borderId="10" xfId="0" applyNumberFormat="1" applyFill="1" applyBorder="1"/>
    <xf numFmtId="164" fontId="0" fillId="3" borderId="1" xfId="0" applyNumberFormat="1" applyFill="1" applyBorder="1"/>
    <xf numFmtId="164" fontId="0" fillId="3" borderId="8" xfId="0" applyNumberFormat="1" applyFill="1" applyBorder="1"/>
    <xf numFmtId="164" fontId="0" fillId="3" borderId="18" xfId="0" applyNumberFormat="1" applyFill="1" applyBorder="1"/>
    <xf numFmtId="164" fontId="1" fillId="4" borderId="21" xfId="0" applyNumberFormat="1" applyFont="1" applyFill="1" applyBorder="1" applyAlignment="1">
      <alignment wrapText="1"/>
    </xf>
    <xf numFmtId="164" fontId="1" fillId="4" borderId="21" xfId="0" applyNumberFormat="1" applyFont="1" applyFill="1" applyBorder="1"/>
    <xf numFmtId="164" fontId="1" fillId="5" borderId="21" xfId="0" applyNumberFormat="1" applyFont="1" applyFill="1" applyBorder="1"/>
    <xf numFmtId="164" fontId="1" fillId="5" borderId="12" xfId="0" applyNumberFormat="1" applyFont="1" applyFill="1" applyBorder="1"/>
    <xf numFmtId="0" fontId="1" fillId="2" borderId="22" xfId="0" applyFont="1" applyFill="1" applyBorder="1" applyAlignment="1">
      <alignment horizontal="center" wrapText="1"/>
    </xf>
    <xf numFmtId="0" fontId="1" fillId="3" borderId="22" xfId="0" applyFont="1" applyFill="1" applyBorder="1" applyAlignment="1">
      <alignment horizontal="center" wrapText="1"/>
    </xf>
    <xf numFmtId="0" fontId="1" fillId="3" borderId="23" xfId="0" applyFont="1" applyFill="1" applyBorder="1" applyAlignment="1">
      <alignment horizontal="center" wrapText="1"/>
    </xf>
    <xf numFmtId="0" fontId="1" fillId="6" borderId="3" xfId="0" applyFont="1" applyFill="1" applyBorder="1"/>
    <xf numFmtId="0" fontId="1" fillId="6" borderId="13" xfId="0" applyFont="1" applyFill="1" applyBorder="1"/>
    <xf numFmtId="0" fontId="0" fillId="6" borderId="3" xfId="0" applyFill="1" applyBorder="1"/>
    <xf numFmtId="0" fontId="0" fillId="6" borderId="7" xfId="0" applyFill="1" applyBorder="1"/>
    <xf numFmtId="0" fontId="0" fillId="6" borderId="5" xfId="0" applyFill="1" applyBorder="1"/>
    <xf numFmtId="0" fontId="0" fillId="7" borderId="7" xfId="0" applyFill="1" applyBorder="1" applyAlignment="1">
      <alignment wrapText="1"/>
    </xf>
    <xf numFmtId="164" fontId="0" fillId="7" borderId="8" xfId="0" applyNumberFormat="1" applyFill="1" applyBorder="1" applyAlignment="1">
      <alignment wrapText="1"/>
    </xf>
    <xf numFmtId="0" fontId="0" fillId="8" borderId="7" xfId="0" applyFill="1" applyBorder="1" applyAlignment="1">
      <alignment wrapText="1"/>
    </xf>
    <xf numFmtId="164" fontId="0" fillId="8" borderId="8" xfId="0" applyNumberFormat="1" applyFill="1" applyBorder="1" applyAlignment="1">
      <alignment wrapText="1"/>
    </xf>
    <xf numFmtId="164" fontId="1" fillId="6" borderId="4" xfId="0" applyNumberFormat="1" applyFont="1" applyFill="1" applyBorder="1" applyAlignment="1">
      <alignment wrapText="1"/>
    </xf>
    <xf numFmtId="0" fontId="1" fillId="6" borderId="14" xfId="0" applyFont="1" applyFill="1" applyBorder="1"/>
    <xf numFmtId="165" fontId="0" fillId="6" borderId="4" xfId="0" applyNumberFormat="1" applyFill="1" applyBorder="1"/>
    <xf numFmtId="165" fontId="0" fillId="6" borderId="8" xfId="0" applyNumberFormat="1" applyFill="1" applyBorder="1"/>
    <xf numFmtId="0" fontId="0" fillId="6" borderId="8" xfId="0" applyFill="1" applyBorder="1"/>
    <xf numFmtId="165" fontId="0" fillId="6" borderId="6" xfId="0" applyNumberFormat="1" applyFill="1" applyBorder="1"/>
    <xf numFmtId="0" fontId="0" fillId="6" borderId="7" xfId="0" applyFill="1" applyBorder="1" applyAlignment="1">
      <alignment wrapText="1"/>
    </xf>
    <xf numFmtId="0" fontId="0" fillId="6" borderId="5" xfId="0" applyFill="1" applyBorder="1" applyAlignment="1">
      <alignment wrapText="1"/>
    </xf>
    <xf numFmtId="0" fontId="0" fillId="6" borderId="6" xfId="0" applyFill="1" applyBorder="1"/>
    <xf numFmtId="0" fontId="0" fillId="6" borderId="9" xfId="0" applyFill="1" applyBorder="1"/>
    <xf numFmtId="165" fontId="0" fillId="6" borderId="10" xfId="0" applyNumberFormat="1" applyFill="1" applyBorder="1"/>
    <xf numFmtId="165" fontId="0" fillId="6" borderId="16" xfId="0" applyNumberFormat="1" applyFill="1" applyBorder="1"/>
    <xf numFmtId="165" fontId="0" fillId="6" borderId="15" xfId="0" applyNumberFormat="1" applyFill="1" applyBorder="1"/>
    <xf numFmtId="0" fontId="0" fillId="3" borderId="5" xfId="0" applyFill="1" applyBorder="1" applyAlignment="1">
      <alignment wrapText="1"/>
    </xf>
    <xf numFmtId="164" fontId="0" fillId="3" borderId="6" xfId="0" applyNumberFormat="1" applyFill="1" applyBorder="1" applyAlignment="1">
      <alignment wrapText="1"/>
    </xf>
    <xf numFmtId="0" fontId="0" fillId="10" borderId="7" xfId="0" applyFill="1" applyBorder="1" applyAlignment="1">
      <alignment wrapText="1"/>
    </xf>
    <xf numFmtId="164" fontId="0" fillId="10" borderId="8" xfId="0" applyNumberFormat="1" applyFill="1" applyBorder="1" applyAlignment="1">
      <alignment wrapText="1"/>
    </xf>
    <xf numFmtId="0" fontId="0" fillId="11" borderId="7" xfId="0" applyFill="1" applyBorder="1" applyAlignment="1">
      <alignment wrapText="1"/>
    </xf>
    <xf numFmtId="164" fontId="0" fillId="11" borderId="8" xfId="0" applyNumberFormat="1" applyFill="1" applyBorder="1" applyAlignment="1">
      <alignment wrapText="1"/>
    </xf>
    <xf numFmtId="0" fontId="2" fillId="9" borderId="7" xfId="0" applyFont="1" applyFill="1" applyBorder="1" applyAlignment="1">
      <alignment wrapText="1"/>
    </xf>
    <xf numFmtId="164" fontId="2" fillId="9" borderId="8" xfId="0" applyNumberFormat="1" applyFont="1" applyFill="1" applyBorder="1" applyAlignment="1">
      <alignment wrapText="1"/>
    </xf>
    <xf numFmtId="10" fontId="0" fillId="2" borderId="8" xfId="0" applyNumberFormat="1" applyFill="1" applyBorder="1" applyAlignment="1">
      <alignment wrapText="1"/>
    </xf>
    <xf numFmtId="10" fontId="0" fillId="3" borderId="6" xfId="0" applyNumberFormat="1" applyFill="1" applyBorder="1" applyAlignment="1">
      <alignment wrapText="1"/>
    </xf>
    <xf numFmtId="166" fontId="0" fillId="2" borderId="8" xfId="0" applyNumberFormat="1" applyFill="1" applyBorder="1" applyAlignment="1">
      <alignment wrapText="1"/>
    </xf>
    <xf numFmtId="166" fontId="0" fillId="3" borderId="6" xfId="0" applyNumberFormat="1" applyFill="1" applyBorder="1" applyAlignment="1">
      <alignment wrapText="1"/>
    </xf>
    <xf numFmtId="164" fontId="0" fillId="0" borderId="0" xfId="0" applyNumberFormat="1"/>
    <xf numFmtId="164" fontId="0" fillId="13" borderId="8" xfId="0" applyNumberFormat="1" applyFill="1" applyBorder="1" applyAlignment="1">
      <alignment wrapText="1"/>
    </xf>
    <xf numFmtId="0" fontId="1" fillId="14" borderId="11" xfId="0" applyFont="1" applyFill="1" applyBorder="1" applyAlignment="1">
      <alignment wrapText="1"/>
    </xf>
    <xf numFmtId="164" fontId="1" fillId="14" borderId="12" xfId="0" applyNumberFormat="1" applyFont="1" applyFill="1" applyBorder="1" applyAlignment="1">
      <alignment wrapText="1"/>
    </xf>
    <xf numFmtId="165" fontId="1" fillId="7" borderId="17" xfId="0" applyNumberFormat="1" applyFont="1" applyFill="1" applyBorder="1" applyAlignment="1">
      <alignment horizontal="center" wrapText="1"/>
    </xf>
    <xf numFmtId="0" fontId="1" fillId="7" borderId="22" xfId="0" applyFont="1" applyFill="1" applyBorder="1" applyAlignment="1">
      <alignment horizontal="center" wrapText="1"/>
    </xf>
    <xf numFmtId="164" fontId="1" fillId="7" borderId="25" xfId="0" applyNumberFormat="1" applyFont="1" applyFill="1" applyBorder="1" applyAlignment="1">
      <alignment horizontal="right" wrapText="1"/>
    </xf>
    <xf numFmtId="165" fontId="1" fillId="6" borderId="28" xfId="0" applyNumberFormat="1" applyFont="1" applyFill="1" applyBorder="1" applyAlignment="1">
      <alignment horizontal="center" wrapText="1"/>
    </xf>
    <xf numFmtId="165" fontId="1" fillId="7" borderId="28" xfId="0" applyNumberFormat="1" applyFont="1" applyFill="1" applyBorder="1" applyAlignment="1">
      <alignment horizontal="center" wrapText="1"/>
    </xf>
    <xf numFmtId="165" fontId="1" fillId="6" borderId="11" xfId="0" applyNumberFormat="1" applyFont="1" applyFill="1" applyBorder="1" applyAlignment="1">
      <alignment horizontal="center" wrapText="1"/>
    </xf>
    <xf numFmtId="165" fontId="1" fillId="6" borderId="21" xfId="0" applyNumberFormat="1" applyFont="1" applyFill="1" applyBorder="1" applyAlignment="1">
      <alignment horizontal="center" wrapText="1"/>
    </xf>
    <xf numFmtId="0" fontId="0" fillId="2" borderId="9" xfId="0" applyFill="1" applyBorder="1" applyAlignment="1">
      <alignment wrapText="1"/>
    </xf>
    <xf numFmtId="164" fontId="0" fillId="2" borderId="10" xfId="0" applyNumberFormat="1" applyFill="1" applyBorder="1" applyAlignment="1">
      <alignment wrapText="1"/>
    </xf>
    <xf numFmtId="164" fontId="0" fillId="4" borderId="21" xfId="0" applyNumberFormat="1" applyFill="1" applyBorder="1"/>
    <xf numFmtId="164" fontId="0" fillId="7" borderId="32" xfId="0" applyNumberFormat="1" applyFill="1" applyBorder="1" applyAlignment="1">
      <alignment wrapText="1"/>
    </xf>
    <xf numFmtId="164" fontId="1" fillId="7" borderId="34" xfId="0" applyNumberFormat="1" applyFont="1" applyFill="1" applyBorder="1" applyAlignment="1">
      <alignment horizontal="right" wrapText="1"/>
    </xf>
    <xf numFmtId="164" fontId="1" fillId="4" borderId="34" xfId="0" applyNumberFormat="1" applyFont="1" applyFill="1" applyBorder="1"/>
    <xf numFmtId="164" fontId="1" fillId="5" borderId="34" xfId="0" applyNumberFormat="1" applyFont="1" applyFill="1" applyBorder="1"/>
    <xf numFmtId="164" fontId="1" fillId="4" borderId="34" xfId="0" applyNumberFormat="1" applyFont="1" applyFill="1" applyBorder="1" applyAlignment="1">
      <alignment wrapText="1"/>
    </xf>
    <xf numFmtId="164" fontId="1" fillId="5" borderId="6" xfId="0" applyNumberFormat="1" applyFont="1" applyFill="1" applyBorder="1"/>
    <xf numFmtId="164" fontId="1" fillId="6" borderId="5" xfId="0" applyNumberFormat="1" applyFont="1" applyFill="1" applyBorder="1" applyAlignment="1">
      <alignment horizontal="right" wrapText="1"/>
    </xf>
    <xf numFmtId="164" fontId="1" fillId="9" borderId="21" xfId="0" applyNumberFormat="1" applyFont="1" applyFill="1" applyBorder="1"/>
    <xf numFmtId="164" fontId="1" fillId="9" borderId="33" xfId="0" applyNumberFormat="1" applyFont="1" applyFill="1" applyBorder="1"/>
    <xf numFmtId="165" fontId="0" fillId="9" borderId="16" xfId="0" applyNumberFormat="1" applyFill="1" applyBorder="1"/>
    <xf numFmtId="165" fontId="0" fillId="9" borderId="15" xfId="0" applyNumberFormat="1" applyFill="1" applyBorder="1"/>
    <xf numFmtId="164" fontId="0" fillId="9" borderId="8" xfId="0" applyNumberFormat="1" applyFill="1" applyBorder="1" applyAlignment="1">
      <alignment wrapText="1"/>
    </xf>
    <xf numFmtId="164" fontId="0" fillId="9" borderId="1" xfId="0" applyNumberFormat="1" applyFill="1" applyBorder="1"/>
    <xf numFmtId="164" fontId="0" fillId="9" borderId="8" xfId="0" applyNumberFormat="1" applyFill="1" applyBorder="1"/>
    <xf numFmtId="164" fontId="0" fillId="9" borderId="10" xfId="0" applyNumberFormat="1" applyFill="1" applyBorder="1"/>
    <xf numFmtId="0" fontId="0" fillId="9" borderId="0" xfId="0" applyFill="1"/>
    <xf numFmtId="4" fontId="6" fillId="0" borderId="0" xfId="0" applyNumberFormat="1" applyFont="1"/>
    <xf numFmtId="164" fontId="0" fillId="9" borderId="18" xfId="0" applyNumberFormat="1" applyFill="1" applyBorder="1"/>
    <xf numFmtId="165" fontId="0" fillId="16" borderId="16" xfId="0" applyNumberFormat="1" applyFill="1" applyBorder="1"/>
    <xf numFmtId="165" fontId="0" fillId="16" borderId="15" xfId="0" applyNumberFormat="1" applyFill="1" applyBorder="1"/>
    <xf numFmtId="164" fontId="0" fillId="16" borderId="8" xfId="0" applyNumberFormat="1" applyFill="1" applyBorder="1" applyAlignment="1">
      <alignment wrapText="1"/>
    </xf>
    <xf numFmtId="164" fontId="0" fillId="16" borderId="1" xfId="0" applyNumberFormat="1" applyFill="1" applyBorder="1"/>
    <xf numFmtId="164" fontId="0" fillId="16" borderId="8" xfId="0" applyNumberFormat="1" applyFill="1" applyBorder="1"/>
    <xf numFmtId="164" fontId="0" fillId="16" borderId="10" xfId="0" applyNumberFormat="1" applyFill="1" applyBorder="1"/>
    <xf numFmtId="0" fontId="0" fillId="16" borderId="0" xfId="0" applyFill="1"/>
    <xf numFmtId="164" fontId="8" fillId="9" borderId="1" xfId="0" applyNumberFormat="1" applyFont="1" applyFill="1" applyBorder="1"/>
    <xf numFmtId="164" fontId="7" fillId="9" borderId="0" xfId="0" applyNumberFormat="1" applyFont="1" applyFill="1"/>
    <xf numFmtId="0" fontId="7" fillId="9" borderId="0" xfId="0" applyFont="1" applyFill="1"/>
    <xf numFmtId="0" fontId="1" fillId="6" borderId="19" xfId="0" applyFont="1" applyFill="1" applyBorder="1" applyAlignment="1">
      <alignment horizontal="center"/>
    </xf>
    <xf numFmtId="0" fontId="1" fillId="6" borderId="20" xfId="0" applyFont="1" applyFill="1" applyBorder="1" applyAlignment="1">
      <alignment horizontal="center"/>
    </xf>
    <xf numFmtId="165" fontId="1" fillId="7" borderId="29" xfId="0" applyNumberFormat="1" applyFont="1" applyFill="1" applyBorder="1" applyAlignment="1">
      <alignment horizontal="center" wrapText="1"/>
    </xf>
    <xf numFmtId="165" fontId="1" fillId="7" borderId="26" xfId="0" applyNumberFormat="1" applyFont="1" applyFill="1" applyBorder="1" applyAlignment="1">
      <alignment horizontal="center" wrapText="1"/>
    </xf>
    <xf numFmtId="165" fontId="1" fillId="7" borderId="25" xfId="0" applyNumberFormat="1" applyFont="1" applyFill="1" applyBorder="1" applyAlignment="1">
      <alignment horizontal="center" wrapText="1"/>
    </xf>
    <xf numFmtId="164" fontId="1" fillId="5" borderId="29" xfId="0" applyNumberFormat="1" applyFont="1" applyFill="1" applyBorder="1" applyAlignment="1">
      <alignment horizontal="center" wrapText="1"/>
    </xf>
    <xf numFmtId="164" fontId="1" fillId="5" borderId="26" xfId="0" applyNumberFormat="1" applyFont="1" applyFill="1" applyBorder="1" applyAlignment="1">
      <alignment horizontal="center" wrapText="1"/>
    </xf>
    <xf numFmtId="164" fontId="1" fillId="5" borderId="27" xfId="0" applyNumberFormat="1" applyFont="1" applyFill="1" applyBorder="1" applyAlignment="1">
      <alignment horizontal="center" wrapText="1"/>
    </xf>
    <xf numFmtId="164" fontId="1" fillId="4" borderId="29" xfId="0" applyNumberFormat="1" applyFont="1" applyFill="1" applyBorder="1" applyAlignment="1">
      <alignment horizontal="center" wrapText="1"/>
    </xf>
    <xf numFmtId="164" fontId="1" fillId="4" borderId="26" xfId="0" applyNumberFormat="1" applyFont="1" applyFill="1" applyBorder="1" applyAlignment="1">
      <alignment horizontal="center" wrapText="1"/>
    </xf>
    <xf numFmtId="164" fontId="1" fillId="4" borderId="25" xfId="0" applyNumberFormat="1" applyFont="1" applyFill="1" applyBorder="1" applyAlignment="1">
      <alignment horizontal="center" wrapText="1"/>
    </xf>
    <xf numFmtId="0" fontId="0" fillId="15" borderId="30" xfId="0" applyFill="1" applyBorder="1" applyAlignment="1">
      <alignment horizontal="center" wrapText="1"/>
    </xf>
    <xf numFmtId="0" fontId="0" fillId="15" borderId="31" xfId="0" applyFill="1" applyBorder="1" applyAlignment="1">
      <alignment horizontal="center" wrapText="1"/>
    </xf>
    <xf numFmtId="0" fontId="1" fillId="12" borderId="11" xfId="0" applyFont="1" applyFill="1" applyBorder="1" applyAlignment="1">
      <alignment horizontal="center" wrapText="1"/>
    </xf>
    <xf numFmtId="0" fontId="1" fillId="12" borderId="12" xfId="0" applyFont="1" applyFill="1" applyBorder="1" applyAlignment="1">
      <alignment horizontal="center" wrapText="1"/>
    </xf>
    <xf numFmtId="164" fontId="1" fillId="5" borderId="21" xfId="0" applyNumberFormat="1" applyFont="1" applyFill="1" applyBorder="1" applyAlignment="1">
      <alignment horizontal="center" wrapText="1"/>
    </xf>
    <xf numFmtId="164" fontId="1" fillId="5" borderId="12" xfId="0" applyNumberFormat="1" applyFont="1" applyFill="1" applyBorder="1" applyAlignment="1">
      <alignment horizontal="center" wrapText="1"/>
    </xf>
    <xf numFmtId="164" fontId="1" fillId="4" borderId="21" xfId="0" applyNumberFormat="1" applyFont="1" applyFill="1" applyBorder="1" applyAlignment="1">
      <alignment horizontal="center" wrapText="1"/>
    </xf>
    <xf numFmtId="165" fontId="1" fillId="7" borderId="21" xfId="0" applyNumberFormat="1" applyFont="1" applyFill="1" applyBorder="1" applyAlignment="1">
      <alignment horizontal="center" wrapText="1"/>
    </xf>
    <xf numFmtId="164" fontId="1" fillId="6" borderId="24" xfId="0" applyNumberFormat="1" applyFont="1" applyFill="1" applyBorder="1" applyAlignment="1">
      <alignment horizontal="right" wrapText="1"/>
    </xf>
    <xf numFmtId="164" fontId="1" fillId="6" borderId="25" xfId="0" applyNumberFormat="1" applyFont="1" applyFill="1" applyBorder="1" applyAlignment="1">
      <alignment horizontal="right" wrapText="1"/>
    </xf>
    <xf numFmtId="0" fontId="0" fillId="0" borderId="0" xfId="0" applyAlignment="1">
      <alignment horizontal="center"/>
    </xf>
    <xf numFmtId="0" fontId="1" fillId="6" borderId="24" xfId="0" applyFont="1" applyFill="1" applyBorder="1" applyAlignment="1">
      <alignment horizontal="center"/>
    </xf>
    <xf numFmtId="0" fontId="1" fillId="6" borderId="26" xfId="0" applyFont="1" applyFill="1" applyBorder="1" applyAlignment="1">
      <alignment horizontal="center"/>
    </xf>
    <xf numFmtId="0" fontId="1" fillId="6" borderId="27"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FC9A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astha Nagpal" id="{13884071-F85E-4F7C-A131-F978B17F9939}" userId="8f43e16562fc2b1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4" dT="2023-04-20T09:37:20.21" personId="{13884071-F85E-4F7C-A131-F978B17F9939}" id="{2FC40AFA-EE2D-4814-9D50-4A1E5EFD646B}">
    <text>Balance on the Previous Statement</text>
  </threadedComment>
  <threadedComment ref="F16" dT="2023-04-14T12:52:49.56" personId="{13884071-F85E-4F7C-A131-F978B17F9939}" id="{265D95DB-F35D-4FB3-9B3C-4292871D4EF9}">
    <text>For the purpose of available cash limit, only the cash advances and the interest part is being considered and not the cash advance fees.</text>
  </threadedComment>
  <threadedComment ref="C28" dT="2023-05-17T14:43:39.04" personId="{13884071-F85E-4F7C-A131-F978B17F9939}" id="{4765B8E7-2DAE-4636-94EB-58D03E92E3D9}">
    <text>In this implementation, Interest starts getting charged from the date the transaction gets processed i.e. settlement date.</text>
  </threadedComment>
  <threadedComment ref="K28" dT="2023-04-14T13:07:29.04" personId="{13884071-F85E-4F7C-A131-F978B17F9939}" id="{FE437AAB-DEDB-4BBE-8725-9D5A50648006}">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4E4969AA-DA0D-471B-A6E8-9ED228D60CEB}">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50614674-6409-49B0-9923-83BD3DC82966}">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threadedComments/threadedComment2.xml><?xml version="1.0" encoding="utf-8"?>
<ThreadedComments xmlns="http://schemas.microsoft.com/office/spreadsheetml/2018/threadedcomments" xmlns:x="http://schemas.openxmlformats.org/spreadsheetml/2006/main">
  <threadedComment ref="F16" dT="2023-04-14T12:52:49.56" personId="{13884071-F85E-4F7C-A131-F978B17F9939}" id="{DEC17941-ACB0-40BE-B690-1757B9BBF7DB}">
    <text xml:space="preserve">For the purpose of available cash limit, only the cash advances and the interest part is being considered and not the cash advance fees. 
Whereas the cash advance fees will be deducted from the total available credit.
</text>
  </threadedComment>
  <threadedComment ref="C28" dT="2023-05-17T14:43:39.04" personId="{13884071-F85E-4F7C-A131-F978B17F9939}" id="{7069E7EF-BF54-4E6F-85AC-3BB9611B9643}">
    <text>In this implementation, Interest starts getting charged from the date the transaction gets processed i.e. settlement date.</text>
  </threadedComment>
  <threadedComment ref="K28" dT="2023-04-14T13:07:29.04" personId="{13884071-F85E-4F7C-A131-F978B17F9939}" id="{FF4CFB1F-8685-4F1A-9306-A3E743B695F9}">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78E5E8AD-5D5F-4973-B77C-176C5CB2DB6D}">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00826543-4B5D-4F20-ACFB-D5ED7D82603E}">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threadedComments/threadedComment3.xml><?xml version="1.0" encoding="utf-8"?>
<ThreadedComments xmlns="http://schemas.microsoft.com/office/spreadsheetml/2018/threadedcomments" xmlns:x="http://schemas.openxmlformats.org/spreadsheetml/2006/main">
  <threadedComment ref="F16" dT="2023-04-14T12:52:49.56" personId="{13884071-F85E-4F7C-A131-F978B17F9939}" id="{FEC66625-373C-4D5A-A06D-9284B2AADCEA}">
    <text xml:space="preserve">For the purpose of available cash limit, only the cash advances and the interest part is being considered and not the cash advance fees. 
Whereas the cash advance fees will be deducted from the total available credit.
</text>
  </threadedComment>
  <threadedComment ref="C28" dT="2023-05-17T14:43:39.04" personId="{13884071-F85E-4F7C-A131-F978B17F9939}" id="{92075E43-E0D3-4976-8D1C-BA02AED145C2}">
    <text>In this implementation, Interest starts getting charged from the date the transaction gets processed i.e. settlement date.</text>
  </threadedComment>
  <threadedComment ref="K28" dT="2023-04-14T13:07:29.04" personId="{13884071-F85E-4F7C-A131-F978B17F9939}" id="{F4C58777-5F51-482C-BEF6-4C0C824C719E}">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EB685DE1-DAF4-4327-98A7-39D44A911DB1}">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920CCB50-0E12-47EB-AECD-D1B6908B3781}">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threadedComments/threadedComment4.xml><?xml version="1.0" encoding="utf-8"?>
<ThreadedComments xmlns="http://schemas.microsoft.com/office/spreadsheetml/2018/threadedcomments" xmlns:x="http://schemas.openxmlformats.org/spreadsheetml/2006/main">
  <threadedComment ref="F16" dT="2023-04-14T12:52:49.56" personId="{13884071-F85E-4F7C-A131-F978B17F9939}" id="{9AB7E648-C1FC-4EA0-9D41-B4CF396832BD}">
    <text xml:space="preserve">For the purpose of available cash limit, only the cash advances and the interest part is being considered and not the cash advance fees. 
Whereas the cash advance fees will be deducted from the total available credit.
</text>
  </threadedComment>
  <threadedComment ref="C28" dT="2023-05-17T14:43:39.04" personId="{13884071-F85E-4F7C-A131-F978B17F9939}" id="{C7B5D7A4-A9DB-47CE-AE2F-2DB915567E92}">
    <text>In this implementation, Interest starts getting charged from the date the transaction gets processed i.e. settlement date.</text>
  </threadedComment>
  <threadedComment ref="K28" dT="2023-04-14T13:07:29.04" personId="{13884071-F85E-4F7C-A131-F978B17F9939}" id="{3764AF11-9ADF-4B1C-B323-B7526DFF498C}">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B74E22A6-D3FE-43A3-BB50-4BFA7C73EB65}">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9F3894BC-1943-40B6-88AF-3D2EF9150113}">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threadedComments/threadedComment5.xml><?xml version="1.0" encoding="utf-8"?>
<ThreadedComments xmlns="http://schemas.microsoft.com/office/spreadsheetml/2018/threadedcomments" xmlns:x="http://schemas.openxmlformats.org/spreadsheetml/2006/main">
  <threadedComment ref="F16" dT="2023-04-14T12:52:49.56" personId="{13884071-F85E-4F7C-A131-F978B17F9939}" id="{204929E3-3989-46B6-934C-60EC50493070}">
    <text xml:space="preserve">For the purpose of available cash limit, only the cash advances and the interest part is being considered and not the cash advance fees. 
Whereas the cash advance fees will be deducted from the total available credit.
</text>
  </threadedComment>
  <threadedComment ref="C28" dT="2023-05-17T14:43:39.04" personId="{13884071-F85E-4F7C-A131-F978B17F9939}" id="{AC24F403-EE2F-43B5-B835-D02E07B6664B}">
    <text>In this implementation, Interest starts getting charged from the date the transaction gets processed i.e. settlement date.</text>
  </threadedComment>
  <threadedComment ref="K28" dT="2023-04-14T13:07:29.04" personId="{13884071-F85E-4F7C-A131-F978B17F9939}" id="{9343A9DF-9714-4A44-888A-BC4EE5868084}">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8398D22F-8D55-418A-B495-25A8496423E0}">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9B927EB4-094F-4502-83D7-80E72B24D00A}">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threadedComments/threadedComment6.xml><?xml version="1.0" encoding="utf-8"?>
<ThreadedComments xmlns="http://schemas.microsoft.com/office/spreadsheetml/2018/threadedcomments" xmlns:x="http://schemas.openxmlformats.org/spreadsheetml/2006/main">
  <threadedComment ref="F16" dT="2023-04-14T12:52:49.56" personId="{13884071-F85E-4F7C-A131-F978B17F9939}" id="{474EB0FC-18D9-47FE-83D2-CA8CA2416CC8}">
    <text xml:space="preserve">For the purpose of available cash limit, only the cash advances and the interest part is being considered and not the cash advance fees. 
Whereas the cash advance fees will be deducted from the total available credit.
</text>
  </threadedComment>
  <threadedComment ref="C28" dT="2023-05-17T14:43:39.04" personId="{13884071-F85E-4F7C-A131-F978B17F9939}" id="{0CD447F8-2662-4A38-8BDE-B44E57127408}">
    <text>In this implementation, Interest starts getting charged from the date the transaction gets processed i.e. settlement date.</text>
  </threadedComment>
  <threadedComment ref="K28" dT="2023-04-14T13:07:29.04" personId="{13884071-F85E-4F7C-A131-F978B17F9939}" id="{412216D1-1B7B-473D-BBB1-B1DDAC5AB9C0}">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EB7D7686-839F-4E77-A1F0-D040DDF1CEB9}">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20CD2B91-2249-4D2F-8957-5A2688EE61FF}">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 Id="rId4" Type="http://schemas.microsoft.com/office/2017/10/relationships/threadedComment" Target="../threadedComments/threadedComment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 Id="rId4" Type="http://schemas.microsoft.com/office/2017/10/relationships/threadedComment" Target="../threadedComments/threadedComment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4596A-4E6C-463E-9E0E-903D96ED9C45}">
  <dimension ref="B1:Z63"/>
  <sheetViews>
    <sheetView topLeftCell="A15" zoomScale="53" zoomScaleNormal="53" workbookViewId="0">
      <selection activeCell="Y36" sqref="Y36"/>
    </sheetView>
  </sheetViews>
  <sheetFormatPr defaultRowHeight="14.5" x14ac:dyDescent="0.35"/>
  <cols>
    <col min="2" max="2" width="36.6328125" style="1" bestFit="1" customWidth="1"/>
    <col min="3" max="3" width="27.36328125" style="2" customWidth="1"/>
    <col min="4" max="4" width="14.1796875" customWidth="1"/>
    <col min="5" max="5" width="24.453125" bestFit="1" customWidth="1"/>
    <col min="6" max="6" width="22.6328125" customWidth="1"/>
    <col min="7" max="7" width="18.54296875" customWidth="1"/>
    <col min="8" max="8" width="28.90625" style="1" bestFit="1" customWidth="1"/>
    <col min="9" max="9" width="17.54296875" customWidth="1"/>
    <col min="10" max="10" width="18.08984375" customWidth="1"/>
    <col min="11" max="11" width="14.453125" customWidth="1"/>
    <col min="12" max="12" width="10.54296875" bestFit="1" customWidth="1"/>
    <col min="13" max="13" width="32.08984375" bestFit="1" customWidth="1"/>
    <col min="14" max="14" width="19.1796875" bestFit="1" customWidth="1"/>
    <col min="15" max="15" width="10.54296875" bestFit="1" customWidth="1"/>
    <col min="16" max="16" width="13.26953125" bestFit="1" customWidth="1"/>
    <col min="17" max="17" width="11.6328125" bestFit="1" customWidth="1"/>
    <col min="18" max="18" width="9.453125" bestFit="1" customWidth="1"/>
    <col min="19" max="19" width="19.36328125" bestFit="1" customWidth="1"/>
    <col min="20" max="20" width="10.54296875" bestFit="1" customWidth="1"/>
    <col min="21" max="21" width="9.36328125" bestFit="1" customWidth="1"/>
    <col min="22" max="22" width="8.81640625" bestFit="1" customWidth="1"/>
    <col min="23" max="23" width="14.453125" customWidth="1"/>
    <col min="24" max="24" width="9.36328125" bestFit="1" customWidth="1"/>
  </cols>
  <sheetData>
    <row r="1" spans="2:12" ht="15" thickBot="1" x14ac:dyDescent="0.4"/>
    <row r="2" spans="2:12" ht="15" thickBot="1" x14ac:dyDescent="0.4">
      <c r="B2" s="27" t="s">
        <v>23</v>
      </c>
      <c r="C2" s="36"/>
      <c r="E2" s="116" t="s">
        <v>50</v>
      </c>
      <c r="F2" s="117"/>
      <c r="J2" s="1"/>
    </row>
    <row r="3" spans="2:12" ht="15" thickBot="1" x14ac:dyDescent="0.4">
      <c r="B3" s="28" t="s">
        <v>1</v>
      </c>
      <c r="C3" s="37">
        <v>25</v>
      </c>
      <c r="E3" s="45" t="s">
        <v>24</v>
      </c>
      <c r="F3" s="39">
        <v>44957</v>
      </c>
    </row>
    <row r="4" spans="2:12" ht="15" thickBot="1" x14ac:dyDescent="0.4">
      <c r="B4"/>
      <c r="C4"/>
      <c r="E4" s="62" t="s">
        <v>25</v>
      </c>
      <c r="F4" s="62">
        <f>SUM(I19:I20)</f>
        <v>0</v>
      </c>
    </row>
    <row r="5" spans="2:12" ht="15" thickBot="1" x14ac:dyDescent="0.4">
      <c r="B5" s="29" t="s">
        <v>5</v>
      </c>
      <c r="C5" s="38"/>
      <c r="E5" s="32" t="s">
        <v>10</v>
      </c>
      <c r="F5" s="33">
        <f>SUM(I11:I12)</f>
        <v>0</v>
      </c>
    </row>
    <row r="6" spans="2:12" x14ac:dyDescent="0.35">
      <c r="B6" s="30" t="s">
        <v>8</v>
      </c>
      <c r="C6" s="39"/>
      <c r="E6" s="34" t="s">
        <v>26</v>
      </c>
      <c r="F6" s="35">
        <f>I60</f>
        <v>0</v>
      </c>
      <c r="H6" s="103" t="s">
        <v>40</v>
      </c>
      <c r="I6" s="104"/>
    </row>
    <row r="7" spans="2:12" ht="29" x14ac:dyDescent="0.35">
      <c r="B7" s="30" t="s">
        <v>6</v>
      </c>
      <c r="C7" s="40"/>
      <c r="E7" s="34" t="s">
        <v>27</v>
      </c>
      <c r="F7" s="35">
        <f>R60</f>
        <v>0</v>
      </c>
      <c r="H7" s="7" t="s">
        <v>37</v>
      </c>
      <c r="I7" s="8"/>
    </row>
    <row r="8" spans="2:12" ht="29.5" thickBot="1" x14ac:dyDescent="0.4">
      <c r="B8" s="31" t="s">
        <v>7</v>
      </c>
      <c r="C8" s="41"/>
      <c r="E8" s="34" t="s">
        <v>28</v>
      </c>
      <c r="F8" s="35">
        <f>SUM(I7:I8)</f>
        <v>0</v>
      </c>
      <c r="H8" s="49" t="s">
        <v>38</v>
      </c>
      <c r="I8" s="50">
        <f>S60</f>
        <v>0</v>
      </c>
      <c r="L8" s="61"/>
    </row>
    <row r="9" spans="2:12" ht="15" thickBot="1" x14ac:dyDescent="0.4">
      <c r="B9"/>
      <c r="C9" s="3"/>
      <c r="E9" s="34" t="s">
        <v>29</v>
      </c>
      <c r="F9" s="35">
        <f>SUM(I15:I16)</f>
        <v>0</v>
      </c>
    </row>
    <row r="10" spans="2:12" x14ac:dyDescent="0.35">
      <c r="B10" s="29" t="s">
        <v>12</v>
      </c>
      <c r="C10" s="38">
        <v>44896</v>
      </c>
      <c r="E10" s="4"/>
      <c r="F10" s="6"/>
      <c r="H10" s="103" t="s">
        <v>41</v>
      </c>
      <c r="I10" s="104"/>
    </row>
    <row r="11" spans="2:12" x14ac:dyDescent="0.35">
      <c r="B11" s="30" t="s">
        <v>13</v>
      </c>
      <c r="C11" s="39">
        <v>44926</v>
      </c>
      <c r="E11" s="55" t="s">
        <v>30</v>
      </c>
      <c r="F11" s="56">
        <f>F4+F6+F7+F8+F9-F5</f>
        <v>0</v>
      </c>
      <c r="G11" s="61"/>
      <c r="H11" s="7" t="s">
        <v>42</v>
      </c>
      <c r="I11" s="8">
        <f>SUM(F60:G60)</f>
        <v>0</v>
      </c>
      <c r="J11" s="114" t="s">
        <v>73</v>
      </c>
    </row>
    <row r="12" spans="2:12" ht="15" thickBot="1" x14ac:dyDescent="0.4">
      <c r="B12" s="30" t="s">
        <v>14</v>
      </c>
      <c r="C12" s="40">
        <v>31</v>
      </c>
      <c r="E12" s="4"/>
      <c r="F12" s="6"/>
      <c r="H12" s="49" t="s">
        <v>43</v>
      </c>
      <c r="I12" s="50">
        <f>H60</f>
        <v>0</v>
      </c>
      <c r="J12" s="115"/>
    </row>
    <row r="13" spans="2:12" ht="15" thickBot="1" x14ac:dyDescent="0.4">
      <c r="B13" s="31" t="s">
        <v>15</v>
      </c>
      <c r="C13" s="41">
        <v>44951</v>
      </c>
      <c r="E13" s="53" t="s">
        <v>31</v>
      </c>
      <c r="F13" s="54">
        <v>5000</v>
      </c>
    </row>
    <row r="14" spans="2:12" x14ac:dyDescent="0.35">
      <c r="E14" s="51" t="s">
        <v>32</v>
      </c>
      <c r="F14" s="52">
        <f>F13-F11</f>
        <v>5000</v>
      </c>
      <c r="H14" s="103" t="s">
        <v>44</v>
      </c>
      <c r="I14" s="104"/>
    </row>
    <row r="15" spans="2:12" ht="29.5" thickBot="1" x14ac:dyDescent="0.4">
      <c r="B15"/>
      <c r="C15" s="3"/>
      <c r="E15" s="53" t="s">
        <v>33</v>
      </c>
      <c r="F15" s="54">
        <v>2000</v>
      </c>
      <c r="H15" s="7" t="s">
        <v>45</v>
      </c>
      <c r="I15" s="8">
        <f>K62</f>
        <v>0</v>
      </c>
    </row>
    <row r="16" spans="2:12" ht="29.5" thickBot="1" x14ac:dyDescent="0.4">
      <c r="B16" s="29" t="s">
        <v>3</v>
      </c>
      <c r="C16" s="38">
        <f>C10+C12</f>
        <v>44927</v>
      </c>
      <c r="E16" s="51" t="s">
        <v>34</v>
      </c>
      <c r="F16" s="52">
        <f>F15-F7-F9</f>
        <v>2000</v>
      </c>
      <c r="H16" s="49" t="s">
        <v>43</v>
      </c>
      <c r="I16" s="50">
        <f>T62</f>
        <v>0</v>
      </c>
    </row>
    <row r="17" spans="2:26" ht="15" thickBot="1" x14ac:dyDescent="0.4">
      <c r="B17" s="30" t="s">
        <v>9</v>
      </c>
      <c r="C17" s="39">
        <f>C16+C18-1</f>
        <v>44957</v>
      </c>
      <c r="E17" s="42" t="s">
        <v>0</v>
      </c>
      <c r="F17" s="39">
        <f>C11</f>
        <v>44926</v>
      </c>
      <c r="M17" s="61"/>
    </row>
    <row r="18" spans="2:26" ht="15" thickBot="1" x14ac:dyDescent="0.4">
      <c r="B18" s="30" t="s">
        <v>4</v>
      </c>
      <c r="C18" s="40">
        <v>31</v>
      </c>
      <c r="E18" s="43" t="s">
        <v>2</v>
      </c>
      <c r="F18" s="44">
        <f>C18</f>
        <v>31</v>
      </c>
      <c r="H18" s="103" t="s">
        <v>51</v>
      </c>
      <c r="I18" s="104"/>
      <c r="M18" s="61"/>
    </row>
    <row r="19" spans="2:26" ht="15" thickBot="1" x14ac:dyDescent="0.4">
      <c r="B19" s="31" t="s">
        <v>16</v>
      </c>
      <c r="C19" s="41">
        <f>C17+C3</f>
        <v>44982</v>
      </c>
      <c r="H19" s="7" t="s">
        <v>42</v>
      </c>
      <c r="I19" s="8">
        <v>0</v>
      </c>
    </row>
    <row r="20" spans="2:26" ht="15" thickBot="1" x14ac:dyDescent="0.4">
      <c r="H20" s="49" t="s">
        <v>43</v>
      </c>
      <c r="I20" s="50">
        <v>0</v>
      </c>
    </row>
    <row r="21" spans="2:26" x14ac:dyDescent="0.35">
      <c r="B21" s="103" t="s">
        <v>17</v>
      </c>
      <c r="C21" s="104"/>
      <c r="E21" s="103" t="s">
        <v>22</v>
      </c>
      <c r="F21" s="104"/>
      <c r="H21"/>
      <c r="I21" s="62">
        <f>SUM(I19:I20)</f>
        <v>0</v>
      </c>
    </row>
    <row r="22" spans="2:26" x14ac:dyDescent="0.35">
      <c r="B22" s="7" t="s">
        <v>18</v>
      </c>
      <c r="C22" s="57">
        <v>0.22489999999999999</v>
      </c>
      <c r="E22" s="7" t="s">
        <v>18</v>
      </c>
      <c r="F22" s="59">
        <f>C22/365</f>
        <v>6.1616438356164381E-4</v>
      </c>
      <c r="H22"/>
      <c r="J22" s="1"/>
    </row>
    <row r="23" spans="2:26" ht="15" thickBot="1" x14ac:dyDescent="0.4">
      <c r="B23" s="49" t="s">
        <v>19</v>
      </c>
      <c r="C23" s="58">
        <v>0.2999</v>
      </c>
      <c r="E23" s="49" t="s">
        <v>19</v>
      </c>
      <c r="F23" s="60">
        <f>C23/365</f>
        <v>8.216438356164384E-4</v>
      </c>
      <c r="L23" s="1"/>
    </row>
    <row r="24" spans="2:26" ht="15" thickBot="1" x14ac:dyDescent="0.4">
      <c r="C24" s="9"/>
      <c r="E24" s="1"/>
      <c r="F24" s="10"/>
      <c r="H24" s="63" t="s">
        <v>56</v>
      </c>
      <c r="I24" s="64">
        <v>35</v>
      </c>
      <c r="L24" s="1"/>
    </row>
    <row r="25" spans="2:26" x14ac:dyDescent="0.35">
      <c r="C25" s="9"/>
      <c r="E25" s="1"/>
      <c r="F25" s="10"/>
      <c r="N25" s="61"/>
    </row>
    <row r="26" spans="2:26" ht="15" thickBot="1" x14ac:dyDescent="0.4">
      <c r="C26" s="9"/>
      <c r="E26" s="1"/>
      <c r="F26" s="10"/>
    </row>
    <row r="27" spans="2:26" ht="15" customHeight="1" thickBot="1" x14ac:dyDescent="0.4">
      <c r="B27" s="70"/>
      <c r="C27" s="71"/>
      <c r="D27" s="105" t="s">
        <v>10</v>
      </c>
      <c r="E27" s="106"/>
      <c r="F27" s="106"/>
      <c r="G27" s="106"/>
      <c r="H27" s="107"/>
      <c r="I27" s="111" t="s">
        <v>47</v>
      </c>
      <c r="J27" s="112"/>
      <c r="K27" s="112"/>
      <c r="L27" s="112"/>
      <c r="M27" s="112"/>
      <c r="N27" s="112"/>
      <c r="O27" s="112"/>
      <c r="P27" s="112"/>
      <c r="Q27" s="113"/>
      <c r="R27" s="108" t="s">
        <v>48</v>
      </c>
      <c r="S27" s="109"/>
      <c r="T27" s="109"/>
      <c r="U27" s="109"/>
      <c r="V27" s="109"/>
      <c r="W27" s="110"/>
    </row>
    <row r="28" spans="2:26" s="1" customFormat="1" ht="116.5" thickBot="1" x14ac:dyDescent="0.4">
      <c r="B28" s="68" t="s">
        <v>52</v>
      </c>
      <c r="C28" s="68" t="s">
        <v>53</v>
      </c>
      <c r="D28" s="65" t="s">
        <v>57</v>
      </c>
      <c r="E28" s="69" t="s">
        <v>67</v>
      </c>
      <c r="F28" s="69" t="s">
        <v>66</v>
      </c>
      <c r="G28" s="69" t="s">
        <v>68</v>
      </c>
      <c r="H28" s="66"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6" x14ac:dyDescent="0.35">
      <c r="B29" s="47">
        <f>C29-1</f>
        <v>44926</v>
      </c>
      <c r="C29" s="47">
        <f>C16</f>
        <v>44927</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c r="K29" s="13">
        <v>0</v>
      </c>
      <c r="L29" s="12">
        <f>M29</f>
        <v>0</v>
      </c>
      <c r="M29" s="12">
        <f>K29*$F$22</f>
        <v>0</v>
      </c>
      <c r="N29" s="12">
        <f>I29+J29-G29</f>
        <v>0</v>
      </c>
      <c r="O29" s="12">
        <f>P29</f>
        <v>0</v>
      </c>
      <c r="P29" s="12">
        <f>N29*$F$22</f>
        <v>0</v>
      </c>
      <c r="Q29" s="12">
        <f>K29+N29</f>
        <v>0</v>
      </c>
      <c r="R29" s="15"/>
      <c r="S29" s="15"/>
      <c r="T29" s="15">
        <f>$I$20+R29+S29-H29</f>
        <v>0</v>
      </c>
      <c r="U29" s="15">
        <f>V29</f>
        <v>0</v>
      </c>
      <c r="V29" s="16">
        <f>T29*$F$23</f>
        <v>0</v>
      </c>
      <c r="W29" s="16">
        <f>IF(T29=0,0,$I$20+R29+S29-H29)</f>
        <v>0</v>
      </c>
    </row>
    <row r="30" spans="2:26" x14ac:dyDescent="0.35">
      <c r="B30" s="47">
        <f t="shared" ref="B30:B56" si="0">C30-1</f>
        <v>44927</v>
      </c>
      <c r="C30" s="48">
        <f t="shared" ref="C30:C59" si="1">C29+1</f>
        <v>44928</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6" si="2">ROUND(D30-F30-H30,2)</f>
        <v>0</v>
      </c>
      <c r="H30" s="17">
        <f>IF((T29+U29-V29+R30+S30)&gt;0,IF($I$19=0,E30,0),0)+IF((T29+U29-V29+R30+S30)&gt;0,(IF((D30-F30)&gt;0,(IF((T29+U29-V29+R30+S30)&gt;(D30-F30),(D30-F30-IF($I$19=0,E30,0)),(T29+U29-V29+R30+S30-IF($I$19=0,E30,0)))),0)),0)</f>
        <v>0</v>
      </c>
      <c r="I30" s="13"/>
      <c r="J30" s="13"/>
      <c r="K30" s="13">
        <f>IF(SUM($F$29:$F$53)&gt;=$I$19,0,ROUND(K29+L29-F30,2))</f>
        <v>0</v>
      </c>
      <c r="L30" s="13">
        <f>M30-M29</f>
        <v>0</v>
      </c>
      <c r="M30" s="13">
        <f>IF(K30=0,0,M29+K30*$F$22)</f>
        <v>0</v>
      </c>
      <c r="N30" s="13">
        <f t="shared" ref="N30:N56" si="3">ROUND(N29+I30+J30+O29-G30,2)</f>
        <v>0</v>
      </c>
      <c r="O30" s="13">
        <f>P30-P29</f>
        <v>0</v>
      </c>
      <c r="P30" s="13">
        <f>ROUND(P29+N30*$F$22,2)</f>
        <v>0</v>
      </c>
      <c r="Q30" s="13">
        <f>ROUND(N30+K30-M29-P29,2)</f>
        <v>0</v>
      </c>
      <c r="R30" s="17"/>
      <c r="S30" s="17"/>
      <c r="T30" s="17">
        <f>T29+U29+R30+S30-H30</f>
        <v>0</v>
      </c>
      <c r="U30" s="17">
        <f t="shared" ref="U30:U56" si="4">V30-V29</f>
        <v>0</v>
      </c>
      <c r="V30" s="18">
        <f>V29+T30*$F$23</f>
        <v>0</v>
      </c>
      <c r="W30" s="16">
        <f>IF(T30=0,0,W29+R30+S30-H30)</f>
        <v>0</v>
      </c>
    </row>
    <row r="31" spans="2:26" x14ac:dyDescent="0.35">
      <c r="B31" s="47">
        <f t="shared" si="0"/>
        <v>44928</v>
      </c>
      <c r="C31" s="48">
        <f t="shared" si="1"/>
        <v>44929</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6" si="5">IF((T30+U30-V30+R31+S31)&gt;0,IF($I$19=0,E31,0),0)+IF((T30+U30-V30+R31+S31)&gt;0,(IF((D31-F31)&gt;0,(IF((T30+U30-V30+R31+S31)&gt;(D31-F31),(D31-F31-IF($I$19=0,E31,0)),(T30+U30-V30+R31+S31-IF($I$19=0,E31,0)))),0)),0)</f>
        <v>0</v>
      </c>
      <c r="I31" s="13"/>
      <c r="J31" s="13"/>
      <c r="K31" s="13">
        <f t="shared" ref="K31:K56" si="6">IF(SUM($F$29:$F$53)&gt;=$I$19,0,ROUND(K30+L30-F31,2))</f>
        <v>0</v>
      </c>
      <c r="L31" s="13">
        <f t="shared" ref="L31:L56" si="7">M31-M30</f>
        <v>0</v>
      </c>
      <c r="M31" s="13">
        <f t="shared" ref="M31:M56" si="8">IF(K31=0,0,M30+K31*$F$22)</f>
        <v>0</v>
      </c>
      <c r="N31" s="13">
        <f t="shared" si="3"/>
        <v>0</v>
      </c>
      <c r="O31" s="13">
        <f t="shared" ref="O31:O56" si="9">P31-P30</f>
        <v>0</v>
      </c>
      <c r="P31" s="13">
        <f t="shared" ref="P31:P56" si="10">ROUND(P30+N31*$F$22,2)</f>
        <v>0</v>
      </c>
      <c r="Q31" s="13">
        <f t="shared" ref="Q31:Q56" si="11">ROUND(N31+K31-M30-P30,2)</f>
        <v>0</v>
      </c>
      <c r="R31" s="17"/>
      <c r="S31" s="17"/>
      <c r="T31" s="17">
        <f>T30+U30+R31+S31-H31</f>
        <v>0</v>
      </c>
      <c r="U31" s="17">
        <f t="shared" si="4"/>
        <v>0</v>
      </c>
      <c r="V31" s="18">
        <f t="shared" ref="V31:V56" si="12">V30+T31*$F$23</f>
        <v>0</v>
      </c>
      <c r="W31" s="16">
        <f t="shared" ref="W31:W56" si="13">IF(T31=0,0,W30+R31+S31-H31)</f>
        <v>0</v>
      </c>
      <c r="Y31" s="1"/>
      <c r="Z31" s="1"/>
    </row>
    <row r="32" spans="2:26" x14ac:dyDescent="0.35">
      <c r="B32" s="47">
        <f t="shared" si="0"/>
        <v>44929</v>
      </c>
      <c r="C32" s="48">
        <f t="shared" si="1"/>
        <v>44930</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5"/>
        <v>0</v>
      </c>
      <c r="I32" s="13"/>
      <c r="J32" s="13"/>
      <c r="K32" s="13">
        <f t="shared" si="6"/>
        <v>0</v>
      </c>
      <c r="L32" s="13">
        <f t="shared" si="7"/>
        <v>0</v>
      </c>
      <c r="M32" s="13">
        <f t="shared" si="8"/>
        <v>0</v>
      </c>
      <c r="N32" s="13">
        <f t="shared" si="3"/>
        <v>0</v>
      </c>
      <c r="O32" s="13">
        <f t="shared" si="9"/>
        <v>0</v>
      </c>
      <c r="P32" s="13">
        <f t="shared" si="10"/>
        <v>0</v>
      </c>
      <c r="Q32" s="13">
        <f t="shared" si="11"/>
        <v>0</v>
      </c>
      <c r="R32" s="17"/>
      <c r="S32" s="17"/>
      <c r="T32" s="17">
        <f>T31+U31+R32+S32-H32</f>
        <v>0</v>
      </c>
      <c r="U32" s="17">
        <f t="shared" si="4"/>
        <v>0</v>
      </c>
      <c r="V32" s="18">
        <f t="shared" si="12"/>
        <v>0</v>
      </c>
      <c r="W32" s="16">
        <f t="shared" si="13"/>
        <v>0</v>
      </c>
    </row>
    <row r="33" spans="2:23" x14ac:dyDescent="0.35">
      <c r="B33" s="47">
        <f t="shared" si="0"/>
        <v>44930</v>
      </c>
      <c r="C33" s="48">
        <f t="shared" si="1"/>
        <v>44931</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5"/>
        <v>0</v>
      </c>
      <c r="I33" s="13"/>
      <c r="J33" s="13"/>
      <c r="K33" s="13">
        <f t="shared" si="6"/>
        <v>0</v>
      </c>
      <c r="L33" s="13">
        <f t="shared" si="7"/>
        <v>0</v>
      </c>
      <c r="M33" s="13">
        <f t="shared" si="8"/>
        <v>0</v>
      </c>
      <c r="N33" s="13">
        <f t="shared" si="3"/>
        <v>0</v>
      </c>
      <c r="O33" s="13">
        <f t="shared" si="9"/>
        <v>0</v>
      </c>
      <c r="P33" s="13">
        <f t="shared" si="10"/>
        <v>0</v>
      </c>
      <c r="Q33" s="13">
        <f t="shared" si="11"/>
        <v>0</v>
      </c>
      <c r="R33" s="17"/>
      <c r="S33" s="17"/>
      <c r="T33" s="17">
        <f t="shared" ref="T33:T56" si="14">T32+U32+R33+S33-H33</f>
        <v>0</v>
      </c>
      <c r="U33" s="17">
        <f t="shared" si="4"/>
        <v>0</v>
      </c>
      <c r="V33" s="18">
        <f t="shared" si="12"/>
        <v>0</v>
      </c>
      <c r="W33" s="16">
        <f t="shared" si="13"/>
        <v>0</v>
      </c>
    </row>
    <row r="34" spans="2:23" x14ac:dyDescent="0.35">
      <c r="B34" s="47">
        <f t="shared" si="0"/>
        <v>44931</v>
      </c>
      <c r="C34" s="48">
        <f t="shared" si="1"/>
        <v>44932</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5"/>
        <v>0</v>
      </c>
      <c r="I34" s="13"/>
      <c r="J34" s="13"/>
      <c r="K34" s="13">
        <f t="shared" si="6"/>
        <v>0</v>
      </c>
      <c r="L34" s="13">
        <f t="shared" si="7"/>
        <v>0</v>
      </c>
      <c r="M34" s="13">
        <f t="shared" si="8"/>
        <v>0</v>
      </c>
      <c r="N34" s="13">
        <f t="shared" si="3"/>
        <v>0</v>
      </c>
      <c r="O34" s="13">
        <f t="shared" si="9"/>
        <v>0</v>
      </c>
      <c r="P34" s="13">
        <f t="shared" si="10"/>
        <v>0</v>
      </c>
      <c r="Q34" s="13">
        <f t="shared" si="11"/>
        <v>0</v>
      </c>
      <c r="R34" s="17"/>
      <c r="S34" s="17"/>
      <c r="T34" s="17">
        <f t="shared" si="14"/>
        <v>0</v>
      </c>
      <c r="U34" s="17">
        <f t="shared" si="4"/>
        <v>0</v>
      </c>
      <c r="V34" s="18">
        <f t="shared" si="12"/>
        <v>0</v>
      </c>
      <c r="W34" s="16">
        <f t="shared" si="13"/>
        <v>0</v>
      </c>
    </row>
    <row r="35" spans="2:23" x14ac:dyDescent="0.35">
      <c r="B35" s="47">
        <f t="shared" si="0"/>
        <v>44932</v>
      </c>
      <c r="C35" s="48">
        <f t="shared" si="1"/>
        <v>44933</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5"/>
        <v>0</v>
      </c>
      <c r="I35" s="13"/>
      <c r="J35" s="13"/>
      <c r="K35" s="13">
        <f t="shared" si="6"/>
        <v>0</v>
      </c>
      <c r="L35" s="13">
        <f t="shared" si="7"/>
        <v>0</v>
      </c>
      <c r="M35" s="13">
        <f t="shared" si="8"/>
        <v>0</v>
      </c>
      <c r="N35" s="13">
        <f t="shared" si="3"/>
        <v>0</v>
      </c>
      <c r="O35" s="13">
        <f t="shared" si="9"/>
        <v>0</v>
      </c>
      <c r="P35" s="13">
        <f t="shared" si="10"/>
        <v>0</v>
      </c>
      <c r="Q35" s="13">
        <f t="shared" si="11"/>
        <v>0</v>
      </c>
      <c r="R35" s="17"/>
      <c r="S35" s="17"/>
      <c r="T35" s="17">
        <f>T34+U34+R35+S35-H35</f>
        <v>0</v>
      </c>
      <c r="U35" s="17">
        <f t="shared" si="4"/>
        <v>0</v>
      </c>
      <c r="V35" s="18">
        <f t="shared" si="12"/>
        <v>0</v>
      </c>
      <c r="W35" s="16">
        <f t="shared" si="13"/>
        <v>0</v>
      </c>
    </row>
    <row r="36" spans="2:23" x14ac:dyDescent="0.35">
      <c r="B36" s="47">
        <f t="shared" si="0"/>
        <v>44933</v>
      </c>
      <c r="C36" s="48">
        <f t="shared" si="1"/>
        <v>44934</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5"/>
        <v>0</v>
      </c>
      <c r="I36" s="13"/>
      <c r="J36" s="13"/>
      <c r="K36" s="13">
        <f t="shared" si="6"/>
        <v>0</v>
      </c>
      <c r="L36" s="13">
        <f t="shared" si="7"/>
        <v>0</v>
      </c>
      <c r="M36" s="13">
        <f t="shared" si="8"/>
        <v>0</v>
      </c>
      <c r="N36" s="13">
        <f t="shared" si="3"/>
        <v>0</v>
      </c>
      <c r="O36" s="13">
        <f t="shared" si="9"/>
        <v>0</v>
      </c>
      <c r="P36" s="13">
        <f t="shared" si="10"/>
        <v>0</v>
      </c>
      <c r="Q36" s="13">
        <f t="shared" si="11"/>
        <v>0</v>
      </c>
      <c r="R36" s="17"/>
      <c r="S36" s="17"/>
      <c r="T36" s="17">
        <f t="shared" si="14"/>
        <v>0</v>
      </c>
      <c r="U36" s="17">
        <f t="shared" si="4"/>
        <v>0</v>
      </c>
      <c r="V36" s="18">
        <f t="shared" si="12"/>
        <v>0</v>
      </c>
      <c r="W36" s="16">
        <f t="shared" si="13"/>
        <v>0</v>
      </c>
    </row>
    <row r="37" spans="2:23" x14ac:dyDescent="0.35">
      <c r="B37" s="47">
        <f t="shared" si="0"/>
        <v>44934</v>
      </c>
      <c r="C37" s="48">
        <f t="shared" si="1"/>
        <v>44935</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5"/>
        <v>0</v>
      </c>
      <c r="I37" s="13"/>
      <c r="J37" s="13"/>
      <c r="K37" s="13">
        <f t="shared" si="6"/>
        <v>0</v>
      </c>
      <c r="L37" s="13">
        <f t="shared" si="7"/>
        <v>0</v>
      </c>
      <c r="M37" s="13">
        <f t="shared" si="8"/>
        <v>0</v>
      </c>
      <c r="N37" s="13">
        <f t="shared" si="3"/>
        <v>0</v>
      </c>
      <c r="O37" s="13">
        <f t="shared" si="9"/>
        <v>0</v>
      </c>
      <c r="P37" s="13">
        <f t="shared" si="10"/>
        <v>0</v>
      </c>
      <c r="Q37" s="13">
        <f t="shared" si="11"/>
        <v>0</v>
      </c>
      <c r="R37" s="17"/>
      <c r="S37" s="17"/>
      <c r="T37" s="17">
        <f t="shared" si="14"/>
        <v>0</v>
      </c>
      <c r="U37" s="17">
        <f t="shared" si="4"/>
        <v>0</v>
      </c>
      <c r="V37" s="18">
        <f t="shared" si="12"/>
        <v>0</v>
      </c>
      <c r="W37" s="16">
        <f t="shared" si="13"/>
        <v>0</v>
      </c>
    </row>
    <row r="38" spans="2:23" x14ac:dyDescent="0.35">
      <c r="B38" s="47">
        <f t="shared" si="0"/>
        <v>44935</v>
      </c>
      <c r="C38" s="48">
        <f t="shared" si="1"/>
        <v>44936</v>
      </c>
      <c r="D38" s="33"/>
      <c r="E38" s="13">
        <f>IF(SUM(E$29:E37)=$I$24,0,IF((D38&lt;=$I$24-SUM(E$29:E37)),D38,$I$24-SUM(E$29:E37)))</f>
        <v>0</v>
      </c>
      <c r="F38" s="13">
        <f>IF($I$19&gt;0,IF(SUM(F$29:F37)&lt;$I$19,IF((D38-E38)&gt;0,IF($I$20=0,IF($I$19-SUM(F$29:F37)&gt;D38,D38,$I$19-SUM(F$29:F37)),E38),D38),0)+IF($I$20&gt;0,IF(D38-$I$20-SUM($H$29:H37)-IF($I$19=0,0,E38)&gt;0,IF(D38-$I$20-SUM($H$29:H37)-IF($I$19=0,0,E38)&gt;$I$19,$I$19-SUM(F$29:F37)-E38,D38-$I$20-SUM($H$29:H37)-IF($I$19=0,0,E38)),0),0),0)</f>
        <v>0</v>
      </c>
      <c r="G38" s="13">
        <f t="shared" si="2"/>
        <v>0</v>
      </c>
      <c r="H38" s="17">
        <f t="shared" si="5"/>
        <v>0</v>
      </c>
      <c r="I38" s="13"/>
      <c r="J38" s="13"/>
      <c r="K38" s="13">
        <f t="shared" si="6"/>
        <v>0</v>
      </c>
      <c r="L38" s="13">
        <f t="shared" si="7"/>
        <v>0</v>
      </c>
      <c r="M38" s="13">
        <f t="shared" si="8"/>
        <v>0</v>
      </c>
      <c r="N38" s="13">
        <f t="shared" si="3"/>
        <v>0</v>
      </c>
      <c r="O38" s="13">
        <f t="shared" si="9"/>
        <v>0</v>
      </c>
      <c r="P38" s="13">
        <f t="shared" si="10"/>
        <v>0</v>
      </c>
      <c r="Q38" s="13">
        <f t="shared" si="11"/>
        <v>0</v>
      </c>
      <c r="R38" s="17"/>
      <c r="S38" s="17"/>
      <c r="T38" s="17">
        <f t="shared" si="14"/>
        <v>0</v>
      </c>
      <c r="U38" s="17">
        <f t="shared" si="4"/>
        <v>0</v>
      </c>
      <c r="V38" s="18">
        <f t="shared" si="12"/>
        <v>0</v>
      </c>
      <c r="W38" s="16">
        <f t="shared" si="13"/>
        <v>0</v>
      </c>
    </row>
    <row r="39" spans="2:23" x14ac:dyDescent="0.35">
      <c r="B39" s="47">
        <f t="shared" si="0"/>
        <v>44936</v>
      </c>
      <c r="C39" s="48">
        <f t="shared" si="1"/>
        <v>44937</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5"/>
        <v>0</v>
      </c>
      <c r="I39" s="13"/>
      <c r="J39" s="13"/>
      <c r="K39" s="13">
        <f t="shared" si="6"/>
        <v>0</v>
      </c>
      <c r="L39" s="13">
        <f t="shared" si="7"/>
        <v>0</v>
      </c>
      <c r="M39" s="13">
        <f t="shared" si="8"/>
        <v>0</v>
      </c>
      <c r="N39" s="13">
        <f t="shared" si="3"/>
        <v>0</v>
      </c>
      <c r="O39" s="13">
        <f>P39-P38</f>
        <v>0</v>
      </c>
      <c r="P39" s="13">
        <f t="shared" si="10"/>
        <v>0</v>
      </c>
      <c r="Q39" s="13">
        <f t="shared" si="11"/>
        <v>0</v>
      </c>
      <c r="R39" s="17"/>
      <c r="S39" s="17"/>
      <c r="T39" s="17">
        <f t="shared" si="14"/>
        <v>0</v>
      </c>
      <c r="U39" s="17">
        <f t="shared" si="4"/>
        <v>0</v>
      </c>
      <c r="V39" s="18">
        <f t="shared" si="12"/>
        <v>0</v>
      </c>
      <c r="W39" s="16">
        <f t="shared" si="13"/>
        <v>0</v>
      </c>
    </row>
    <row r="40" spans="2:23" x14ac:dyDescent="0.35">
      <c r="B40" s="47">
        <f t="shared" si="0"/>
        <v>44937</v>
      </c>
      <c r="C40" s="48">
        <f t="shared" si="1"/>
        <v>44938</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5"/>
        <v>0</v>
      </c>
      <c r="I40" s="13"/>
      <c r="J40" s="13"/>
      <c r="K40" s="13">
        <f>IF(SUM($F$29:$F$53)&gt;=$I$19,0,ROUND(K39+L39-F40,2))</f>
        <v>0</v>
      </c>
      <c r="L40" s="13">
        <f t="shared" si="7"/>
        <v>0</v>
      </c>
      <c r="M40" s="13">
        <f t="shared" si="8"/>
        <v>0</v>
      </c>
      <c r="N40" s="13">
        <f t="shared" si="3"/>
        <v>0</v>
      </c>
      <c r="O40" s="13">
        <f t="shared" si="9"/>
        <v>0</v>
      </c>
      <c r="P40" s="13">
        <f t="shared" si="10"/>
        <v>0</v>
      </c>
      <c r="Q40" s="13">
        <f t="shared" si="11"/>
        <v>0</v>
      </c>
      <c r="R40" s="17"/>
      <c r="S40" s="17"/>
      <c r="T40" s="17">
        <f t="shared" si="14"/>
        <v>0</v>
      </c>
      <c r="U40" s="17">
        <f t="shared" si="4"/>
        <v>0</v>
      </c>
      <c r="V40" s="18">
        <f t="shared" si="12"/>
        <v>0</v>
      </c>
      <c r="W40" s="16">
        <f t="shared" si="13"/>
        <v>0</v>
      </c>
    </row>
    <row r="41" spans="2:23" x14ac:dyDescent="0.35">
      <c r="B41" s="47">
        <f t="shared" si="0"/>
        <v>44938</v>
      </c>
      <c r="C41" s="48">
        <f t="shared" si="1"/>
        <v>44939</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5"/>
        <v>0</v>
      </c>
      <c r="I41" s="13"/>
      <c r="J41" s="13"/>
      <c r="K41" s="13">
        <f t="shared" si="6"/>
        <v>0</v>
      </c>
      <c r="L41" s="13">
        <f t="shared" si="7"/>
        <v>0</v>
      </c>
      <c r="M41" s="13">
        <f t="shared" si="8"/>
        <v>0</v>
      </c>
      <c r="N41" s="13">
        <f t="shared" si="3"/>
        <v>0</v>
      </c>
      <c r="O41" s="13">
        <f t="shared" si="9"/>
        <v>0</v>
      </c>
      <c r="P41" s="13">
        <f t="shared" si="10"/>
        <v>0</v>
      </c>
      <c r="Q41" s="13">
        <f t="shared" si="11"/>
        <v>0</v>
      </c>
      <c r="R41" s="17"/>
      <c r="S41" s="17"/>
      <c r="T41" s="17">
        <f t="shared" si="14"/>
        <v>0</v>
      </c>
      <c r="U41" s="17">
        <f t="shared" si="4"/>
        <v>0</v>
      </c>
      <c r="V41" s="18">
        <f t="shared" si="12"/>
        <v>0</v>
      </c>
      <c r="W41" s="16">
        <f t="shared" si="13"/>
        <v>0</v>
      </c>
    </row>
    <row r="42" spans="2:23" x14ac:dyDescent="0.35">
      <c r="B42" s="47">
        <f>C42-2</f>
        <v>44938</v>
      </c>
      <c r="C42" s="48">
        <f t="shared" si="1"/>
        <v>44940</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5"/>
        <v>0</v>
      </c>
      <c r="I42" s="13"/>
      <c r="J42" s="13"/>
      <c r="K42" s="13">
        <f t="shared" si="6"/>
        <v>0</v>
      </c>
      <c r="L42" s="13">
        <f t="shared" si="7"/>
        <v>0</v>
      </c>
      <c r="M42" s="13">
        <f t="shared" si="8"/>
        <v>0</v>
      </c>
      <c r="N42" s="13">
        <f t="shared" si="3"/>
        <v>0</v>
      </c>
      <c r="O42" s="13">
        <f t="shared" si="9"/>
        <v>0</v>
      </c>
      <c r="P42" s="13">
        <f t="shared" si="10"/>
        <v>0</v>
      </c>
      <c r="Q42" s="13">
        <f t="shared" si="11"/>
        <v>0</v>
      </c>
      <c r="R42" s="17"/>
      <c r="S42" s="17"/>
      <c r="T42" s="17">
        <f>T41+U41+R42+S42-H42</f>
        <v>0</v>
      </c>
      <c r="U42" s="17">
        <f>V42-V41</f>
        <v>0</v>
      </c>
      <c r="V42" s="18">
        <f t="shared" si="12"/>
        <v>0</v>
      </c>
      <c r="W42" s="16">
        <f t="shared" si="13"/>
        <v>0</v>
      </c>
    </row>
    <row r="43" spans="2:23" x14ac:dyDescent="0.35">
      <c r="B43" s="47">
        <f t="shared" si="0"/>
        <v>44940</v>
      </c>
      <c r="C43" s="48">
        <f t="shared" si="1"/>
        <v>44941</v>
      </c>
      <c r="D43" s="33"/>
      <c r="E43" s="13">
        <f>IF(SUM(E$29:E42)=$I$24,0,IF((D43&lt;=$I$24-SUM(E$29:E42)),D43,$I$24-SUM(E$29:E42)))</f>
        <v>0</v>
      </c>
      <c r="F43" s="13">
        <f>IF($I$19&gt;0,IF(SUM(F$29:F42)&lt;$I$19,IF((D43-E43)&gt;0,IF($I$20=0,IF($I$19-SUM(F$29:F42)&gt;D43,D43,$I$19-SUM(F$29:F42)),E43),D43),0)+IF($I$20&gt;0,IF(D43-$I$20-SUM($H$29:H42)-IF($I$19=0,0,E43)&gt;0,IF(D43-$I$20-SUM($H$29:H42)-IF($I$19=0,0,E43)&gt;$I$19,$I$19-SUM(F$29:F42)-E43,D43-$I$20-SUM($H$29:H42)-IF($I$19=0,0,E43)),0),0),0)</f>
        <v>0</v>
      </c>
      <c r="G43" s="13">
        <f t="shared" si="2"/>
        <v>0</v>
      </c>
      <c r="H43" s="17">
        <f t="shared" si="5"/>
        <v>0</v>
      </c>
      <c r="I43" s="13"/>
      <c r="J43" s="13"/>
      <c r="K43" s="13">
        <f t="shared" si="6"/>
        <v>0</v>
      </c>
      <c r="L43" s="13">
        <f t="shared" si="7"/>
        <v>0</v>
      </c>
      <c r="M43" s="13">
        <f t="shared" si="8"/>
        <v>0</v>
      </c>
      <c r="N43" s="13">
        <f t="shared" si="3"/>
        <v>0</v>
      </c>
      <c r="O43" s="13">
        <f t="shared" si="9"/>
        <v>0</v>
      </c>
      <c r="P43" s="13">
        <f t="shared" si="10"/>
        <v>0</v>
      </c>
      <c r="Q43" s="13">
        <f t="shared" si="11"/>
        <v>0</v>
      </c>
      <c r="R43" s="17"/>
      <c r="S43" s="17"/>
      <c r="T43" s="17">
        <f>T42+U42+R43+S43-H43</f>
        <v>0</v>
      </c>
      <c r="U43" s="17">
        <f t="shared" si="4"/>
        <v>0</v>
      </c>
      <c r="V43" s="18">
        <f t="shared" si="12"/>
        <v>0</v>
      </c>
      <c r="W43" s="16">
        <f t="shared" si="13"/>
        <v>0</v>
      </c>
    </row>
    <row r="44" spans="2:23" x14ac:dyDescent="0.35">
      <c r="B44" s="47">
        <f t="shared" si="0"/>
        <v>44941</v>
      </c>
      <c r="C44" s="48">
        <f t="shared" si="1"/>
        <v>44942</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5"/>
        <v>0</v>
      </c>
      <c r="I44" s="13"/>
      <c r="J44" s="13"/>
      <c r="K44" s="13">
        <f t="shared" si="6"/>
        <v>0</v>
      </c>
      <c r="L44" s="13">
        <f t="shared" si="7"/>
        <v>0</v>
      </c>
      <c r="M44" s="13">
        <f t="shared" si="8"/>
        <v>0</v>
      </c>
      <c r="N44" s="13">
        <f t="shared" si="3"/>
        <v>0</v>
      </c>
      <c r="O44" s="13">
        <f t="shared" si="9"/>
        <v>0</v>
      </c>
      <c r="P44" s="13">
        <f t="shared" si="10"/>
        <v>0</v>
      </c>
      <c r="Q44" s="13">
        <f t="shared" si="11"/>
        <v>0</v>
      </c>
      <c r="R44" s="17"/>
      <c r="S44" s="17"/>
      <c r="T44" s="17">
        <f t="shared" si="14"/>
        <v>0</v>
      </c>
      <c r="U44" s="17">
        <f t="shared" si="4"/>
        <v>0</v>
      </c>
      <c r="V44" s="18">
        <f t="shared" si="12"/>
        <v>0</v>
      </c>
      <c r="W44" s="16">
        <f t="shared" si="13"/>
        <v>0</v>
      </c>
    </row>
    <row r="45" spans="2:23" x14ac:dyDescent="0.35">
      <c r="B45" s="47">
        <f t="shared" si="0"/>
        <v>44942</v>
      </c>
      <c r="C45" s="48">
        <f t="shared" si="1"/>
        <v>44943</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5"/>
        <v>0</v>
      </c>
      <c r="I45" s="13"/>
      <c r="J45" s="13"/>
      <c r="K45" s="13">
        <f t="shared" si="6"/>
        <v>0</v>
      </c>
      <c r="L45" s="13">
        <f t="shared" si="7"/>
        <v>0</v>
      </c>
      <c r="M45" s="13">
        <f t="shared" si="8"/>
        <v>0</v>
      </c>
      <c r="N45" s="13">
        <f t="shared" si="3"/>
        <v>0</v>
      </c>
      <c r="O45" s="13">
        <f t="shared" si="9"/>
        <v>0</v>
      </c>
      <c r="P45" s="13">
        <f t="shared" si="10"/>
        <v>0</v>
      </c>
      <c r="Q45" s="13">
        <f t="shared" si="11"/>
        <v>0</v>
      </c>
      <c r="R45" s="17"/>
      <c r="S45" s="17"/>
      <c r="T45" s="17">
        <f t="shared" si="14"/>
        <v>0</v>
      </c>
      <c r="U45" s="17">
        <f t="shared" si="4"/>
        <v>0</v>
      </c>
      <c r="V45" s="18">
        <f t="shared" si="12"/>
        <v>0</v>
      </c>
      <c r="W45" s="16">
        <f>IF(T45=0,0,W44+R45+S45-H45)</f>
        <v>0</v>
      </c>
    </row>
    <row r="46" spans="2:23" x14ac:dyDescent="0.35">
      <c r="B46" s="47">
        <f t="shared" si="0"/>
        <v>44943</v>
      </c>
      <c r="C46" s="48">
        <f t="shared" si="1"/>
        <v>44944</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5"/>
        <v>0</v>
      </c>
      <c r="I46" s="13"/>
      <c r="J46" s="13"/>
      <c r="K46" s="13">
        <f t="shared" si="6"/>
        <v>0</v>
      </c>
      <c r="L46" s="13">
        <f t="shared" si="7"/>
        <v>0</v>
      </c>
      <c r="M46" s="13">
        <f t="shared" si="8"/>
        <v>0</v>
      </c>
      <c r="N46" s="13">
        <f t="shared" si="3"/>
        <v>0</v>
      </c>
      <c r="O46" s="13">
        <f t="shared" si="9"/>
        <v>0</v>
      </c>
      <c r="P46" s="13">
        <f t="shared" si="10"/>
        <v>0</v>
      </c>
      <c r="Q46" s="13">
        <f t="shared" si="11"/>
        <v>0</v>
      </c>
      <c r="R46" s="17"/>
      <c r="S46" s="17"/>
      <c r="T46" s="17">
        <f t="shared" si="14"/>
        <v>0</v>
      </c>
      <c r="U46" s="17">
        <f t="shared" si="4"/>
        <v>0</v>
      </c>
      <c r="V46" s="18">
        <f t="shared" si="12"/>
        <v>0</v>
      </c>
      <c r="W46" s="16">
        <f>IF(T46=0,0,W45+R46+S46-H46)</f>
        <v>0</v>
      </c>
    </row>
    <row r="47" spans="2:23" x14ac:dyDescent="0.35">
      <c r="B47" s="47">
        <f t="shared" si="0"/>
        <v>44944</v>
      </c>
      <c r="C47" s="48">
        <f t="shared" si="1"/>
        <v>44945</v>
      </c>
      <c r="D47" s="33"/>
      <c r="E47" s="13">
        <f>IF(SUM(E$29:E46)=$I$24,0,IF((D47&lt;=$I$24-SUM(E$29:E46)),D47,$I$24-SUM(E$29:E46)))</f>
        <v>0</v>
      </c>
      <c r="F47" s="13">
        <f>IF($I$19&gt;0,IF(SUM(F$29:F46)&lt;$I$19,IF((D47-E47)&gt;0,IF($I$20=0,IF($I$19-SUM(F$29:F46)&gt;D47,D47,$I$19-SUM(F$29:F46)),E47),D47),0)+IF($I$20&gt;0,IF(D47-$I$20-SUM($H$29:H46)-IF($I$19=0,0,E47)&gt;0,IF(D47-$I$20-SUM($H$29:H46)-IF($I$19=0,0,E47)&gt;$I$19,$I$19-SUM(F$29:F46)-E47,D47-$I$20-SUM($H$29:H46)-IF($I$19=0,0,E47)),0),0),0)</f>
        <v>0</v>
      </c>
      <c r="G47" s="13">
        <f t="shared" si="2"/>
        <v>0</v>
      </c>
      <c r="H47" s="17">
        <f t="shared" si="5"/>
        <v>0</v>
      </c>
      <c r="I47" s="13"/>
      <c r="J47" s="13"/>
      <c r="K47" s="13">
        <f t="shared" si="6"/>
        <v>0</v>
      </c>
      <c r="L47" s="13">
        <f t="shared" si="7"/>
        <v>0</v>
      </c>
      <c r="M47" s="13">
        <f t="shared" si="8"/>
        <v>0</v>
      </c>
      <c r="N47" s="13">
        <f t="shared" si="3"/>
        <v>0</v>
      </c>
      <c r="O47" s="13">
        <f t="shared" si="9"/>
        <v>0</v>
      </c>
      <c r="P47" s="13">
        <f t="shared" si="10"/>
        <v>0</v>
      </c>
      <c r="Q47" s="13">
        <f t="shared" si="11"/>
        <v>0</v>
      </c>
      <c r="R47" s="17"/>
      <c r="S47" s="17"/>
      <c r="T47" s="17">
        <f t="shared" si="14"/>
        <v>0</v>
      </c>
      <c r="U47" s="17">
        <f t="shared" si="4"/>
        <v>0</v>
      </c>
      <c r="V47" s="18">
        <f t="shared" si="12"/>
        <v>0</v>
      </c>
      <c r="W47" s="16">
        <f t="shared" si="13"/>
        <v>0</v>
      </c>
    </row>
    <row r="48" spans="2:23" x14ac:dyDescent="0.35">
      <c r="B48" s="47">
        <f t="shared" si="0"/>
        <v>44945</v>
      </c>
      <c r="C48" s="48">
        <f t="shared" si="1"/>
        <v>44946</v>
      </c>
      <c r="D48" s="33"/>
      <c r="E48" s="13">
        <f>IF(SUM(E$29:E47)=$I$24,0,IF((D48&lt;=$I$24-SUM(E$29:E47)),D48,$I$24-SUM(E$29:E47)))</f>
        <v>0</v>
      </c>
      <c r="F48" s="13">
        <f>IF($I$19&gt;0,IF(SUM(F$29:F47)&lt;$I$19,IF((D48-E48)&gt;0,IF($I$20=0,IF($I$19-SUM(F$29:F47)&gt;D48,D48,$I$19-SUM(F$29:F47)),E48),D48),0)+IF($I$20&gt;0,IF(D48-$I$20-SUM($H$29:H47)-IF($I$19=0,0,E48)&gt;0,IF(D48-$I$20-SUM($H$29:H47)-IF($I$19=0,0,E48)&gt;$I$19,$I$19-SUM(F$29:F47)-E48,D48-$I$20-SUM($H$29:H47)-IF($I$19=0,0,E48)),0),0),0)</f>
        <v>0</v>
      </c>
      <c r="G48" s="13">
        <f t="shared" si="2"/>
        <v>0</v>
      </c>
      <c r="H48" s="17">
        <f t="shared" si="5"/>
        <v>0</v>
      </c>
      <c r="I48" s="13"/>
      <c r="J48" s="13"/>
      <c r="K48" s="13">
        <f t="shared" si="6"/>
        <v>0</v>
      </c>
      <c r="L48" s="13">
        <f t="shared" si="7"/>
        <v>0</v>
      </c>
      <c r="M48" s="13">
        <f t="shared" si="8"/>
        <v>0</v>
      </c>
      <c r="N48" s="13">
        <f t="shared" si="3"/>
        <v>0</v>
      </c>
      <c r="O48" s="13">
        <f t="shared" si="9"/>
        <v>0</v>
      </c>
      <c r="P48" s="13">
        <f t="shared" si="10"/>
        <v>0</v>
      </c>
      <c r="Q48" s="13">
        <f t="shared" si="11"/>
        <v>0</v>
      </c>
      <c r="R48" s="17"/>
      <c r="S48" s="17"/>
      <c r="T48" s="17">
        <f t="shared" si="14"/>
        <v>0</v>
      </c>
      <c r="U48" s="17">
        <f t="shared" si="4"/>
        <v>0</v>
      </c>
      <c r="V48" s="18">
        <f t="shared" si="12"/>
        <v>0</v>
      </c>
      <c r="W48" s="16">
        <f t="shared" si="13"/>
        <v>0</v>
      </c>
    </row>
    <row r="49" spans="2:23" x14ac:dyDescent="0.35">
      <c r="B49" s="47">
        <f t="shared" si="0"/>
        <v>44946</v>
      </c>
      <c r="C49" s="48">
        <f t="shared" si="1"/>
        <v>44947</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5"/>
        <v>0</v>
      </c>
      <c r="I49" s="13"/>
      <c r="J49" s="13"/>
      <c r="K49" s="13">
        <f t="shared" si="6"/>
        <v>0</v>
      </c>
      <c r="L49" s="13">
        <f>M49-M48</f>
        <v>0</v>
      </c>
      <c r="M49" s="13">
        <f t="shared" si="8"/>
        <v>0</v>
      </c>
      <c r="N49" s="13">
        <f t="shared" si="3"/>
        <v>0</v>
      </c>
      <c r="O49" s="13">
        <f t="shared" si="9"/>
        <v>0</v>
      </c>
      <c r="P49" s="13">
        <f t="shared" si="10"/>
        <v>0</v>
      </c>
      <c r="Q49" s="13">
        <f t="shared" si="11"/>
        <v>0</v>
      </c>
      <c r="R49" s="17"/>
      <c r="S49" s="17"/>
      <c r="T49" s="17">
        <f t="shared" si="14"/>
        <v>0</v>
      </c>
      <c r="U49" s="17">
        <f t="shared" si="4"/>
        <v>0</v>
      </c>
      <c r="V49" s="18">
        <f t="shared" si="12"/>
        <v>0</v>
      </c>
      <c r="W49" s="16">
        <f t="shared" si="13"/>
        <v>0</v>
      </c>
    </row>
    <row r="50" spans="2:23" x14ac:dyDescent="0.35">
      <c r="B50" s="47">
        <f t="shared" si="0"/>
        <v>44947</v>
      </c>
      <c r="C50" s="48">
        <f t="shared" si="1"/>
        <v>44948</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5"/>
        <v>0</v>
      </c>
      <c r="I50" s="13"/>
      <c r="J50" s="13"/>
      <c r="K50" s="13">
        <f t="shared" si="6"/>
        <v>0</v>
      </c>
      <c r="L50" s="13">
        <f t="shared" si="7"/>
        <v>0</v>
      </c>
      <c r="M50" s="13">
        <f t="shared" si="8"/>
        <v>0</v>
      </c>
      <c r="N50" s="13">
        <f t="shared" si="3"/>
        <v>0</v>
      </c>
      <c r="O50" s="13">
        <f t="shared" si="9"/>
        <v>0</v>
      </c>
      <c r="P50" s="13">
        <f t="shared" si="10"/>
        <v>0</v>
      </c>
      <c r="Q50" s="13">
        <f t="shared" si="11"/>
        <v>0</v>
      </c>
      <c r="R50" s="17"/>
      <c r="S50" s="17"/>
      <c r="T50" s="17">
        <f t="shared" si="14"/>
        <v>0</v>
      </c>
      <c r="U50" s="17">
        <f t="shared" si="4"/>
        <v>0</v>
      </c>
      <c r="V50" s="18">
        <f t="shared" si="12"/>
        <v>0</v>
      </c>
      <c r="W50" s="16">
        <f t="shared" si="13"/>
        <v>0</v>
      </c>
    </row>
    <row r="51" spans="2:23" x14ac:dyDescent="0.35">
      <c r="B51" s="47">
        <f t="shared" si="0"/>
        <v>44948</v>
      </c>
      <c r="C51" s="48">
        <f t="shared" si="1"/>
        <v>44949</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5"/>
        <v>0</v>
      </c>
      <c r="I51" s="13"/>
      <c r="J51" s="13"/>
      <c r="K51" s="13">
        <f t="shared" si="6"/>
        <v>0</v>
      </c>
      <c r="L51" s="13">
        <f t="shared" si="7"/>
        <v>0</v>
      </c>
      <c r="M51" s="13">
        <f t="shared" si="8"/>
        <v>0</v>
      </c>
      <c r="N51" s="13">
        <f t="shared" si="3"/>
        <v>0</v>
      </c>
      <c r="O51" s="13">
        <f t="shared" si="9"/>
        <v>0</v>
      </c>
      <c r="P51" s="13">
        <f t="shared" si="10"/>
        <v>0</v>
      </c>
      <c r="Q51" s="13">
        <f t="shared" si="11"/>
        <v>0</v>
      </c>
      <c r="R51" s="17"/>
      <c r="S51" s="17"/>
      <c r="T51" s="17">
        <f t="shared" si="14"/>
        <v>0</v>
      </c>
      <c r="U51" s="17">
        <f t="shared" si="4"/>
        <v>0</v>
      </c>
      <c r="V51" s="18">
        <f t="shared" si="12"/>
        <v>0</v>
      </c>
      <c r="W51" s="16">
        <f t="shared" si="13"/>
        <v>0</v>
      </c>
    </row>
    <row r="52" spans="2:23" x14ac:dyDescent="0.35">
      <c r="B52" s="47">
        <f t="shared" si="0"/>
        <v>44949</v>
      </c>
      <c r="C52" s="48">
        <f t="shared" si="1"/>
        <v>44950</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5"/>
        <v>0</v>
      </c>
      <c r="I52" s="13"/>
      <c r="J52" s="13"/>
      <c r="K52" s="13">
        <f t="shared" si="6"/>
        <v>0</v>
      </c>
      <c r="L52" s="13">
        <f t="shared" si="7"/>
        <v>0</v>
      </c>
      <c r="M52" s="13">
        <f t="shared" si="8"/>
        <v>0</v>
      </c>
      <c r="N52" s="13">
        <f t="shared" si="3"/>
        <v>0</v>
      </c>
      <c r="O52" s="13">
        <f t="shared" si="9"/>
        <v>0</v>
      </c>
      <c r="P52" s="13">
        <f t="shared" si="10"/>
        <v>0</v>
      </c>
      <c r="Q52" s="13">
        <f t="shared" si="11"/>
        <v>0</v>
      </c>
      <c r="R52" s="17"/>
      <c r="S52" s="17"/>
      <c r="T52" s="17">
        <f t="shared" si="14"/>
        <v>0</v>
      </c>
      <c r="U52" s="17">
        <f t="shared" si="4"/>
        <v>0</v>
      </c>
      <c r="V52" s="18">
        <f t="shared" si="12"/>
        <v>0</v>
      </c>
      <c r="W52" s="16">
        <f t="shared" si="13"/>
        <v>0</v>
      </c>
    </row>
    <row r="53" spans="2:23" x14ac:dyDescent="0.35">
      <c r="B53" s="47">
        <f t="shared" si="0"/>
        <v>44950</v>
      </c>
      <c r="C53" s="48">
        <f t="shared" si="1"/>
        <v>44951</v>
      </c>
      <c r="D53" s="33"/>
      <c r="E53" s="13">
        <f>IF(SUM(E$29:E52)=$I$24,0,IF((D53&lt;=$I$24-SUM(E$29:E52)),D53,$I$24-SUM(E$29:E52)))</f>
        <v>0</v>
      </c>
      <c r="F53" s="13">
        <f>IF($I$19&gt;0,IF(SUM(F$29:F52)&lt;$I$19,IF((D53-E53)&gt;0,IF($I$20=0,IF($I$19-SUM(F$29:F52)&gt;D53,D53,$I$19-SUM(F$29:F52)),E53),D53),0)+IF($I$20&gt;0,IF(D53-$I$20-SUM($H$29:H52)-IF($I$19=0,0,E53)&gt;0,IF(D53-$I$20-SUM($H$29:H52)-IF($I$19=0,0,E53)&gt;$I$19,$I$19-SUM(F$29:F52)-E53,D53-$I$20-SUM($H$29:H52)-IF($I$19=0,0,E53)),0),0),0)</f>
        <v>0</v>
      </c>
      <c r="G53" s="13">
        <f t="shared" si="2"/>
        <v>0</v>
      </c>
      <c r="H53" s="17">
        <f t="shared" si="5"/>
        <v>0</v>
      </c>
      <c r="I53" s="13"/>
      <c r="J53" s="13"/>
      <c r="K53" s="13">
        <f t="shared" si="6"/>
        <v>0</v>
      </c>
      <c r="L53" s="13">
        <f t="shared" si="7"/>
        <v>0</v>
      </c>
      <c r="M53" s="13">
        <f t="shared" si="8"/>
        <v>0</v>
      </c>
      <c r="N53" s="13">
        <f t="shared" si="3"/>
        <v>0</v>
      </c>
      <c r="O53" s="13">
        <f t="shared" si="9"/>
        <v>0</v>
      </c>
      <c r="P53" s="13">
        <f t="shared" si="10"/>
        <v>0</v>
      </c>
      <c r="Q53" s="13">
        <f t="shared" si="11"/>
        <v>0</v>
      </c>
      <c r="R53" s="17"/>
      <c r="S53" s="17"/>
      <c r="T53" s="17">
        <f t="shared" si="14"/>
        <v>0</v>
      </c>
      <c r="U53" s="17">
        <f t="shared" si="4"/>
        <v>0</v>
      </c>
      <c r="V53" s="18">
        <f t="shared" si="12"/>
        <v>0</v>
      </c>
      <c r="W53" s="16">
        <f t="shared" si="13"/>
        <v>0</v>
      </c>
    </row>
    <row r="54" spans="2:23" x14ac:dyDescent="0.35">
      <c r="B54" s="47">
        <f t="shared" si="0"/>
        <v>44951</v>
      </c>
      <c r="C54" s="48">
        <f t="shared" si="1"/>
        <v>44952</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5"/>
        <v>0</v>
      </c>
      <c r="I54" s="13"/>
      <c r="J54" s="13"/>
      <c r="K54" s="13">
        <f t="shared" si="6"/>
        <v>0</v>
      </c>
      <c r="L54" s="13">
        <f t="shared" si="7"/>
        <v>0</v>
      </c>
      <c r="M54" s="13">
        <f t="shared" si="8"/>
        <v>0</v>
      </c>
      <c r="N54" s="13">
        <f t="shared" si="3"/>
        <v>0</v>
      </c>
      <c r="O54" s="13">
        <f t="shared" si="9"/>
        <v>0</v>
      </c>
      <c r="P54" s="13">
        <f t="shared" si="10"/>
        <v>0</v>
      </c>
      <c r="Q54" s="13">
        <f t="shared" si="11"/>
        <v>0</v>
      </c>
      <c r="R54" s="17"/>
      <c r="S54" s="17"/>
      <c r="T54" s="17">
        <f t="shared" si="14"/>
        <v>0</v>
      </c>
      <c r="U54" s="17">
        <f t="shared" si="4"/>
        <v>0</v>
      </c>
      <c r="V54" s="18">
        <f t="shared" si="12"/>
        <v>0</v>
      </c>
      <c r="W54" s="16">
        <f t="shared" si="13"/>
        <v>0</v>
      </c>
    </row>
    <row r="55" spans="2:23" x14ac:dyDescent="0.35">
      <c r="B55" s="47">
        <f t="shared" si="0"/>
        <v>44952</v>
      </c>
      <c r="C55" s="48">
        <f t="shared" si="1"/>
        <v>44953</v>
      </c>
      <c r="D55" s="33"/>
      <c r="E55" s="13">
        <f>IF(SUM(E$29:E54)=$I$24,0,IF((D55&lt;=$I$24-SUM(E$29:E54)),D55,$I$24-SUM(E$29:E54)))</f>
        <v>0</v>
      </c>
      <c r="F55" s="13">
        <f>IF($I$19&gt;0,IF(SUM(F$29:F54)&lt;$I$19,IF((D55-E55)&gt;0,IF($I$20=0,IF($I$19-SUM(F$29:F54)&gt;D55,D55,$I$19-SUM(F$29:F54)),E55),D55),0)+IF($I$20&gt;0,IF(D55-$I$20-SUM($H$29:H54)-IF($I$19=0,0,E55)&gt;0,IF(D55-$I$20-SUM($H$29:H54)-IF($I$19=0,0,E55)&gt;$I$19,$I$19-SUM(F$29:F54)-E55,D55-$I$20-SUM($H$29:H54)-IF($I$19=0,0,E55)),0),0),0)</f>
        <v>0</v>
      </c>
      <c r="G55" s="13">
        <f t="shared" si="2"/>
        <v>0</v>
      </c>
      <c r="H55" s="17">
        <f t="shared" si="5"/>
        <v>0</v>
      </c>
      <c r="I55" s="13"/>
      <c r="J55" s="13"/>
      <c r="K55" s="13">
        <f t="shared" si="6"/>
        <v>0</v>
      </c>
      <c r="L55" s="13">
        <f t="shared" si="7"/>
        <v>0</v>
      </c>
      <c r="M55" s="13">
        <f t="shared" si="8"/>
        <v>0</v>
      </c>
      <c r="N55" s="13">
        <f t="shared" si="3"/>
        <v>0</v>
      </c>
      <c r="O55" s="13">
        <f t="shared" si="9"/>
        <v>0</v>
      </c>
      <c r="P55" s="13">
        <f t="shared" si="10"/>
        <v>0</v>
      </c>
      <c r="Q55" s="13">
        <f t="shared" si="11"/>
        <v>0</v>
      </c>
      <c r="R55" s="17"/>
      <c r="S55" s="17"/>
      <c r="T55" s="17">
        <f t="shared" si="14"/>
        <v>0</v>
      </c>
      <c r="U55" s="17">
        <f t="shared" si="4"/>
        <v>0</v>
      </c>
      <c r="V55" s="18">
        <f t="shared" si="12"/>
        <v>0</v>
      </c>
      <c r="W55" s="16">
        <f t="shared" si="13"/>
        <v>0</v>
      </c>
    </row>
    <row r="56" spans="2:23" x14ac:dyDescent="0.35">
      <c r="B56" s="47">
        <f t="shared" si="0"/>
        <v>44953</v>
      </c>
      <c r="C56" s="48">
        <f t="shared" si="1"/>
        <v>44954</v>
      </c>
      <c r="D56" s="75"/>
      <c r="E56" s="14">
        <f>IF(SUM(E$29:E55)=$I$24,0,IF((D56&lt;=$I$24-SUM(E$29:E55)),D56,$I$24-SUM(E$29:E55)))</f>
        <v>0</v>
      </c>
      <c r="F56" s="13">
        <f>IF($I$19&gt;0,IF(SUM(F$29:F55)&lt;$I$19,IF((D56-E56)&gt;0,IF($I$20=0,IF($I$19-SUM(F$29:F55)&gt;D56,D56,$I$19-SUM(F$29:F55)),E56),D56),0)+IF($I$20&gt;0,IF(D56-$I$20-SUM($H$29:H55)-IF($I$19=0,0,E56)&gt;0,IF(D56-$I$20-SUM($H$29:H55)-IF($I$19=0,0,E56)&gt;$I$19,$I$19-SUM(F$29:F55)-E56,D56-$I$20-SUM($H$29:H55)-IF($I$19=0,0,E56)),0),0),0)</f>
        <v>0</v>
      </c>
      <c r="G56" s="13">
        <f t="shared" si="2"/>
        <v>0</v>
      </c>
      <c r="H56" s="17">
        <f t="shared" si="5"/>
        <v>0</v>
      </c>
      <c r="I56" s="14"/>
      <c r="J56" s="14"/>
      <c r="K56" s="13">
        <f t="shared" si="6"/>
        <v>0</v>
      </c>
      <c r="L56" s="13">
        <f t="shared" si="7"/>
        <v>0</v>
      </c>
      <c r="M56" s="13">
        <f t="shared" si="8"/>
        <v>0</v>
      </c>
      <c r="N56" s="13">
        <f t="shared" si="3"/>
        <v>0</v>
      </c>
      <c r="O56" s="13">
        <f t="shared" si="9"/>
        <v>0</v>
      </c>
      <c r="P56" s="13">
        <f t="shared" si="10"/>
        <v>0</v>
      </c>
      <c r="Q56" s="13">
        <f t="shared" si="11"/>
        <v>0</v>
      </c>
      <c r="R56" s="19"/>
      <c r="S56" s="19"/>
      <c r="T56" s="17">
        <f t="shared" si="14"/>
        <v>0</v>
      </c>
      <c r="U56" s="17">
        <f t="shared" si="4"/>
        <v>0</v>
      </c>
      <c r="V56" s="18">
        <f t="shared" si="12"/>
        <v>0</v>
      </c>
      <c r="W56" s="16">
        <f t="shared" si="13"/>
        <v>0</v>
      </c>
    </row>
    <row r="57" spans="2:23" x14ac:dyDescent="0.35">
      <c r="B57" s="47">
        <f t="shared" ref="B57:B59" si="15">C57-1</f>
        <v>44954</v>
      </c>
      <c r="C57" s="48">
        <f t="shared" si="1"/>
        <v>44955</v>
      </c>
      <c r="D57" s="75"/>
      <c r="E57" s="14">
        <f>IF(SUM(E$29:E56)=$I$24,0,IF((D57&lt;=$I$24-SUM(E$29:E56)),D57,$I$24-SUM(E$29:E56)))</f>
        <v>0</v>
      </c>
      <c r="F57" s="13">
        <f>IF($I$19&gt;0,IF(SUM(F$29:F56)&lt;$I$19,IF((D57-E57)&gt;0,IF($I$20=0,IF($I$19-SUM(F$29:F56)&gt;D57,D57,$I$19-SUM(F$29:F56)),E57),D57),0)+IF($I$20&gt;0,IF(D57-$I$20-SUM($H$29:H56)-IF($I$19=0,0,E57)&gt;0,IF(D57-$I$20-SUM($H$29:H56)-IF($I$19=0,0,E57)&gt;$I$19,$I$19-SUM(F$29:F56)-E57,D57-$I$20-SUM($H$29:H56)-IF($I$19=0,0,E57)),0),0),0)</f>
        <v>0</v>
      </c>
      <c r="G57" s="13">
        <f t="shared" ref="G57:G59" si="16">ROUND(D57-F57-H57,2)</f>
        <v>0</v>
      </c>
      <c r="H57" s="17">
        <f t="shared" ref="H57:H59" si="17">IF((T56+U56-V56+R57+S57)&gt;0,IF($I$19=0,E57,0),0)+IF((T56+U56-V56+R57+S57)&gt;0,(IF((D57-F57)&gt;0,(IF((T56+U56-V56+R57+S57)&gt;(D57-F57),(D57-F57-IF($I$19=0,E57,0)),(T56+U56-V56+R57+S57-IF($I$19=0,E57,0)))),0)),0)</f>
        <v>0</v>
      </c>
      <c r="I57" s="14"/>
      <c r="J57" s="14"/>
      <c r="K57" s="13">
        <f t="shared" ref="K57:K59" si="18">IF(SUM($F$29:$F$53)&gt;=$I$19,0,ROUND(K56+L56-F57,2))</f>
        <v>0</v>
      </c>
      <c r="L57" s="13">
        <f t="shared" ref="L57:L59" si="19">M57-M56</f>
        <v>0</v>
      </c>
      <c r="M57" s="13">
        <f t="shared" ref="M57:M59" si="20">IF(K57=0,0,M56+K57*$F$22)</f>
        <v>0</v>
      </c>
      <c r="N57" s="13">
        <f t="shared" ref="N57:N59" si="21">ROUND(N56+I57+J57+O56-G57,2)</f>
        <v>0</v>
      </c>
      <c r="O57" s="13">
        <f t="shared" ref="O57:O58" si="22">P57-P56</f>
        <v>0</v>
      </c>
      <c r="P57" s="13">
        <f t="shared" ref="P57:P58" si="23">ROUND(P56+N57*$F$22,2)</f>
        <v>0</v>
      </c>
      <c r="Q57" s="13">
        <f t="shared" ref="Q57:Q59" si="24">ROUND(N57+K57-M56-P56,2)</f>
        <v>0</v>
      </c>
      <c r="R57" s="19"/>
      <c r="S57" s="19"/>
      <c r="T57" s="17">
        <f t="shared" ref="T57:T59" si="25">T56+U56+R57+S57-H57</f>
        <v>0</v>
      </c>
      <c r="U57" s="17">
        <f t="shared" ref="U57:U59" si="26">V57-V56</f>
        <v>0</v>
      </c>
      <c r="V57" s="18">
        <f t="shared" ref="V57:V59" si="27">V56+T57*$F$23</f>
        <v>0</v>
      </c>
      <c r="W57" s="16">
        <f t="shared" ref="W57:W59" si="28">IF(T57=0,0,W56+R57+S57-H57)</f>
        <v>0</v>
      </c>
    </row>
    <row r="58" spans="2:23" x14ac:dyDescent="0.35">
      <c r="B58" s="47">
        <f t="shared" si="15"/>
        <v>44955</v>
      </c>
      <c r="C58" s="48">
        <f t="shared" si="1"/>
        <v>44956</v>
      </c>
      <c r="D58" s="75"/>
      <c r="E58" s="14">
        <f>IF(SUM(E$29:E57)=$I$24,0,IF((D58&lt;=$I$24-SUM(E$29:E57)),D58,$I$24-SUM(E$29:E57)))</f>
        <v>0</v>
      </c>
      <c r="F58" s="13">
        <f>IF($I$19&gt;0,IF(SUM(F$29:F57)&lt;$I$19,IF((D58-E58)&gt;0,IF($I$20=0,IF($I$19-SUM(F$29:F57)&gt;D58,D58,$I$19-SUM(F$29:F57)),E58),D58),0)+IF($I$20&gt;0,IF(D58-$I$20-SUM($H$29:H57)-IF($I$19=0,0,E58)&gt;0,IF(D58-$I$20-SUM($H$29:H57)-IF($I$19=0,0,E58)&gt;$I$19,$I$19-SUM(F$29:F57)-E58,D58-$I$20-SUM($H$29:H57)-IF($I$19=0,0,E58)),0),0),0)</f>
        <v>0</v>
      </c>
      <c r="G58" s="13">
        <f t="shared" si="16"/>
        <v>0</v>
      </c>
      <c r="H58" s="17">
        <f t="shared" si="17"/>
        <v>0</v>
      </c>
      <c r="I58" s="14"/>
      <c r="J58" s="14"/>
      <c r="K58" s="13">
        <f t="shared" si="18"/>
        <v>0</v>
      </c>
      <c r="L58" s="13">
        <f t="shared" si="19"/>
        <v>0</v>
      </c>
      <c r="M58" s="13">
        <f t="shared" si="20"/>
        <v>0</v>
      </c>
      <c r="N58" s="13">
        <f t="shared" si="21"/>
        <v>0</v>
      </c>
      <c r="O58" s="13">
        <f t="shared" si="22"/>
        <v>0</v>
      </c>
      <c r="P58" s="13">
        <f t="shared" si="23"/>
        <v>0</v>
      </c>
      <c r="Q58" s="13">
        <f t="shared" si="24"/>
        <v>0</v>
      </c>
      <c r="R58" s="19"/>
      <c r="S58" s="19"/>
      <c r="T58" s="17">
        <f t="shared" si="25"/>
        <v>0</v>
      </c>
      <c r="U58" s="17">
        <f t="shared" si="26"/>
        <v>0</v>
      </c>
      <c r="V58" s="18">
        <f t="shared" si="27"/>
        <v>0</v>
      </c>
      <c r="W58" s="16">
        <f t="shared" si="28"/>
        <v>0</v>
      </c>
    </row>
    <row r="59" spans="2:23" x14ac:dyDescent="0.35">
      <c r="B59" s="47">
        <f t="shared" si="15"/>
        <v>44956</v>
      </c>
      <c r="C59" s="48">
        <f t="shared" si="1"/>
        <v>44957</v>
      </c>
      <c r="D59" s="75"/>
      <c r="E59" s="14">
        <f>IF(SUM(E$29:E58)=$I$24,0,IF((D59&lt;=$I$24-SUM(E$29:E58)),D59,$I$24-SUM(E$29:E58)))</f>
        <v>0</v>
      </c>
      <c r="F59" s="13">
        <f>IF($I$19&gt;0,IF(SUM(F$29:F58)&lt;$I$19,IF((D59-E59)&gt;0,IF($I$20=0,IF($I$19-SUM(F$29:F58)&gt;D59,D59,$I$19-SUM(F$29:F58)),E59),D59),0)+IF($I$20&gt;0,IF(D59-$I$20-SUM($H$29:H58)-IF($I$19=0,0,E59)&gt;0,IF(D59-$I$20-SUM($H$29:H58)-IF($I$19=0,0,E59)&gt;$I$19,$I$19-SUM(F$29:F58)-E59,D59-$I$20-SUM($H$29:H58)-IF($I$19=0,0,E59)),0),0),0)</f>
        <v>0</v>
      </c>
      <c r="G59" s="13">
        <f t="shared" si="16"/>
        <v>0</v>
      </c>
      <c r="H59" s="17">
        <f t="shared" si="17"/>
        <v>0</v>
      </c>
      <c r="I59" s="14"/>
      <c r="J59" s="14"/>
      <c r="K59" s="13">
        <f t="shared" si="18"/>
        <v>0</v>
      </c>
      <c r="L59" s="13">
        <f t="shared" si="19"/>
        <v>0</v>
      </c>
      <c r="M59" s="13">
        <f t="shared" si="20"/>
        <v>0</v>
      </c>
      <c r="N59" s="13">
        <f t="shared" si="21"/>
        <v>0</v>
      </c>
      <c r="O59" s="13">
        <f>P59-P58</f>
        <v>0</v>
      </c>
      <c r="P59" s="13">
        <f>ROUND(P58+N59*$F$22,2)</f>
        <v>0</v>
      </c>
      <c r="Q59" s="13">
        <f t="shared" si="24"/>
        <v>0</v>
      </c>
      <c r="R59" s="19"/>
      <c r="S59" s="19"/>
      <c r="T59" s="17">
        <f t="shared" si="25"/>
        <v>0</v>
      </c>
      <c r="U59" s="17">
        <f t="shared" si="26"/>
        <v>0</v>
      </c>
      <c r="V59" s="18">
        <f t="shared" si="27"/>
        <v>0</v>
      </c>
      <c r="W59" s="16">
        <f t="shared" si="28"/>
        <v>0</v>
      </c>
    </row>
    <row r="60" spans="2:23" s="11" customFormat="1" ht="15" thickBot="1" x14ac:dyDescent="0.4">
      <c r="C60" s="81" t="s">
        <v>49</v>
      </c>
      <c r="D60" s="76">
        <f>SUM(D27:D59)</f>
        <v>0</v>
      </c>
      <c r="E60" s="77">
        <f t="shared" ref="E60:L60" si="29">SUM(E29:E59)</f>
        <v>0</v>
      </c>
      <c r="F60" s="77">
        <f t="shared" si="29"/>
        <v>0</v>
      </c>
      <c r="G60" s="77">
        <f t="shared" si="29"/>
        <v>0</v>
      </c>
      <c r="H60" s="78">
        <f t="shared" si="29"/>
        <v>0</v>
      </c>
      <c r="I60" s="79">
        <f t="shared" si="29"/>
        <v>0</v>
      </c>
      <c r="J60" s="77">
        <f t="shared" si="29"/>
        <v>0</v>
      </c>
      <c r="K60" s="77">
        <f t="shared" si="29"/>
        <v>0</v>
      </c>
      <c r="L60" s="77">
        <f t="shared" si="29"/>
        <v>0</v>
      </c>
      <c r="M60" s="79"/>
      <c r="N60" s="77">
        <f>SUM(N29:N59)</f>
        <v>0</v>
      </c>
      <c r="O60" s="77">
        <f>SUM(O29:O59)</f>
        <v>0</v>
      </c>
      <c r="P60" s="79"/>
      <c r="Q60" s="79"/>
      <c r="R60" s="78">
        <f>SUM(R29:R59)</f>
        <v>0</v>
      </c>
      <c r="S60" s="78">
        <f>SUM(S29:S59)</f>
        <v>0</v>
      </c>
      <c r="T60" s="78">
        <f>SUM(T29:T59)</f>
        <v>0</v>
      </c>
      <c r="U60" s="78">
        <f>SUM(U29:U59)</f>
        <v>0</v>
      </c>
      <c r="V60" s="78"/>
      <c r="W60" s="80"/>
    </row>
    <row r="61" spans="2:23" ht="15" thickBot="1" x14ac:dyDescent="0.4">
      <c r="H61"/>
      <c r="J61" s="82" t="s">
        <v>71</v>
      </c>
      <c r="K61" s="82">
        <f>K60/$C$18</f>
        <v>0</v>
      </c>
      <c r="M61" s="82" t="s">
        <v>69</v>
      </c>
      <c r="N61" s="82">
        <f>N60/$C$18</f>
        <v>0</v>
      </c>
      <c r="S61" s="83" t="s">
        <v>65</v>
      </c>
      <c r="T61" s="83">
        <f>T60/C18</f>
        <v>0</v>
      </c>
    </row>
    <row r="62" spans="2:23" ht="15" thickBot="1" x14ac:dyDescent="0.4">
      <c r="H62"/>
      <c r="J62" s="82" t="s">
        <v>72</v>
      </c>
      <c r="K62" s="82">
        <f>M59</f>
        <v>0</v>
      </c>
      <c r="M62" s="82" t="s">
        <v>70</v>
      </c>
      <c r="N62" s="82">
        <f>IF(ROUND(N59,2)=0,0,N61*$F$22*$C$18)</f>
        <v>0</v>
      </c>
      <c r="S62" s="82" t="s">
        <v>64</v>
      </c>
      <c r="T62" s="82">
        <f>T61*F23*C18</f>
        <v>0</v>
      </c>
    </row>
    <row r="63" spans="2:23" x14ac:dyDescent="0.35">
      <c r="U63" s="61"/>
    </row>
  </sheetData>
  <mergeCells count="11">
    <mergeCell ref="J11:J12"/>
    <mergeCell ref="E2:F2"/>
    <mergeCell ref="H6:I6"/>
    <mergeCell ref="H10:I10"/>
    <mergeCell ref="H14:I14"/>
    <mergeCell ref="H18:I18"/>
    <mergeCell ref="D27:H27"/>
    <mergeCell ref="R27:W27"/>
    <mergeCell ref="B21:C21"/>
    <mergeCell ref="E21:F21"/>
    <mergeCell ref="I27:Q27"/>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30757-73E5-4C63-8DBA-18E5AE174990}">
  <dimension ref="B1:W65"/>
  <sheetViews>
    <sheetView topLeftCell="A35" zoomScale="63" zoomScaleNormal="63" workbookViewId="0">
      <selection activeCell="E61" sqref="E61"/>
    </sheetView>
  </sheetViews>
  <sheetFormatPr defaultRowHeight="14.5" x14ac:dyDescent="0.35"/>
  <cols>
    <col min="2" max="2" width="36.7265625" style="1" customWidth="1"/>
    <col min="3" max="3" width="39.6328125" style="2" customWidth="1"/>
    <col min="4" max="4" width="14.1796875" customWidth="1"/>
    <col min="5" max="5" width="24.36328125" bestFit="1" customWidth="1"/>
    <col min="6" max="6" width="22.6328125" customWidth="1"/>
    <col min="7" max="7" width="18.54296875" customWidth="1"/>
    <col min="8" max="8" width="25.453125" style="1" customWidth="1"/>
    <col min="9" max="9" width="17.54296875" customWidth="1"/>
    <col min="10" max="10" width="28.26953125" customWidth="1"/>
    <col min="11" max="11" width="14.453125" customWidth="1"/>
    <col min="12" max="12" width="10.36328125" bestFit="1" customWidth="1"/>
    <col min="13" max="13" width="27.1796875" bestFit="1" customWidth="1"/>
    <col min="14" max="14" width="13.1796875" customWidth="1"/>
    <col min="15" max="15" width="11.6328125" customWidth="1"/>
    <col min="16" max="16" width="13.1796875" bestFit="1" customWidth="1"/>
    <col min="17" max="17" width="19.26953125" bestFit="1" customWidth="1"/>
    <col min="18" max="18" width="9.1796875" bestFit="1" customWidth="1"/>
    <col min="19" max="19" width="19.26953125" bestFit="1" customWidth="1"/>
    <col min="20" max="20" width="11.54296875" bestFit="1" customWidth="1"/>
    <col min="21" max="21" width="8.7265625" customWidth="1"/>
    <col min="22" max="22" width="8.54296875" customWidth="1"/>
    <col min="23" max="23" width="13" customWidth="1"/>
  </cols>
  <sheetData>
    <row r="1" spans="2:13" ht="15" thickBot="1" x14ac:dyDescent="0.4"/>
    <row r="2" spans="2:13" ht="15" thickBot="1" x14ac:dyDescent="0.4">
      <c r="B2" s="27" t="s">
        <v>23</v>
      </c>
      <c r="C2" s="36"/>
      <c r="E2" s="116" t="s">
        <v>50</v>
      </c>
      <c r="F2" s="117"/>
    </row>
    <row r="3" spans="2:13" ht="15" thickBot="1" x14ac:dyDescent="0.4">
      <c r="B3" s="28" t="s">
        <v>1</v>
      </c>
      <c r="C3" s="37">
        <v>25</v>
      </c>
      <c r="E3" s="45" t="s">
        <v>24</v>
      </c>
      <c r="F3" s="46">
        <f>C17</f>
        <v>44985</v>
      </c>
    </row>
    <row r="4" spans="2:13" ht="15" thickBot="1" x14ac:dyDescent="0.4">
      <c r="B4"/>
      <c r="C4"/>
      <c r="E4" s="62" t="s">
        <v>25</v>
      </c>
      <c r="F4" s="62">
        <f>'Jan Statement'!F11</f>
        <v>0</v>
      </c>
    </row>
    <row r="5" spans="2:13" ht="15" thickBot="1" x14ac:dyDescent="0.4">
      <c r="B5" s="29" t="s">
        <v>5</v>
      </c>
      <c r="C5" s="38">
        <v>45261</v>
      </c>
      <c r="E5" s="32" t="s">
        <v>10</v>
      </c>
      <c r="F5" s="33">
        <f>SUM(I11:I12)</f>
        <v>0</v>
      </c>
    </row>
    <row r="6" spans="2:13" x14ac:dyDescent="0.35">
      <c r="B6" s="30" t="s">
        <v>8</v>
      </c>
      <c r="C6" s="39">
        <v>44926</v>
      </c>
      <c r="E6" s="34" t="s">
        <v>26</v>
      </c>
      <c r="F6" s="35">
        <f>I57</f>
        <v>0</v>
      </c>
      <c r="H6" s="103" t="s">
        <v>40</v>
      </c>
      <c r="I6" s="104"/>
    </row>
    <row r="7" spans="2:13" ht="29" x14ac:dyDescent="0.35">
      <c r="B7" s="30" t="s">
        <v>6</v>
      </c>
      <c r="C7" s="40">
        <v>31</v>
      </c>
      <c r="E7" s="34" t="s">
        <v>27</v>
      </c>
      <c r="F7" s="35">
        <f>R57</f>
        <v>0</v>
      </c>
      <c r="H7" s="7" t="s">
        <v>37</v>
      </c>
      <c r="I7" s="8">
        <f>J57</f>
        <v>0</v>
      </c>
      <c r="L7" s="61"/>
    </row>
    <row r="8" spans="2:13" ht="29.5" thickBot="1" x14ac:dyDescent="0.4">
      <c r="B8" s="31" t="s">
        <v>7</v>
      </c>
      <c r="C8" s="41">
        <v>44951</v>
      </c>
      <c r="E8" s="34" t="s">
        <v>28</v>
      </c>
      <c r="F8" s="35">
        <f>SUM(I7:I8)</f>
        <v>0</v>
      </c>
      <c r="H8" s="49" t="s">
        <v>38</v>
      </c>
      <c r="I8" s="50">
        <f>S57</f>
        <v>0</v>
      </c>
      <c r="L8" s="61"/>
    </row>
    <row r="9" spans="2:13" ht="29.5" customHeight="1" thickBot="1" x14ac:dyDescent="0.4">
      <c r="B9"/>
      <c r="C9" s="3"/>
      <c r="E9" s="34" t="s">
        <v>29</v>
      </c>
      <c r="F9" s="35">
        <f>SUM(I15:I16)</f>
        <v>0</v>
      </c>
      <c r="L9" s="61"/>
    </row>
    <row r="10" spans="2:13" ht="15" thickBot="1" x14ac:dyDescent="0.4">
      <c r="B10" s="29" t="s">
        <v>12</v>
      </c>
      <c r="C10" s="38">
        <f>'Jan Statement'!C16</f>
        <v>44927</v>
      </c>
      <c r="E10" s="4"/>
      <c r="F10" s="6"/>
      <c r="H10" s="125" t="s">
        <v>41</v>
      </c>
      <c r="I10" s="126"/>
      <c r="J10" s="127"/>
    </row>
    <row r="11" spans="2:13" ht="14.5" customHeight="1" x14ac:dyDescent="0.35">
      <c r="B11" s="30" t="s">
        <v>13</v>
      </c>
      <c r="C11" s="39">
        <f>C10+C12-1</f>
        <v>44957</v>
      </c>
      <c r="E11" s="55" t="s">
        <v>30</v>
      </c>
      <c r="F11" s="56">
        <f>F4+F6+F7+F8+F9-F5</f>
        <v>0</v>
      </c>
      <c r="H11" s="72" t="s">
        <v>42</v>
      </c>
      <c r="I11" s="73">
        <f>SUM(F57:G57)</f>
        <v>0</v>
      </c>
      <c r="J11" s="114" t="s">
        <v>73</v>
      </c>
      <c r="K11" s="124"/>
    </row>
    <row r="12" spans="2:13" ht="15" thickBot="1" x14ac:dyDescent="0.4">
      <c r="B12" s="30" t="s">
        <v>14</v>
      </c>
      <c r="C12" s="40">
        <v>31</v>
      </c>
      <c r="E12" s="4"/>
      <c r="F12" s="6"/>
      <c r="H12" s="49" t="s">
        <v>43</v>
      </c>
      <c r="I12" s="50">
        <f>H57</f>
        <v>0</v>
      </c>
      <c r="J12" s="115"/>
      <c r="K12" s="124"/>
    </row>
    <row r="13" spans="2:13" ht="15" thickBot="1" x14ac:dyDescent="0.4">
      <c r="B13" s="31" t="s">
        <v>15</v>
      </c>
      <c r="C13" s="41">
        <f>C11+C3</f>
        <v>44982</v>
      </c>
      <c r="E13" s="53" t="s">
        <v>31</v>
      </c>
      <c r="F13" s="91">
        <v>2895.94</v>
      </c>
    </row>
    <row r="14" spans="2:13" x14ac:dyDescent="0.35">
      <c r="E14" s="51" t="s">
        <v>32</v>
      </c>
      <c r="F14" s="52">
        <f>F13-F11</f>
        <v>2895.94</v>
      </c>
      <c r="H14" s="103" t="s">
        <v>44</v>
      </c>
      <c r="I14" s="104"/>
    </row>
    <row r="15" spans="2:13" ht="29.5" thickBot="1" x14ac:dyDescent="0.4">
      <c r="B15"/>
      <c r="C15" s="3"/>
      <c r="E15" s="53" t="s">
        <v>33</v>
      </c>
      <c r="F15" s="54">
        <v>985.94</v>
      </c>
      <c r="H15" s="7" t="s">
        <v>45</v>
      </c>
      <c r="I15" s="8">
        <f>K59</f>
        <v>0</v>
      </c>
      <c r="M15" s="61"/>
    </row>
    <row r="16" spans="2:13" ht="29.5" thickBot="1" x14ac:dyDescent="0.4">
      <c r="B16" s="29" t="s">
        <v>3</v>
      </c>
      <c r="C16" s="38">
        <f>C10+C12</f>
        <v>44958</v>
      </c>
      <c r="E16" s="51" t="s">
        <v>34</v>
      </c>
      <c r="F16" s="52">
        <f>F15-F7-I16</f>
        <v>985.94</v>
      </c>
      <c r="H16" s="49" t="s">
        <v>43</v>
      </c>
      <c r="I16" s="50">
        <f>T59</f>
        <v>0</v>
      </c>
    </row>
    <row r="17" spans="2:23" ht="15" thickBot="1" x14ac:dyDescent="0.4">
      <c r="B17" s="30" t="s">
        <v>9</v>
      </c>
      <c r="C17" s="39">
        <f>C16+C18-1</f>
        <v>44985</v>
      </c>
      <c r="E17" s="42" t="s">
        <v>0</v>
      </c>
      <c r="F17" s="39">
        <f>C17</f>
        <v>44985</v>
      </c>
    </row>
    <row r="18" spans="2:23" ht="15" thickBot="1" x14ac:dyDescent="0.4">
      <c r="B18" s="30" t="s">
        <v>4</v>
      </c>
      <c r="C18" s="40">
        <v>28</v>
      </c>
      <c r="E18" s="43" t="s">
        <v>2</v>
      </c>
      <c r="F18" s="44">
        <f>C18</f>
        <v>28</v>
      </c>
      <c r="H18" s="103" t="s">
        <v>51</v>
      </c>
      <c r="I18" s="104"/>
    </row>
    <row r="19" spans="2:23" ht="15" thickBot="1" x14ac:dyDescent="0.4">
      <c r="B19" s="31" t="s">
        <v>16</v>
      </c>
      <c r="C19" s="38">
        <v>45010</v>
      </c>
      <c r="H19" s="7" t="s">
        <v>42</v>
      </c>
      <c r="I19" s="8">
        <f>'Jan Statement'!I19+'Jan Statement'!F6+'Jan Statement'!I7+'Jan Statement'!I15-'Jan Statement'!I11</f>
        <v>0</v>
      </c>
    </row>
    <row r="20" spans="2:23" ht="15" thickBot="1" x14ac:dyDescent="0.4">
      <c r="H20" s="49" t="s">
        <v>43</v>
      </c>
      <c r="I20" s="50">
        <f>'Jan Statement'!I20+'Jan Statement'!F7+'Jan Statement'!I8+'Jan Statement'!I16-'Jan Statement'!I12</f>
        <v>0</v>
      </c>
      <c r="J20" s="5"/>
    </row>
    <row r="21" spans="2:23" x14ac:dyDescent="0.35">
      <c r="B21" s="103" t="s">
        <v>17</v>
      </c>
      <c r="C21" s="104"/>
      <c r="E21" s="103" t="s">
        <v>22</v>
      </c>
      <c r="F21" s="104"/>
      <c r="I21" s="62">
        <f>SUM(I19:I20)</f>
        <v>0</v>
      </c>
      <c r="J21" s="5"/>
    </row>
    <row r="22" spans="2:23" x14ac:dyDescent="0.35">
      <c r="B22" s="7" t="s">
        <v>18</v>
      </c>
      <c r="C22" s="57">
        <v>0.22489999999999999</v>
      </c>
      <c r="E22" s="7" t="s">
        <v>18</v>
      </c>
      <c r="F22" s="59">
        <f>C22/365</f>
        <v>6.1616438356164381E-4</v>
      </c>
      <c r="L22" s="61"/>
      <c r="M22" s="61"/>
    </row>
    <row r="23" spans="2:23" ht="15" thickBot="1" x14ac:dyDescent="0.4">
      <c r="B23" s="49" t="s">
        <v>19</v>
      </c>
      <c r="C23" s="58">
        <v>0.2999</v>
      </c>
      <c r="E23" s="49" t="s">
        <v>19</v>
      </c>
      <c r="F23" s="60">
        <f>C23/365</f>
        <v>8.216438356164384E-4</v>
      </c>
      <c r="J23" s="61"/>
    </row>
    <row r="24" spans="2:23" ht="15" thickBot="1" x14ac:dyDescent="0.4">
      <c r="C24" s="9"/>
      <c r="E24" s="1"/>
      <c r="F24" s="10"/>
      <c r="H24" s="63" t="s">
        <v>56</v>
      </c>
      <c r="I24" s="64"/>
      <c r="M24" s="61"/>
    </row>
    <row r="25" spans="2:23" x14ac:dyDescent="0.35">
      <c r="C25" s="9"/>
      <c r="E25" s="1"/>
      <c r="F25" s="10"/>
    </row>
    <row r="26" spans="2:23" ht="15" thickBot="1" x14ac:dyDescent="0.4">
      <c r="C26" s="9"/>
      <c r="E26" s="1"/>
      <c r="F26" s="10"/>
    </row>
    <row r="27" spans="2:23" ht="15" customHeight="1" thickBot="1" x14ac:dyDescent="0.4">
      <c r="B27" s="70"/>
      <c r="C27" s="71"/>
      <c r="D27" s="121" t="s">
        <v>10</v>
      </c>
      <c r="E27" s="121"/>
      <c r="F27" s="121"/>
      <c r="G27" s="121"/>
      <c r="H27" s="121"/>
      <c r="I27" s="120" t="s">
        <v>47</v>
      </c>
      <c r="J27" s="120"/>
      <c r="K27" s="120"/>
      <c r="L27" s="120"/>
      <c r="M27" s="120"/>
      <c r="N27" s="120"/>
      <c r="O27" s="120"/>
      <c r="P27" s="120"/>
      <c r="Q27" s="120"/>
      <c r="R27" s="118" t="s">
        <v>48</v>
      </c>
      <c r="S27" s="118"/>
      <c r="T27" s="118"/>
      <c r="U27" s="118"/>
      <c r="V27" s="118"/>
      <c r="W27" s="119"/>
    </row>
    <row r="28" spans="2:23" s="1" customFormat="1" ht="116.5" thickBot="1" x14ac:dyDescent="0.4">
      <c r="B28" s="68" t="s">
        <v>52</v>
      </c>
      <c r="C28" s="68" t="s">
        <v>53</v>
      </c>
      <c r="D28" s="69" t="s">
        <v>57</v>
      </c>
      <c r="E28" s="69" t="s">
        <v>67</v>
      </c>
      <c r="F28" s="69" t="s">
        <v>66</v>
      </c>
      <c r="G28" s="69" t="s">
        <v>68</v>
      </c>
      <c r="H28" s="69"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3" x14ac:dyDescent="0.35">
      <c r="B29" s="47">
        <f>C29-1</f>
        <v>44957</v>
      </c>
      <c r="C29" s="47">
        <f>C16</f>
        <v>44958</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c r="K29" s="13">
        <v>1000</v>
      </c>
      <c r="L29" s="12">
        <f>M29</f>
        <v>0.61616438356164382</v>
      </c>
      <c r="M29" s="12">
        <f>K29*$F$22</f>
        <v>0.61616438356164382</v>
      </c>
      <c r="N29" s="12">
        <f>I29+J29-G29</f>
        <v>0</v>
      </c>
      <c r="O29" s="12">
        <f>P29</f>
        <v>0</v>
      </c>
      <c r="P29" s="12">
        <f>N29*$F$22</f>
        <v>0</v>
      </c>
      <c r="Q29" s="12">
        <f>K29+N29</f>
        <v>1000</v>
      </c>
      <c r="R29" s="15"/>
      <c r="S29" s="15"/>
      <c r="T29" s="15">
        <f>$I$20+R29+S29-H29</f>
        <v>0</v>
      </c>
      <c r="U29" s="15">
        <f>V29</f>
        <v>0</v>
      </c>
      <c r="V29" s="16">
        <f>T29*$F$23</f>
        <v>0</v>
      </c>
      <c r="W29" s="16">
        <f>IF(T29=0,0,$I$20+R29+S29-H29)</f>
        <v>0</v>
      </c>
    </row>
    <row r="30" spans="2:23" x14ac:dyDescent="0.35">
      <c r="B30" s="47">
        <f t="shared" ref="B30:B56" si="0">C30-1</f>
        <v>44958</v>
      </c>
      <c r="C30" s="48">
        <f t="shared" ref="C30:C56" si="1">C29+1</f>
        <v>44959</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6" si="2">ROUND(D30-F30-H30,2)</f>
        <v>0</v>
      </c>
      <c r="H30" s="17">
        <f>IF((T29+U29-V29+R30+S30)&gt;0,IF($I$19=0,E30,0),0)+IF((T29+U29-V29+R30+S30)&gt;0,(IF((D30-F30)&gt;0,(IF((T29+U29-V29+R30+S30)&gt;(D30-F30),(D30-F30-IF($I$19=0,E30,0)),(T29+U29-V29+R30+S30-IF($I$19=0,E30,0)))),0)),0)</f>
        <v>0</v>
      </c>
      <c r="I30" s="13"/>
      <c r="J30" s="13"/>
      <c r="K30" s="13">
        <f>IF(SUM($F$29:$F$53)&gt;=$I$19,0,ROUND(K29+L29-F30,2))</f>
        <v>0</v>
      </c>
      <c r="L30" s="13">
        <f>M30-M29</f>
        <v>-0.61616438356164382</v>
      </c>
      <c r="M30" s="13">
        <f>IF(K30=0,0,M29+K30*$F$22)</f>
        <v>0</v>
      </c>
      <c r="N30" s="13">
        <f>ROUND(N29+I30+J30+O29-G30,2)</f>
        <v>0</v>
      </c>
      <c r="O30" s="13">
        <f>P30-P29</f>
        <v>0</v>
      </c>
      <c r="P30" s="13">
        <f>ROUND(P29+N30*$F$22,2)</f>
        <v>0</v>
      </c>
      <c r="Q30" s="13">
        <f>ROUND(N30+K30-M29-P29,2)</f>
        <v>-0.62</v>
      </c>
      <c r="R30" s="17"/>
      <c r="S30" s="17"/>
      <c r="T30" s="17">
        <f>T29+U29+R30+S30-H30</f>
        <v>0</v>
      </c>
      <c r="U30" s="17">
        <f t="shared" ref="U30:U56" si="3">V30-V29</f>
        <v>0</v>
      </c>
      <c r="V30" s="18">
        <f>V29+T30*$F$23</f>
        <v>0</v>
      </c>
      <c r="W30" s="16">
        <f>IF(T30=0,0,W29+R30+S30-H30)</f>
        <v>0</v>
      </c>
    </row>
    <row r="31" spans="2:23" x14ac:dyDescent="0.35">
      <c r="B31" s="47">
        <f t="shared" si="0"/>
        <v>44959</v>
      </c>
      <c r="C31" s="48">
        <f t="shared" si="1"/>
        <v>44960</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6" si="4">IF((T30+U30-V30+R31+S31)&gt;0,IF($I$19=0,E31,0),0)+IF((T30+U30-V30+R31+S31)&gt;0,(IF((D31-F31)&gt;0,(IF((T30+U30-V30+R31+S31)&gt;(D31-F31),(D31-F31-IF($I$19=0,E31,0)),(T30+U30-V30+R31+S31-IF($I$19=0,E31,0)))),0)),0)</f>
        <v>0</v>
      </c>
      <c r="I31" s="13"/>
      <c r="J31" s="13"/>
      <c r="K31" s="13">
        <f t="shared" ref="K31:K56" si="5">IF(SUM($F$29:$F$53)&gt;=$I$19,0,ROUND(K30+L30-F31,2))</f>
        <v>0</v>
      </c>
      <c r="L31" s="13">
        <f t="shared" ref="L31:L56" si="6">M31-M30</f>
        <v>0</v>
      </c>
      <c r="M31" s="13">
        <f t="shared" ref="M31:M56" si="7">IF(K31=0,0,M30+K31*$F$22)</f>
        <v>0</v>
      </c>
      <c r="N31" s="13">
        <f t="shared" ref="N31:N56" si="8">ROUND(N30+I31+J31+O30-G31,2)</f>
        <v>0</v>
      </c>
      <c r="O31" s="13">
        <f t="shared" ref="O31:O56" si="9">P31-P30</f>
        <v>0</v>
      </c>
      <c r="P31" s="13">
        <f t="shared" ref="P31:P56" si="10">ROUND(P30+N31*$F$22,2)</f>
        <v>0</v>
      </c>
      <c r="Q31" s="13">
        <f t="shared" ref="Q31:Q56" si="11">ROUND(N31+K31-M30-P30,2)</f>
        <v>0</v>
      </c>
      <c r="R31" s="17"/>
      <c r="S31" s="17"/>
      <c r="T31" s="17">
        <f>T30+U30+R31+S31-H31</f>
        <v>0</v>
      </c>
      <c r="U31" s="17">
        <f t="shared" si="3"/>
        <v>0</v>
      </c>
      <c r="V31" s="18">
        <f t="shared" ref="V31:V56" si="12">V30+T31*$F$23</f>
        <v>0</v>
      </c>
      <c r="W31" s="16">
        <f t="shared" ref="W31:W56" si="13">IF(T31=0,0,W30+R31+S31-H31)</f>
        <v>0</v>
      </c>
    </row>
    <row r="32" spans="2:23" x14ac:dyDescent="0.35">
      <c r="B32" s="47">
        <f t="shared" si="0"/>
        <v>44960</v>
      </c>
      <c r="C32" s="48">
        <f t="shared" si="1"/>
        <v>44961</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4"/>
        <v>0</v>
      </c>
      <c r="I32" s="13"/>
      <c r="J32" s="13"/>
      <c r="K32" s="13">
        <f t="shared" si="5"/>
        <v>0</v>
      </c>
      <c r="L32" s="13">
        <f t="shared" si="6"/>
        <v>0</v>
      </c>
      <c r="M32" s="13">
        <f t="shared" si="7"/>
        <v>0</v>
      </c>
      <c r="N32" s="13">
        <f t="shared" si="8"/>
        <v>0</v>
      </c>
      <c r="O32" s="13">
        <f t="shared" si="9"/>
        <v>0</v>
      </c>
      <c r="P32" s="13">
        <f t="shared" si="10"/>
        <v>0</v>
      </c>
      <c r="Q32" s="13">
        <f t="shared" si="11"/>
        <v>0</v>
      </c>
      <c r="R32" s="17"/>
      <c r="S32" s="17"/>
      <c r="T32" s="17">
        <f>T31+U31+R32+S32-H32</f>
        <v>0</v>
      </c>
      <c r="U32" s="17">
        <f t="shared" si="3"/>
        <v>0</v>
      </c>
      <c r="V32" s="18">
        <f t="shared" si="12"/>
        <v>0</v>
      </c>
      <c r="W32" s="16">
        <f t="shared" si="13"/>
        <v>0</v>
      </c>
    </row>
    <row r="33" spans="2:23" x14ac:dyDescent="0.35">
      <c r="B33" s="47">
        <f t="shared" si="0"/>
        <v>44961</v>
      </c>
      <c r="C33" s="48">
        <f t="shared" si="1"/>
        <v>44962</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4"/>
        <v>0</v>
      </c>
      <c r="I33" s="13"/>
      <c r="J33" s="13"/>
      <c r="K33" s="13">
        <f t="shared" si="5"/>
        <v>0</v>
      </c>
      <c r="L33" s="13">
        <f t="shared" si="6"/>
        <v>0</v>
      </c>
      <c r="M33" s="13">
        <f t="shared" si="7"/>
        <v>0</v>
      </c>
      <c r="N33" s="13">
        <f t="shared" si="8"/>
        <v>0</v>
      </c>
      <c r="O33" s="13">
        <f t="shared" si="9"/>
        <v>0</v>
      </c>
      <c r="P33" s="13">
        <f t="shared" si="10"/>
        <v>0</v>
      </c>
      <c r="Q33" s="13">
        <f t="shared" si="11"/>
        <v>0</v>
      </c>
      <c r="R33" s="17"/>
      <c r="S33" s="17"/>
      <c r="T33" s="17">
        <f t="shared" ref="T33:T56" si="14">T32+U32+R33+S33-H33</f>
        <v>0</v>
      </c>
      <c r="U33" s="17">
        <f t="shared" si="3"/>
        <v>0</v>
      </c>
      <c r="V33" s="18">
        <f t="shared" si="12"/>
        <v>0</v>
      </c>
      <c r="W33" s="16">
        <f t="shared" si="13"/>
        <v>0</v>
      </c>
    </row>
    <row r="34" spans="2:23" x14ac:dyDescent="0.35">
      <c r="B34" s="47">
        <f t="shared" si="0"/>
        <v>44962</v>
      </c>
      <c r="C34" s="48">
        <f t="shared" si="1"/>
        <v>44963</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4"/>
        <v>0</v>
      </c>
      <c r="I34" s="13"/>
      <c r="J34" s="13"/>
      <c r="K34" s="13">
        <f t="shared" si="5"/>
        <v>0</v>
      </c>
      <c r="L34" s="13">
        <f t="shared" si="6"/>
        <v>0</v>
      </c>
      <c r="M34" s="13">
        <f t="shared" si="7"/>
        <v>0</v>
      </c>
      <c r="N34" s="13">
        <f t="shared" si="8"/>
        <v>0</v>
      </c>
      <c r="O34" s="13">
        <f t="shared" si="9"/>
        <v>0</v>
      </c>
      <c r="P34" s="13">
        <f t="shared" si="10"/>
        <v>0</v>
      </c>
      <c r="Q34" s="13">
        <f t="shared" si="11"/>
        <v>0</v>
      </c>
      <c r="R34" s="17"/>
      <c r="S34" s="17"/>
      <c r="T34" s="17">
        <f t="shared" si="14"/>
        <v>0</v>
      </c>
      <c r="U34" s="17">
        <f t="shared" si="3"/>
        <v>0</v>
      </c>
      <c r="V34" s="18">
        <f t="shared" si="12"/>
        <v>0</v>
      </c>
      <c r="W34" s="16">
        <f t="shared" si="13"/>
        <v>0</v>
      </c>
    </row>
    <row r="35" spans="2:23" x14ac:dyDescent="0.35">
      <c r="B35" s="47">
        <f t="shared" si="0"/>
        <v>44963</v>
      </c>
      <c r="C35" s="48">
        <f t="shared" si="1"/>
        <v>44964</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4"/>
        <v>0</v>
      </c>
      <c r="I35" s="13"/>
      <c r="J35" s="13"/>
      <c r="K35" s="13">
        <f t="shared" si="5"/>
        <v>0</v>
      </c>
      <c r="L35" s="13">
        <f t="shared" si="6"/>
        <v>0</v>
      </c>
      <c r="M35" s="13">
        <f t="shared" si="7"/>
        <v>0</v>
      </c>
      <c r="N35" s="13">
        <f t="shared" si="8"/>
        <v>0</v>
      </c>
      <c r="O35" s="13">
        <f t="shared" si="9"/>
        <v>0</v>
      </c>
      <c r="P35" s="13">
        <f t="shared" si="10"/>
        <v>0</v>
      </c>
      <c r="Q35" s="13">
        <f t="shared" si="11"/>
        <v>0</v>
      </c>
      <c r="R35" s="17"/>
      <c r="S35" s="17"/>
      <c r="T35" s="17">
        <f>T34+U34+R35+S35-H35</f>
        <v>0</v>
      </c>
      <c r="U35" s="17">
        <f t="shared" si="3"/>
        <v>0</v>
      </c>
      <c r="V35" s="18">
        <f t="shared" si="12"/>
        <v>0</v>
      </c>
      <c r="W35" s="16">
        <f t="shared" si="13"/>
        <v>0</v>
      </c>
    </row>
    <row r="36" spans="2:23" x14ac:dyDescent="0.35">
      <c r="B36" s="47">
        <f t="shared" si="0"/>
        <v>44964</v>
      </c>
      <c r="C36" s="48">
        <f t="shared" si="1"/>
        <v>44965</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4"/>
        <v>0</v>
      </c>
      <c r="I36" s="13"/>
      <c r="J36" s="13"/>
      <c r="K36" s="13">
        <f t="shared" si="5"/>
        <v>0</v>
      </c>
      <c r="L36" s="13">
        <f t="shared" si="6"/>
        <v>0</v>
      </c>
      <c r="M36" s="13">
        <f t="shared" si="7"/>
        <v>0</v>
      </c>
      <c r="N36" s="13">
        <f t="shared" si="8"/>
        <v>0</v>
      </c>
      <c r="O36" s="13">
        <f t="shared" si="9"/>
        <v>0</v>
      </c>
      <c r="P36" s="13">
        <f t="shared" si="10"/>
        <v>0</v>
      </c>
      <c r="Q36" s="13">
        <f t="shared" si="11"/>
        <v>0</v>
      </c>
      <c r="R36" s="17"/>
      <c r="S36" s="17"/>
      <c r="T36" s="17">
        <f t="shared" si="14"/>
        <v>0</v>
      </c>
      <c r="U36" s="17">
        <f t="shared" si="3"/>
        <v>0</v>
      </c>
      <c r="V36" s="18">
        <f t="shared" si="12"/>
        <v>0</v>
      </c>
      <c r="W36" s="16">
        <f t="shared" si="13"/>
        <v>0</v>
      </c>
    </row>
    <row r="37" spans="2:23" x14ac:dyDescent="0.35">
      <c r="B37" s="47">
        <f t="shared" si="0"/>
        <v>44965</v>
      </c>
      <c r="C37" s="48">
        <f t="shared" si="1"/>
        <v>44966</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4"/>
        <v>0</v>
      </c>
      <c r="I37" s="13"/>
      <c r="J37" s="13"/>
      <c r="K37" s="13">
        <f t="shared" si="5"/>
        <v>0</v>
      </c>
      <c r="L37" s="13">
        <f t="shared" si="6"/>
        <v>0</v>
      </c>
      <c r="M37" s="13">
        <f t="shared" si="7"/>
        <v>0</v>
      </c>
      <c r="N37" s="13">
        <f t="shared" si="8"/>
        <v>0</v>
      </c>
      <c r="O37" s="13">
        <f t="shared" si="9"/>
        <v>0</v>
      </c>
      <c r="P37" s="13">
        <f t="shared" si="10"/>
        <v>0</v>
      </c>
      <c r="Q37" s="13">
        <f t="shared" si="11"/>
        <v>0</v>
      </c>
      <c r="R37" s="17"/>
      <c r="S37" s="17"/>
      <c r="T37" s="17">
        <f t="shared" si="14"/>
        <v>0</v>
      </c>
      <c r="U37" s="17">
        <f t="shared" si="3"/>
        <v>0</v>
      </c>
      <c r="V37" s="18">
        <f t="shared" si="12"/>
        <v>0</v>
      </c>
      <c r="W37" s="16">
        <f t="shared" si="13"/>
        <v>0</v>
      </c>
    </row>
    <row r="38" spans="2:23" x14ac:dyDescent="0.35">
      <c r="B38" s="47">
        <f t="shared" si="0"/>
        <v>44966</v>
      </c>
      <c r="C38" s="48">
        <f t="shared" si="1"/>
        <v>44967</v>
      </c>
      <c r="D38" s="33"/>
      <c r="E38" s="13">
        <f>IF(SUM(E$29:E37)=$I$24,0,IF((D38&lt;=$I$24-SUM(E$29:E37)),D38,$I$24-SUM(E$29:E37)))</f>
        <v>0</v>
      </c>
      <c r="F38" s="13">
        <f>IF($I$19&gt;0,IF(SUM(F$29:F37)&lt;$I$19,IF((D38-E38)&gt;0,IF($I$20=0,IF($I$19-SUM(F$29:F37)&gt;D38,D38,$I$19-SUM(F$29:F37)),E38),D38),0)+IF($I$20&gt;0,IF(D38-$I$20-SUM($H$29:H37)-IF($I$19=0,0,E38)&gt;0,IF(D38-$I$20-SUM($H$29:H37)-IF($I$19=0,0,E38)&gt;$I$19,$I$19-SUM(F$29:F37)-E38,D38-$I$20-SUM($H$29:H37)-IF($I$19=0,0,E38)),0),0),0)</f>
        <v>0</v>
      </c>
      <c r="G38" s="13">
        <f t="shared" si="2"/>
        <v>0</v>
      </c>
      <c r="H38" s="17">
        <f t="shared" si="4"/>
        <v>0</v>
      </c>
      <c r="I38" s="13"/>
      <c r="J38" s="13"/>
      <c r="K38" s="13">
        <f t="shared" si="5"/>
        <v>0</v>
      </c>
      <c r="L38" s="13">
        <f t="shared" si="6"/>
        <v>0</v>
      </c>
      <c r="M38" s="13">
        <f t="shared" si="7"/>
        <v>0</v>
      </c>
      <c r="N38" s="13">
        <f t="shared" si="8"/>
        <v>0</v>
      </c>
      <c r="O38" s="13">
        <f t="shared" si="9"/>
        <v>0</v>
      </c>
      <c r="P38" s="13">
        <f t="shared" si="10"/>
        <v>0</v>
      </c>
      <c r="Q38" s="13">
        <f t="shared" si="11"/>
        <v>0</v>
      </c>
      <c r="R38" s="17"/>
      <c r="S38" s="17"/>
      <c r="T38" s="17">
        <f t="shared" si="14"/>
        <v>0</v>
      </c>
      <c r="U38" s="17">
        <f t="shared" si="3"/>
        <v>0</v>
      </c>
      <c r="V38" s="18">
        <f t="shared" si="12"/>
        <v>0</v>
      </c>
      <c r="W38" s="16">
        <f t="shared" si="13"/>
        <v>0</v>
      </c>
    </row>
    <row r="39" spans="2:23" x14ac:dyDescent="0.35">
      <c r="B39" s="47">
        <f t="shared" si="0"/>
        <v>44967</v>
      </c>
      <c r="C39" s="48">
        <f t="shared" si="1"/>
        <v>44968</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4"/>
        <v>0</v>
      </c>
      <c r="I39" s="13"/>
      <c r="J39" s="13"/>
      <c r="K39" s="13">
        <f t="shared" si="5"/>
        <v>0</v>
      </c>
      <c r="L39" s="13">
        <f t="shared" si="6"/>
        <v>0</v>
      </c>
      <c r="M39" s="13">
        <f t="shared" si="7"/>
        <v>0</v>
      </c>
      <c r="N39" s="13">
        <f t="shared" si="8"/>
        <v>0</v>
      </c>
      <c r="O39" s="13">
        <f>P39-P38</f>
        <v>0</v>
      </c>
      <c r="P39" s="13">
        <f t="shared" si="10"/>
        <v>0</v>
      </c>
      <c r="Q39" s="13">
        <f t="shared" si="11"/>
        <v>0</v>
      </c>
      <c r="R39" s="17"/>
      <c r="S39" s="17"/>
      <c r="T39" s="17">
        <f t="shared" si="14"/>
        <v>0</v>
      </c>
      <c r="U39" s="17">
        <f t="shared" si="3"/>
        <v>0</v>
      </c>
      <c r="V39" s="18">
        <f t="shared" si="12"/>
        <v>0</v>
      </c>
      <c r="W39" s="16">
        <f t="shared" si="13"/>
        <v>0</v>
      </c>
    </row>
    <row r="40" spans="2:23" x14ac:dyDescent="0.35">
      <c r="B40" s="47">
        <f t="shared" si="0"/>
        <v>44968</v>
      </c>
      <c r="C40" s="48">
        <f t="shared" si="1"/>
        <v>44969</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4"/>
        <v>0</v>
      </c>
      <c r="I40" s="13"/>
      <c r="J40" s="13"/>
      <c r="K40" s="13">
        <f t="shared" si="5"/>
        <v>0</v>
      </c>
      <c r="L40" s="13">
        <f t="shared" si="6"/>
        <v>0</v>
      </c>
      <c r="M40" s="13">
        <f t="shared" si="7"/>
        <v>0</v>
      </c>
      <c r="N40" s="13">
        <f t="shared" si="8"/>
        <v>0</v>
      </c>
      <c r="O40" s="13">
        <f t="shared" si="9"/>
        <v>0</v>
      </c>
      <c r="P40" s="13">
        <f t="shared" si="10"/>
        <v>0</v>
      </c>
      <c r="Q40" s="13">
        <f t="shared" si="11"/>
        <v>0</v>
      </c>
      <c r="R40" s="17"/>
      <c r="S40" s="17"/>
      <c r="T40" s="17">
        <f t="shared" si="14"/>
        <v>0</v>
      </c>
      <c r="U40" s="17">
        <f t="shared" si="3"/>
        <v>0</v>
      </c>
      <c r="V40" s="18">
        <f t="shared" si="12"/>
        <v>0</v>
      </c>
      <c r="W40" s="16">
        <f t="shared" si="13"/>
        <v>0</v>
      </c>
    </row>
    <row r="41" spans="2:23" x14ac:dyDescent="0.35">
      <c r="B41" s="47">
        <f t="shared" si="0"/>
        <v>44969</v>
      </c>
      <c r="C41" s="48">
        <f t="shared" si="1"/>
        <v>44970</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4"/>
        <v>0</v>
      </c>
      <c r="I41" s="13"/>
      <c r="J41" s="13"/>
      <c r="K41" s="13">
        <f t="shared" si="5"/>
        <v>0</v>
      </c>
      <c r="L41" s="13">
        <f t="shared" si="6"/>
        <v>0</v>
      </c>
      <c r="M41" s="13">
        <f t="shared" si="7"/>
        <v>0</v>
      </c>
      <c r="N41" s="13">
        <f t="shared" si="8"/>
        <v>0</v>
      </c>
      <c r="O41" s="13">
        <f t="shared" si="9"/>
        <v>0</v>
      </c>
      <c r="P41" s="13">
        <f t="shared" si="10"/>
        <v>0</v>
      </c>
      <c r="Q41" s="13">
        <f t="shared" si="11"/>
        <v>0</v>
      </c>
      <c r="R41" s="17"/>
      <c r="S41" s="17"/>
      <c r="T41" s="17">
        <f t="shared" si="14"/>
        <v>0</v>
      </c>
      <c r="U41" s="17">
        <f t="shared" si="3"/>
        <v>0</v>
      </c>
      <c r="V41" s="18">
        <f t="shared" si="12"/>
        <v>0</v>
      </c>
      <c r="W41" s="16">
        <f t="shared" si="13"/>
        <v>0</v>
      </c>
    </row>
    <row r="42" spans="2:23" x14ac:dyDescent="0.35">
      <c r="B42" s="47">
        <f>C42-2</f>
        <v>44969</v>
      </c>
      <c r="C42" s="48">
        <f t="shared" si="1"/>
        <v>44971</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4"/>
        <v>0</v>
      </c>
      <c r="I42" s="13"/>
      <c r="J42" s="13"/>
      <c r="K42" s="13">
        <f t="shared" si="5"/>
        <v>0</v>
      </c>
      <c r="L42" s="13">
        <f t="shared" si="6"/>
        <v>0</v>
      </c>
      <c r="M42" s="13">
        <f t="shared" si="7"/>
        <v>0</v>
      </c>
      <c r="N42" s="13">
        <f t="shared" si="8"/>
        <v>0</v>
      </c>
      <c r="O42" s="13">
        <f t="shared" si="9"/>
        <v>0</v>
      </c>
      <c r="P42" s="13">
        <f t="shared" si="10"/>
        <v>0</v>
      </c>
      <c r="Q42" s="13">
        <f t="shared" si="11"/>
        <v>0</v>
      </c>
      <c r="R42" s="17"/>
      <c r="S42" s="17"/>
      <c r="T42" s="17">
        <f>T41+U41+R42+S42-H42</f>
        <v>0</v>
      </c>
      <c r="U42" s="17">
        <f>V42-V41</f>
        <v>0</v>
      </c>
      <c r="V42" s="18">
        <f t="shared" si="12"/>
        <v>0</v>
      </c>
      <c r="W42" s="16">
        <f t="shared" si="13"/>
        <v>0</v>
      </c>
    </row>
    <row r="43" spans="2:23" s="90" customFormat="1" x14ac:dyDescent="0.35">
      <c r="B43" s="84">
        <f t="shared" si="0"/>
        <v>44971</v>
      </c>
      <c r="C43" s="85">
        <f t="shared" si="1"/>
        <v>44972</v>
      </c>
      <c r="D43" s="86"/>
      <c r="E43" s="87">
        <f>IF(SUM(E$29:E42)=$I$24,0,IF((D43&lt;=$I$24-SUM(E$29:E42)),D43,$I$24-SUM(E$29:E42)))</f>
        <v>0</v>
      </c>
      <c r="F43" s="87">
        <f>IF($I$19&gt;0,IF(SUM(F$29:F42)&lt;$I$19,IF((D43-E43)&gt;0,IF($I$20=0,IF($I$19-SUM(F$29:F42)&gt;D43,D43,$I$19-SUM(F$29:F42)),E43),D43),0)+IF($I$20&gt;0,IF(D43-$I$20-SUM($H$29:H42)-IF($I$19=0,0,E43)&gt;0,IF(D43-$I$20-SUM($H$29:H42)-IF($I$19=0,0,E43)&gt;$I$19,$I$19-SUM(F$29:F42)-E43,D43-$I$20-SUM($H$29:H42)-IF($I$19=0,0,E43)),0),0),0)</f>
        <v>0</v>
      </c>
      <c r="G43" s="87">
        <f t="shared" si="2"/>
        <v>0</v>
      </c>
      <c r="H43" s="87">
        <f t="shared" si="4"/>
        <v>0</v>
      </c>
      <c r="I43" s="87"/>
      <c r="J43" s="87"/>
      <c r="K43" s="87">
        <f t="shared" si="5"/>
        <v>0</v>
      </c>
      <c r="L43" s="87">
        <f t="shared" si="6"/>
        <v>0</v>
      </c>
      <c r="M43" s="87">
        <f t="shared" si="7"/>
        <v>0</v>
      </c>
      <c r="N43" s="87">
        <f t="shared" si="8"/>
        <v>0</v>
      </c>
      <c r="O43" s="87">
        <f t="shared" si="9"/>
        <v>0</v>
      </c>
      <c r="P43" s="87">
        <f t="shared" si="10"/>
        <v>0</v>
      </c>
      <c r="Q43" s="87">
        <f t="shared" si="11"/>
        <v>0</v>
      </c>
      <c r="R43" s="87"/>
      <c r="S43" s="87"/>
      <c r="T43" s="87">
        <f>T42+U42+R43+S43-H43</f>
        <v>0</v>
      </c>
      <c r="U43" s="87">
        <f t="shared" si="3"/>
        <v>0</v>
      </c>
      <c r="V43" s="88">
        <f t="shared" si="12"/>
        <v>0</v>
      </c>
      <c r="W43" s="89">
        <f t="shared" si="13"/>
        <v>0</v>
      </c>
    </row>
    <row r="44" spans="2:23" x14ac:dyDescent="0.35">
      <c r="B44" s="47">
        <f t="shared" si="0"/>
        <v>44972</v>
      </c>
      <c r="C44" s="48">
        <f t="shared" si="1"/>
        <v>44973</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4"/>
        <v>0</v>
      </c>
      <c r="I44" s="13"/>
      <c r="J44" s="13"/>
      <c r="K44" s="13">
        <f t="shared" si="5"/>
        <v>0</v>
      </c>
      <c r="L44" s="13">
        <f t="shared" si="6"/>
        <v>0</v>
      </c>
      <c r="M44" s="13">
        <f t="shared" si="7"/>
        <v>0</v>
      </c>
      <c r="N44" s="13">
        <f t="shared" si="8"/>
        <v>0</v>
      </c>
      <c r="O44" s="13">
        <f t="shared" si="9"/>
        <v>0</v>
      </c>
      <c r="P44" s="13">
        <f t="shared" si="10"/>
        <v>0</v>
      </c>
      <c r="Q44" s="13">
        <f t="shared" si="11"/>
        <v>0</v>
      </c>
      <c r="R44" s="17"/>
      <c r="S44" s="17"/>
      <c r="T44" s="17">
        <f t="shared" si="14"/>
        <v>0</v>
      </c>
      <c r="U44" s="17">
        <f t="shared" si="3"/>
        <v>0</v>
      </c>
      <c r="V44" s="18">
        <f t="shared" si="12"/>
        <v>0</v>
      </c>
      <c r="W44" s="16">
        <f t="shared" si="13"/>
        <v>0</v>
      </c>
    </row>
    <row r="45" spans="2:23" x14ac:dyDescent="0.35">
      <c r="B45" s="47">
        <f t="shared" si="0"/>
        <v>44973</v>
      </c>
      <c r="C45" s="48">
        <f t="shared" si="1"/>
        <v>44974</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4"/>
        <v>0</v>
      </c>
      <c r="I45" s="13"/>
      <c r="J45" s="13"/>
      <c r="K45" s="13">
        <f t="shared" si="5"/>
        <v>0</v>
      </c>
      <c r="L45" s="13">
        <f t="shared" si="6"/>
        <v>0</v>
      </c>
      <c r="M45" s="13">
        <f t="shared" si="7"/>
        <v>0</v>
      </c>
      <c r="N45" s="13">
        <f t="shared" si="8"/>
        <v>0</v>
      </c>
      <c r="O45" s="13">
        <f t="shared" si="9"/>
        <v>0</v>
      </c>
      <c r="P45" s="13">
        <f t="shared" si="10"/>
        <v>0</v>
      </c>
      <c r="Q45" s="13">
        <f t="shared" si="11"/>
        <v>0</v>
      </c>
      <c r="R45" s="17"/>
      <c r="S45" s="17"/>
      <c r="T45" s="17">
        <f t="shared" si="14"/>
        <v>0</v>
      </c>
      <c r="U45" s="17">
        <f t="shared" si="3"/>
        <v>0</v>
      </c>
      <c r="V45" s="18">
        <f t="shared" si="12"/>
        <v>0</v>
      </c>
      <c r="W45" s="16">
        <f>IF(T45=0,0,W44+R45+S45-H45)</f>
        <v>0</v>
      </c>
    </row>
    <row r="46" spans="2:23" x14ac:dyDescent="0.35">
      <c r="B46" s="47">
        <f t="shared" si="0"/>
        <v>44974</v>
      </c>
      <c r="C46" s="48">
        <f t="shared" si="1"/>
        <v>44975</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4"/>
        <v>0</v>
      </c>
      <c r="I46" s="13"/>
      <c r="J46" s="13"/>
      <c r="K46" s="13">
        <f t="shared" si="5"/>
        <v>0</v>
      </c>
      <c r="L46" s="13">
        <f t="shared" si="6"/>
        <v>0</v>
      </c>
      <c r="M46" s="13">
        <f t="shared" si="7"/>
        <v>0</v>
      </c>
      <c r="N46" s="13">
        <f t="shared" si="8"/>
        <v>0</v>
      </c>
      <c r="O46" s="13">
        <f t="shared" si="9"/>
        <v>0</v>
      </c>
      <c r="P46" s="13">
        <f t="shared" si="10"/>
        <v>0</v>
      </c>
      <c r="Q46" s="13">
        <f t="shared" si="11"/>
        <v>0</v>
      </c>
      <c r="R46" s="17"/>
      <c r="S46" s="17"/>
      <c r="T46" s="17">
        <f t="shared" si="14"/>
        <v>0</v>
      </c>
      <c r="U46" s="17">
        <f t="shared" si="3"/>
        <v>0</v>
      </c>
      <c r="V46" s="18">
        <f t="shared" si="12"/>
        <v>0</v>
      </c>
      <c r="W46" s="16">
        <f>IF(T46=0,0,W45+R46+S46-H46)</f>
        <v>0</v>
      </c>
    </row>
    <row r="47" spans="2:23" s="90" customFormat="1" x14ac:dyDescent="0.35">
      <c r="B47" s="84">
        <f t="shared" si="0"/>
        <v>44975</v>
      </c>
      <c r="C47" s="85">
        <f t="shared" si="1"/>
        <v>44976</v>
      </c>
      <c r="D47" s="86"/>
      <c r="E47" s="87">
        <f>IF(SUM(E$29:E46)=$I$24,0,IF((D47&lt;=$I$24-SUM(E$29:E46)),D47,$I$24-SUM(E$29:E46)))</f>
        <v>0</v>
      </c>
      <c r="F47" s="87">
        <f>IF($I$19&gt;0,IF(SUM(F$29:F46)&lt;$I$19,IF((D47-E47)&gt;0,IF($I$20=0,IF($I$19-SUM(F$29:F46)&gt;D47,D47,$I$19-SUM(F$29:F46)),E47),D47),0)+IF($I$20&gt;0,IF(D47-$I$20-SUM($H$29:H46)-IF($I$19=0,0,E47)&gt;0,IF(D47-$I$20-SUM($H$29:H46)-IF($I$19=0,0,E47)&gt;$I$19,$I$19-SUM(F$29:F46)-E47,D47-$I$20-SUM($H$29:H46)-IF($I$19=0,0,E47)),0),0),0)</f>
        <v>0</v>
      </c>
      <c r="G47" s="87">
        <f t="shared" si="2"/>
        <v>0</v>
      </c>
      <c r="H47" s="87">
        <f t="shared" si="4"/>
        <v>0</v>
      </c>
      <c r="I47" s="87"/>
      <c r="J47" s="87"/>
      <c r="K47" s="87">
        <f t="shared" si="5"/>
        <v>0</v>
      </c>
      <c r="L47" s="87">
        <f t="shared" si="6"/>
        <v>0</v>
      </c>
      <c r="M47" s="87">
        <f t="shared" si="7"/>
        <v>0</v>
      </c>
      <c r="N47" s="87">
        <f t="shared" si="8"/>
        <v>0</v>
      </c>
      <c r="O47" s="87">
        <f t="shared" si="9"/>
        <v>0</v>
      </c>
      <c r="P47" s="87">
        <f t="shared" si="10"/>
        <v>0</v>
      </c>
      <c r="Q47" s="87">
        <f t="shared" si="11"/>
        <v>0</v>
      </c>
      <c r="R47" s="87"/>
      <c r="S47" s="87"/>
      <c r="T47" s="87">
        <f t="shared" si="14"/>
        <v>0</v>
      </c>
      <c r="U47" s="87">
        <f t="shared" si="3"/>
        <v>0</v>
      </c>
      <c r="V47" s="88">
        <f t="shared" si="12"/>
        <v>0</v>
      </c>
      <c r="W47" s="89">
        <f t="shared" si="13"/>
        <v>0</v>
      </c>
    </row>
    <row r="48" spans="2:23" x14ac:dyDescent="0.35">
      <c r="B48" s="47">
        <f t="shared" si="0"/>
        <v>44976</v>
      </c>
      <c r="C48" s="48">
        <f t="shared" si="1"/>
        <v>44977</v>
      </c>
      <c r="D48" s="33"/>
      <c r="E48" s="13">
        <f>IF(SUM(E$29:E47)=$I$24,0,IF((D48&lt;=$I$24-SUM(E$29:E47)),D48,$I$24-SUM(E$29:E47)))</f>
        <v>0</v>
      </c>
      <c r="F48" s="13">
        <f>IF($I$19&gt;0,IF(SUM(F$29:F47)&lt;$I$19,IF((D48-E48)&gt;0,IF($I$20=0,IF($I$19-SUM(F$29:F47)&gt;D48,D48,$I$19-SUM(F$29:F47)),E48),D48),0)+IF($I$20&gt;0,IF(D48-$I$20-SUM($H$29:H47)-IF($I$19=0,0,E48)&gt;0,IF(D48-$I$20-SUM($H$29:H47)-IF($I$19=0,0,E48)&gt;$I$19,$I$19-SUM(F$29:F47)-E48,D48-$I$20-SUM($H$29:H47)-IF($I$19=0,0,E48)),0),0),0)</f>
        <v>0</v>
      </c>
      <c r="G48" s="13">
        <f t="shared" si="2"/>
        <v>0</v>
      </c>
      <c r="H48" s="17">
        <f t="shared" si="4"/>
        <v>0</v>
      </c>
      <c r="I48" s="13"/>
      <c r="J48" s="13"/>
      <c r="K48" s="13">
        <f t="shared" si="5"/>
        <v>0</v>
      </c>
      <c r="L48" s="13">
        <f t="shared" si="6"/>
        <v>0</v>
      </c>
      <c r="M48" s="13">
        <f t="shared" si="7"/>
        <v>0</v>
      </c>
      <c r="N48" s="13">
        <f t="shared" si="8"/>
        <v>0</v>
      </c>
      <c r="O48" s="13">
        <f t="shared" si="9"/>
        <v>0</v>
      </c>
      <c r="P48" s="13">
        <f t="shared" si="10"/>
        <v>0</v>
      </c>
      <c r="Q48" s="13">
        <f t="shared" si="11"/>
        <v>0</v>
      </c>
      <c r="R48" s="17"/>
      <c r="S48" s="17"/>
      <c r="T48" s="17">
        <f t="shared" si="14"/>
        <v>0</v>
      </c>
      <c r="U48" s="17">
        <f t="shared" si="3"/>
        <v>0</v>
      </c>
      <c r="V48" s="18">
        <f t="shared" si="12"/>
        <v>0</v>
      </c>
      <c r="W48" s="16">
        <f t="shared" si="13"/>
        <v>0</v>
      </c>
    </row>
    <row r="49" spans="2:23" x14ac:dyDescent="0.35">
      <c r="B49" s="47">
        <f t="shared" si="0"/>
        <v>44977</v>
      </c>
      <c r="C49" s="48">
        <f t="shared" si="1"/>
        <v>44978</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4"/>
        <v>0</v>
      </c>
      <c r="I49" s="13"/>
      <c r="J49" s="13"/>
      <c r="K49" s="13">
        <f t="shared" si="5"/>
        <v>0</v>
      </c>
      <c r="L49" s="13">
        <f t="shared" si="6"/>
        <v>0</v>
      </c>
      <c r="M49" s="13">
        <f t="shared" si="7"/>
        <v>0</v>
      </c>
      <c r="N49" s="13">
        <f t="shared" si="8"/>
        <v>0</v>
      </c>
      <c r="O49" s="13">
        <f t="shared" si="9"/>
        <v>0</v>
      </c>
      <c r="P49" s="13">
        <f t="shared" si="10"/>
        <v>0</v>
      </c>
      <c r="Q49" s="13">
        <f t="shared" si="11"/>
        <v>0</v>
      </c>
      <c r="R49" s="17"/>
      <c r="S49" s="17"/>
      <c r="T49" s="17">
        <f t="shared" si="14"/>
        <v>0</v>
      </c>
      <c r="U49" s="17">
        <f t="shared" si="3"/>
        <v>0</v>
      </c>
      <c r="V49" s="18">
        <f t="shared" si="12"/>
        <v>0</v>
      </c>
      <c r="W49" s="16">
        <f t="shared" si="13"/>
        <v>0</v>
      </c>
    </row>
    <row r="50" spans="2:23" x14ac:dyDescent="0.35">
      <c r="B50" s="47">
        <f t="shared" si="0"/>
        <v>44978</v>
      </c>
      <c r="C50" s="48">
        <f t="shared" si="1"/>
        <v>44979</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4"/>
        <v>0</v>
      </c>
      <c r="I50" s="13"/>
      <c r="J50" s="13"/>
      <c r="K50" s="13">
        <f t="shared" si="5"/>
        <v>0</v>
      </c>
      <c r="L50" s="13">
        <f t="shared" si="6"/>
        <v>0</v>
      </c>
      <c r="M50" s="13">
        <f t="shared" si="7"/>
        <v>0</v>
      </c>
      <c r="N50" s="13">
        <f t="shared" si="8"/>
        <v>0</v>
      </c>
      <c r="O50" s="13">
        <f t="shared" si="9"/>
        <v>0</v>
      </c>
      <c r="P50" s="13">
        <f t="shared" si="10"/>
        <v>0</v>
      </c>
      <c r="Q50" s="13">
        <f t="shared" si="11"/>
        <v>0</v>
      </c>
      <c r="R50" s="17"/>
      <c r="S50" s="17"/>
      <c r="T50" s="17">
        <f t="shared" si="14"/>
        <v>0</v>
      </c>
      <c r="U50" s="17">
        <f t="shared" si="3"/>
        <v>0</v>
      </c>
      <c r="V50" s="18">
        <f t="shared" si="12"/>
        <v>0</v>
      </c>
      <c r="W50" s="16">
        <f t="shared" si="13"/>
        <v>0</v>
      </c>
    </row>
    <row r="51" spans="2:23" x14ac:dyDescent="0.35">
      <c r="B51" s="47">
        <f t="shared" si="0"/>
        <v>44979</v>
      </c>
      <c r="C51" s="48">
        <f t="shared" si="1"/>
        <v>44980</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4"/>
        <v>0</v>
      </c>
      <c r="I51" s="13"/>
      <c r="J51" s="13"/>
      <c r="K51" s="13">
        <f t="shared" si="5"/>
        <v>0</v>
      </c>
      <c r="L51" s="13">
        <f t="shared" si="6"/>
        <v>0</v>
      </c>
      <c r="M51" s="13">
        <f t="shared" si="7"/>
        <v>0</v>
      </c>
      <c r="N51" s="13">
        <f t="shared" si="8"/>
        <v>0</v>
      </c>
      <c r="O51" s="13">
        <f t="shared" si="9"/>
        <v>0</v>
      </c>
      <c r="P51" s="13">
        <f t="shared" si="10"/>
        <v>0</v>
      </c>
      <c r="Q51" s="13">
        <f t="shared" si="11"/>
        <v>0</v>
      </c>
      <c r="R51" s="17"/>
      <c r="S51" s="17"/>
      <c r="T51" s="17">
        <f t="shared" si="14"/>
        <v>0</v>
      </c>
      <c r="U51" s="17">
        <f t="shared" si="3"/>
        <v>0</v>
      </c>
      <c r="V51" s="18">
        <f t="shared" si="12"/>
        <v>0</v>
      </c>
      <c r="W51" s="16">
        <f t="shared" si="13"/>
        <v>0</v>
      </c>
    </row>
    <row r="52" spans="2:23" x14ac:dyDescent="0.35">
      <c r="B52" s="47">
        <f t="shared" si="0"/>
        <v>44980</v>
      </c>
      <c r="C52" s="48">
        <f t="shared" si="1"/>
        <v>44981</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4"/>
        <v>0</v>
      </c>
      <c r="I52" s="13"/>
      <c r="J52" s="13"/>
      <c r="K52" s="13">
        <f t="shared" si="5"/>
        <v>0</v>
      </c>
      <c r="L52" s="13">
        <f t="shared" si="6"/>
        <v>0</v>
      </c>
      <c r="M52" s="13">
        <f t="shared" si="7"/>
        <v>0</v>
      </c>
      <c r="N52" s="13">
        <f t="shared" si="8"/>
        <v>0</v>
      </c>
      <c r="O52" s="13">
        <f t="shared" si="9"/>
        <v>0</v>
      </c>
      <c r="P52" s="13">
        <f t="shared" si="10"/>
        <v>0</v>
      </c>
      <c r="Q52" s="13">
        <f t="shared" si="11"/>
        <v>0</v>
      </c>
      <c r="R52" s="17"/>
      <c r="S52" s="17"/>
      <c r="T52" s="17">
        <f t="shared" si="14"/>
        <v>0</v>
      </c>
      <c r="U52" s="17">
        <f t="shared" si="3"/>
        <v>0</v>
      </c>
      <c r="V52" s="18">
        <f t="shared" si="12"/>
        <v>0</v>
      </c>
      <c r="W52" s="16">
        <f t="shared" si="13"/>
        <v>0</v>
      </c>
    </row>
    <row r="53" spans="2:23" x14ac:dyDescent="0.35">
      <c r="B53" s="47">
        <f t="shared" si="0"/>
        <v>44981</v>
      </c>
      <c r="C53" s="48">
        <f t="shared" si="1"/>
        <v>44982</v>
      </c>
      <c r="D53" s="33"/>
      <c r="E53" s="13">
        <f>IF(SUM(E$29:E52)=$I$24,0,IF((D53&lt;=$I$24-SUM(E$29:E52)),D53,$I$24-SUM(E$29:E52)))</f>
        <v>0</v>
      </c>
      <c r="F53" s="13">
        <f>IF($I$19&gt;0,IF(SUM(F$29:F52)&lt;$I$19,IF((D53-E53)&gt;0,IF($I$20=0,IF($I$19-SUM(F$29:F52)&gt;D53,D53,$I$19-SUM(F$29:F52)),E53),D53),0)+IF($I$20&gt;0,IF(D53-$I$20-SUM($H$29:H52)-IF($I$19=0,0,E53)&gt;0,IF(D53-$I$20-SUM($H$29:H52)-IF($I$19=0,0,E53)&gt;$I$19,$I$19-SUM(F$29:F52)-E53,D53-$I$20-SUM($H$29:H52)-IF($I$19=0,0,E53)),0),0),0)</f>
        <v>0</v>
      </c>
      <c r="G53" s="13">
        <f t="shared" si="2"/>
        <v>0</v>
      </c>
      <c r="H53" s="17">
        <f t="shared" si="4"/>
        <v>0</v>
      </c>
      <c r="I53" s="13"/>
      <c r="J53" s="13"/>
      <c r="K53" s="13">
        <f t="shared" si="5"/>
        <v>0</v>
      </c>
      <c r="L53" s="13">
        <f t="shared" si="6"/>
        <v>0</v>
      </c>
      <c r="M53" s="13">
        <f t="shared" si="7"/>
        <v>0</v>
      </c>
      <c r="N53" s="13">
        <f t="shared" si="8"/>
        <v>0</v>
      </c>
      <c r="O53" s="13">
        <f t="shared" si="9"/>
        <v>0</v>
      </c>
      <c r="P53" s="13">
        <f t="shared" si="10"/>
        <v>0</v>
      </c>
      <c r="Q53" s="13">
        <f t="shared" si="11"/>
        <v>0</v>
      </c>
      <c r="R53" s="17"/>
      <c r="S53" s="17"/>
      <c r="T53" s="17">
        <f t="shared" si="14"/>
        <v>0</v>
      </c>
      <c r="U53" s="17">
        <f t="shared" si="3"/>
        <v>0</v>
      </c>
      <c r="V53" s="18">
        <f t="shared" si="12"/>
        <v>0</v>
      </c>
      <c r="W53" s="16">
        <f t="shared" si="13"/>
        <v>0</v>
      </c>
    </row>
    <row r="54" spans="2:23" x14ac:dyDescent="0.35">
      <c r="B54" s="47">
        <f t="shared" si="0"/>
        <v>44982</v>
      </c>
      <c r="C54" s="48">
        <f t="shared" si="1"/>
        <v>44983</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4"/>
        <v>0</v>
      </c>
      <c r="I54" s="13"/>
      <c r="J54" s="13"/>
      <c r="K54" s="13">
        <f t="shared" si="5"/>
        <v>0</v>
      </c>
      <c r="L54" s="13">
        <f t="shared" si="6"/>
        <v>0</v>
      </c>
      <c r="M54" s="13">
        <f t="shared" si="7"/>
        <v>0</v>
      </c>
      <c r="N54" s="13">
        <f t="shared" si="8"/>
        <v>0</v>
      </c>
      <c r="O54" s="13">
        <f t="shared" si="9"/>
        <v>0</v>
      </c>
      <c r="P54" s="13">
        <f t="shared" si="10"/>
        <v>0</v>
      </c>
      <c r="Q54" s="13">
        <f t="shared" si="11"/>
        <v>0</v>
      </c>
      <c r="R54" s="17"/>
      <c r="S54" s="17"/>
      <c r="T54" s="17">
        <f t="shared" si="14"/>
        <v>0</v>
      </c>
      <c r="U54" s="17">
        <f t="shared" si="3"/>
        <v>0</v>
      </c>
      <c r="V54" s="18">
        <f t="shared" si="12"/>
        <v>0</v>
      </c>
      <c r="W54" s="16">
        <f t="shared" si="13"/>
        <v>0</v>
      </c>
    </row>
    <row r="55" spans="2:23" x14ac:dyDescent="0.35">
      <c r="B55" s="47">
        <f t="shared" si="0"/>
        <v>44983</v>
      </c>
      <c r="C55" s="48">
        <f t="shared" si="1"/>
        <v>44984</v>
      </c>
      <c r="D55" s="33"/>
      <c r="E55" s="13">
        <f>IF(SUM(E$29:E54)=$I$24,0,IF((D55&lt;=$I$24-SUM(E$29:E54)),D55,$I$24-SUM(E$29:E54)))</f>
        <v>0</v>
      </c>
      <c r="F55" s="13">
        <f>IF($I$19&gt;0,IF(SUM(F$29:F54)&lt;$I$19,IF((D55-E55)&gt;0,IF($I$20=0,IF($I$19-SUM(F$29:F54)&gt;D55,D55,$I$19-SUM(F$29:F54)),E55),D55),0)+IF($I$20&gt;0,IF(D55-$I$20-SUM($H$29:H54)-IF($I$19=0,0,E55)&gt;0,IF(D55-$I$20-SUM($H$29:H54)-IF($I$19=0,0,E55)&gt;$I$19,$I$19-SUM(F$29:F54)-E55,D55-$I$20-SUM($H$29:H54)-IF($I$19=0,0,E55)),0),0),0)</f>
        <v>0</v>
      </c>
      <c r="G55" s="13">
        <f t="shared" si="2"/>
        <v>0</v>
      </c>
      <c r="H55" s="17">
        <f t="shared" si="4"/>
        <v>0</v>
      </c>
      <c r="I55" s="13"/>
      <c r="J55" s="13"/>
      <c r="K55" s="13">
        <f t="shared" si="5"/>
        <v>0</v>
      </c>
      <c r="L55" s="13">
        <f t="shared" si="6"/>
        <v>0</v>
      </c>
      <c r="M55" s="13">
        <f t="shared" si="7"/>
        <v>0</v>
      </c>
      <c r="N55" s="13">
        <f t="shared" si="8"/>
        <v>0</v>
      </c>
      <c r="O55" s="13">
        <f t="shared" si="9"/>
        <v>0</v>
      </c>
      <c r="P55" s="13">
        <f t="shared" si="10"/>
        <v>0</v>
      </c>
      <c r="Q55" s="13">
        <f t="shared" si="11"/>
        <v>0</v>
      </c>
      <c r="R55" s="17"/>
      <c r="S55" s="17"/>
      <c r="T55" s="17">
        <f t="shared" si="14"/>
        <v>0</v>
      </c>
      <c r="U55" s="17">
        <f t="shared" si="3"/>
        <v>0</v>
      </c>
      <c r="V55" s="18">
        <f t="shared" si="12"/>
        <v>0</v>
      </c>
      <c r="W55" s="16">
        <f t="shared" si="13"/>
        <v>0</v>
      </c>
    </row>
    <row r="56" spans="2:23" ht="15" thickBot="1" x14ac:dyDescent="0.4">
      <c r="B56" s="47">
        <f t="shared" si="0"/>
        <v>44984</v>
      </c>
      <c r="C56" s="48">
        <f t="shared" si="1"/>
        <v>44985</v>
      </c>
      <c r="D56" s="33"/>
      <c r="E56" s="14">
        <f>IF(SUM(E$29:E55)=$I$24,0,IF((D56&lt;=$I$24-SUM(E$29:E55)),D56,$I$24-SUM(E$29:E55)))</f>
        <v>0</v>
      </c>
      <c r="F56" s="13">
        <f>IF($I$19&gt;0,IF(SUM(F$29:F55)&lt;$I$19,IF((D56-E56)&gt;0,IF($I$20=0,IF($I$19-SUM(F$29:F55)&gt;D56,D56,$I$19-SUM(F$29:F55)),E56),D56),0)+IF($I$20&gt;0,IF(D56-$I$20-SUM($H$29:H55)-IF($I$19=0,0,E56)&gt;0,IF(D56-$I$20-SUM($H$29:H55)-IF($I$19=0,0,E56)&gt;$I$19,$I$19-SUM(F$29:F55)-E56,D56-$I$20-SUM($H$29:H55)-IF($I$19=0,0,E56)),0),0),0)</f>
        <v>0</v>
      </c>
      <c r="G56" s="13">
        <f t="shared" si="2"/>
        <v>0</v>
      </c>
      <c r="H56" s="17">
        <f t="shared" si="4"/>
        <v>0</v>
      </c>
      <c r="I56" s="13"/>
      <c r="J56" s="13"/>
      <c r="K56" s="13">
        <f t="shared" si="5"/>
        <v>0</v>
      </c>
      <c r="L56" s="13">
        <f t="shared" si="6"/>
        <v>0</v>
      </c>
      <c r="M56" s="13">
        <f t="shared" si="7"/>
        <v>0</v>
      </c>
      <c r="N56" s="13">
        <f t="shared" si="8"/>
        <v>0</v>
      </c>
      <c r="O56" s="13">
        <f t="shared" si="9"/>
        <v>0</v>
      </c>
      <c r="P56" s="13">
        <f t="shared" si="10"/>
        <v>0</v>
      </c>
      <c r="Q56" s="13">
        <f t="shared" si="11"/>
        <v>0</v>
      </c>
      <c r="R56" s="17"/>
      <c r="S56" s="17"/>
      <c r="T56" s="17">
        <f t="shared" si="14"/>
        <v>0</v>
      </c>
      <c r="U56" s="17">
        <f t="shared" si="3"/>
        <v>0</v>
      </c>
      <c r="V56" s="18">
        <f t="shared" si="12"/>
        <v>0</v>
      </c>
      <c r="W56" s="16">
        <f t="shared" si="13"/>
        <v>0</v>
      </c>
    </row>
    <row r="57" spans="2:23" ht="15" thickBot="1" x14ac:dyDescent="0.4">
      <c r="B57" s="122" t="s">
        <v>49</v>
      </c>
      <c r="C57" s="123"/>
      <c r="D57" s="67">
        <f t="shared" ref="D57:L57" si="15">SUM(D29:D56)</f>
        <v>0</v>
      </c>
      <c r="E57" s="21">
        <f t="shared" si="15"/>
        <v>0</v>
      </c>
      <c r="F57" s="21">
        <f t="shared" si="15"/>
        <v>0</v>
      </c>
      <c r="G57" s="21">
        <f t="shared" si="15"/>
        <v>0</v>
      </c>
      <c r="H57" s="22">
        <f t="shared" si="15"/>
        <v>0</v>
      </c>
      <c r="I57" s="20">
        <f t="shared" si="15"/>
        <v>0</v>
      </c>
      <c r="J57" s="21">
        <f t="shared" si="15"/>
        <v>0</v>
      </c>
      <c r="K57" s="21">
        <f t="shared" si="15"/>
        <v>1000</v>
      </c>
      <c r="L57" s="74">
        <f t="shared" si="15"/>
        <v>0</v>
      </c>
      <c r="M57" s="20"/>
      <c r="N57" s="21">
        <f>SUM(N29:N56)</f>
        <v>0</v>
      </c>
      <c r="O57" s="21">
        <f>SUM(O29:O56)</f>
        <v>0</v>
      </c>
      <c r="P57" s="20"/>
      <c r="Q57" s="20"/>
      <c r="R57" s="22">
        <f>SUM(R29:R56)</f>
        <v>0</v>
      </c>
      <c r="S57" s="22">
        <f>SUM(S29:S56)</f>
        <v>0</v>
      </c>
      <c r="T57" s="22">
        <f>SUM(T29:T56)</f>
        <v>0</v>
      </c>
      <c r="U57" s="22">
        <f>SUM(U29:U56)</f>
        <v>0</v>
      </c>
      <c r="V57" s="23"/>
      <c r="W57" s="23"/>
    </row>
    <row r="58" spans="2:23" ht="15" thickBot="1" x14ac:dyDescent="0.4">
      <c r="G58" s="61"/>
      <c r="J58" s="82" t="s">
        <v>71</v>
      </c>
      <c r="K58" s="82">
        <f>K57/$C$18</f>
        <v>35.714285714285715</v>
      </c>
      <c r="M58" s="82" t="s">
        <v>69</v>
      </c>
      <c r="N58" s="82">
        <f>N57/$C$18</f>
        <v>0</v>
      </c>
      <c r="O58" s="61"/>
      <c r="S58" s="82" t="s">
        <v>65</v>
      </c>
      <c r="T58" s="82">
        <f>T57/$C$18</f>
        <v>0</v>
      </c>
    </row>
    <row r="59" spans="2:23" ht="15" thickBot="1" x14ac:dyDescent="0.4">
      <c r="H59" s="2"/>
      <c r="J59" s="82" t="s">
        <v>72</v>
      </c>
      <c r="K59" s="82">
        <f>M56</f>
        <v>0</v>
      </c>
      <c r="M59" s="82" t="s">
        <v>70</v>
      </c>
      <c r="N59" s="82">
        <f>IF(ROUND(K56,2)=0,0,N58*$F$22*$C$18)</f>
        <v>0</v>
      </c>
      <c r="S59" s="82" t="s">
        <v>64</v>
      </c>
      <c r="T59" s="82">
        <f>T58*$F$23*$C$18</f>
        <v>0</v>
      </c>
    </row>
    <row r="60" spans="2:23" x14ac:dyDescent="0.35">
      <c r="M60" s="61"/>
      <c r="N60" s="61"/>
    </row>
    <row r="65" spans="9:9" x14ac:dyDescent="0.35">
      <c r="I65" s="61">
        <f>SUM(I53:I56)</f>
        <v>0</v>
      </c>
    </row>
  </sheetData>
  <mergeCells count="13">
    <mergeCell ref="R27:W27"/>
    <mergeCell ref="I27:Q27"/>
    <mergeCell ref="D27:H27"/>
    <mergeCell ref="B57:C57"/>
    <mergeCell ref="E2:F2"/>
    <mergeCell ref="H6:I6"/>
    <mergeCell ref="H14:I14"/>
    <mergeCell ref="H18:I18"/>
    <mergeCell ref="B21:C21"/>
    <mergeCell ref="E21:F21"/>
    <mergeCell ref="J11:J12"/>
    <mergeCell ref="K11:K12"/>
    <mergeCell ref="H10:J10"/>
  </mergeCells>
  <pageMargins left="0.7" right="0.7" top="0.75" bottom="0.75" header="0.3" footer="0.3"/>
  <pageSetup paperSize="9" orientation="portrait" horizontalDpi="4294967293" verticalDpi="0" r:id="rId1"/>
  <ignoredErrors>
    <ignoredError sqref="B42" formula="1"/>
  </ignoredError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A89EB-E1D0-4D62-A91B-C9FF7858380A}">
  <dimension ref="B1:W63"/>
  <sheetViews>
    <sheetView topLeftCell="E46" zoomScale="66" zoomScaleNormal="66" workbookViewId="0">
      <selection activeCell="J44" sqref="J44"/>
    </sheetView>
  </sheetViews>
  <sheetFormatPr defaultRowHeight="14.5" x14ac:dyDescent="0.35"/>
  <cols>
    <col min="2" max="2" width="36.7265625" style="1" customWidth="1"/>
    <col min="3" max="3" width="28.90625" style="2" customWidth="1"/>
    <col min="4" max="4" width="14.1796875" customWidth="1"/>
    <col min="5" max="5" width="24.36328125" bestFit="1" customWidth="1"/>
    <col min="6" max="6" width="22.6328125" customWidth="1"/>
    <col min="7" max="7" width="18.54296875" customWidth="1"/>
    <col min="8" max="8" width="25.453125" style="1" customWidth="1"/>
    <col min="9" max="9" width="17.54296875" customWidth="1"/>
    <col min="10" max="10" width="28.26953125" customWidth="1"/>
    <col min="11" max="11" width="14.453125" customWidth="1"/>
    <col min="12" max="12" width="10.36328125" bestFit="1" customWidth="1"/>
    <col min="13" max="13" width="27.1796875" bestFit="1" customWidth="1"/>
    <col min="14" max="14" width="13.1796875" customWidth="1"/>
    <col min="15" max="15" width="11.6328125" customWidth="1"/>
    <col min="16" max="16" width="13.1796875" bestFit="1" customWidth="1"/>
    <col min="17" max="17" width="19.26953125" bestFit="1" customWidth="1"/>
    <col min="18" max="18" width="9.1796875" bestFit="1" customWidth="1"/>
    <col min="19" max="19" width="19.26953125" bestFit="1" customWidth="1"/>
    <col min="20" max="20" width="10.1796875" bestFit="1" customWidth="1"/>
    <col min="21" max="21" width="8.7265625" customWidth="1"/>
    <col min="22" max="22" width="8.54296875" customWidth="1"/>
    <col min="23" max="23" width="13" customWidth="1"/>
  </cols>
  <sheetData>
    <row r="1" spans="2:12" ht="15" thickBot="1" x14ac:dyDescent="0.4"/>
    <row r="2" spans="2:12" ht="15" thickBot="1" x14ac:dyDescent="0.4">
      <c r="B2" s="27" t="s">
        <v>23</v>
      </c>
      <c r="C2" s="36"/>
      <c r="E2" s="116" t="s">
        <v>50</v>
      </c>
      <c r="F2" s="117"/>
    </row>
    <row r="3" spans="2:12" ht="15" thickBot="1" x14ac:dyDescent="0.4">
      <c r="B3" s="28" t="s">
        <v>1</v>
      </c>
      <c r="C3" s="37">
        <v>25</v>
      </c>
      <c r="E3" s="45" t="s">
        <v>24</v>
      </c>
      <c r="F3" s="46">
        <f>C17</f>
        <v>45016</v>
      </c>
    </row>
    <row r="4" spans="2:12" ht="15" thickBot="1" x14ac:dyDescent="0.4">
      <c r="B4"/>
      <c r="C4"/>
      <c r="E4" s="62" t="s">
        <v>25</v>
      </c>
      <c r="F4" s="62">
        <f>'Feb Statement'!F11</f>
        <v>0</v>
      </c>
    </row>
    <row r="5" spans="2:12" ht="15" thickBot="1" x14ac:dyDescent="0.4">
      <c r="B5" s="29" t="s">
        <v>5</v>
      </c>
      <c r="C5" s="38">
        <v>44927</v>
      </c>
      <c r="E5" s="32" t="s">
        <v>10</v>
      </c>
      <c r="F5" s="33">
        <f>SUM(I11:I12)</f>
        <v>0</v>
      </c>
    </row>
    <row r="6" spans="2:12" x14ac:dyDescent="0.35">
      <c r="B6" s="30" t="s">
        <v>8</v>
      </c>
      <c r="C6" s="39">
        <v>44957</v>
      </c>
      <c r="E6" s="34" t="s">
        <v>26</v>
      </c>
      <c r="F6" s="35">
        <f>I60</f>
        <v>1000</v>
      </c>
      <c r="H6" s="103" t="s">
        <v>40</v>
      </c>
      <c r="I6" s="104"/>
    </row>
    <row r="7" spans="2:12" ht="29" x14ac:dyDescent="0.35">
      <c r="B7" s="30" t="s">
        <v>6</v>
      </c>
      <c r="C7" s="40">
        <v>31</v>
      </c>
      <c r="E7" s="34" t="s">
        <v>27</v>
      </c>
      <c r="F7" s="35">
        <f>R60</f>
        <v>0</v>
      </c>
      <c r="H7" s="7" t="s">
        <v>37</v>
      </c>
      <c r="I7" s="8">
        <f>J60</f>
        <v>44</v>
      </c>
      <c r="L7" s="61"/>
    </row>
    <row r="8" spans="2:12" ht="29.5" thickBot="1" x14ac:dyDescent="0.4">
      <c r="B8" s="31" t="s">
        <v>7</v>
      </c>
      <c r="C8" s="41">
        <f>C6+C3</f>
        <v>44982</v>
      </c>
      <c r="E8" s="34" t="s">
        <v>28</v>
      </c>
      <c r="F8" s="35">
        <f>SUM(I7:I8)</f>
        <v>44</v>
      </c>
      <c r="H8" s="49" t="s">
        <v>38</v>
      </c>
      <c r="I8" s="50">
        <f>S60</f>
        <v>0</v>
      </c>
      <c r="L8" s="61"/>
    </row>
    <row r="9" spans="2:12" ht="29.5" customHeight="1" thickBot="1" x14ac:dyDescent="0.4">
      <c r="B9"/>
      <c r="C9" s="3"/>
      <c r="E9" s="34" t="s">
        <v>29</v>
      </c>
      <c r="F9" s="35">
        <f>SUM(I15:I16)</f>
        <v>0</v>
      </c>
      <c r="L9" s="61"/>
    </row>
    <row r="10" spans="2:12" ht="15" thickBot="1" x14ac:dyDescent="0.4">
      <c r="B10" s="29" t="s">
        <v>12</v>
      </c>
      <c r="C10" s="38">
        <f>'Feb Statement'!C16</f>
        <v>44958</v>
      </c>
      <c r="E10" s="4"/>
      <c r="F10" s="6"/>
      <c r="H10" s="125" t="s">
        <v>41</v>
      </c>
      <c r="I10" s="126"/>
      <c r="J10" s="127"/>
    </row>
    <row r="11" spans="2:12" ht="14.5" customHeight="1" x14ac:dyDescent="0.35">
      <c r="B11" s="30" t="s">
        <v>13</v>
      </c>
      <c r="C11" s="39">
        <f>C10+C12-1</f>
        <v>44985</v>
      </c>
      <c r="E11" s="55" t="s">
        <v>30</v>
      </c>
      <c r="F11" s="56">
        <f>F4+F6+F7+F8+F9-F5</f>
        <v>1044</v>
      </c>
      <c r="H11" s="72" t="s">
        <v>42</v>
      </c>
      <c r="I11" s="73">
        <f>SUM(F60:G60)</f>
        <v>0</v>
      </c>
      <c r="J11" s="114" t="s">
        <v>73</v>
      </c>
      <c r="K11" s="124"/>
    </row>
    <row r="12" spans="2:12" ht="15" thickBot="1" x14ac:dyDescent="0.4">
      <c r="B12" s="30" t="s">
        <v>14</v>
      </c>
      <c r="C12" s="40">
        <v>28</v>
      </c>
      <c r="E12" s="4"/>
      <c r="F12" s="6"/>
      <c r="H12" s="49" t="s">
        <v>43</v>
      </c>
      <c r="I12" s="50">
        <f>H60</f>
        <v>0</v>
      </c>
      <c r="J12" s="115"/>
      <c r="K12" s="124"/>
    </row>
    <row r="13" spans="2:12" ht="15" thickBot="1" x14ac:dyDescent="0.4">
      <c r="B13" s="31" t="s">
        <v>15</v>
      </c>
      <c r="C13" s="41">
        <v>45010</v>
      </c>
      <c r="E13" s="53" t="s">
        <v>31</v>
      </c>
      <c r="F13" s="54">
        <v>0</v>
      </c>
    </row>
    <row r="14" spans="2:12" x14ac:dyDescent="0.35">
      <c r="E14" s="51" t="s">
        <v>32</v>
      </c>
      <c r="F14" s="52">
        <f>F13-F11</f>
        <v>-1044</v>
      </c>
      <c r="H14" s="103" t="s">
        <v>44</v>
      </c>
      <c r="I14" s="104"/>
    </row>
    <row r="15" spans="2:12" ht="29.5" thickBot="1" x14ac:dyDescent="0.4">
      <c r="B15"/>
      <c r="C15" s="3"/>
      <c r="E15" s="53" t="s">
        <v>33</v>
      </c>
      <c r="F15" s="54"/>
      <c r="H15" s="7" t="s">
        <v>45</v>
      </c>
      <c r="I15" s="8">
        <f>K62</f>
        <v>0</v>
      </c>
    </row>
    <row r="16" spans="2:12" ht="29.5" thickBot="1" x14ac:dyDescent="0.4">
      <c r="B16" s="29" t="s">
        <v>3</v>
      </c>
      <c r="C16" s="38">
        <f>C10+C12</f>
        <v>44986</v>
      </c>
      <c r="E16" s="51" t="s">
        <v>34</v>
      </c>
      <c r="F16" s="52">
        <f>F15-F7-I16</f>
        <v>0</v>
      </c>
      <c r="H16" s="49" t="s">
        <v>43</v>
      </c>
      <c r="I16" s="50">
        <f>T62</f>
        <v>0</v>
      </c>
    </row>
    <row r="17" spans="2:23" ht="15" thickBot="1" x14ac:dyDescent="0.4">
      <c r="B17" s="30" t="s">
        <v>9</v>
      </c>
      <c r="C17" s="39">
        <f>C16+C18-1</f>
        <v>45016</v>
      </c>
      <c r="E17" s="42" t="s">
        <v>0</v>
      </c>
      <c r="F17" s="39">
        <f>C17</f>
        <v>45016</v>
      </c>
    </row>
    <row r="18" spans="2:23" ht="15" thickBot="1" x14ac:dyDescent="0.4">
      <c r="B18" s="30" t="s">
        <v>4</v>
      </c>
      <c r="C18" s="40">
        <v>31</v>
      </c>
      <c r="E18" s="43" t="s">
        <v>2</v>
      </c>
      <c r="F18" s="44">
        <f>C18</f>
        <v>31</v>
      </c>
      <c r="H18" s="103" t="s">
        <v>51</v>
      </c>
      <c r="I18" s="104"/>
    </row>
    <row r="19" spans="2:23" ht="15" thickBot="1" x14ac:dyDescent="0.4">
      <c r="B19" s="31" t="s">
        <v>16</v>
      </c>
      <c r="C19" s="41">
        <f>C17+C3</f>
        <v>45041</v>
      </c>
      <c r="H19" s="7" t="s">
        <v>42</v>
      </c>
      <c r="I19" s="8">
        <f>'Feb Statement'!I19+'Feb Statement'!F6+'Feb Statement'!I7+'Feb Statement'!I15-'Feb Statement'!I11</f>
        <v>0</v>
      </c>
    </row>
    <row r="20" spans="2:23" ht="15" thickBot="1" x14ac:dyDescent="0.4">
      <c r="H20" s="49" t="s">
        <v>43</v>
      </c>
      <c r="I20" s="50">
        <f>'Feb Statement'!I20+'Feb Statement'!F7+'Feb Statement'!I8+'Feb Statement'!I16-'Feb Statement'!I12</f>
        <v>0</v>
      </c>
      <c r="J20" s="5"/>
    </row>
    <row r="21" spans="2:23" x14ac:dyDescent="0.35">
      <c r="B21" s="103" t="s">
        <v>17</v>
      </c>
      <c r="C21" s="104"/>
      <c r="E21" s="103" t="s">
        <v>22</v>
      </c>
      <c r="F21" s="104"/>
      <c r="I21" s="62">
        <f>SUM(I19:I20)</f>
        <v>0</v>
      </c>
      <c r="J21" s="5"/>
    </row>
    <row r="22" spans="2:23" x14ac:dyDescent="0.35">
      <c r="B22" s="7" t="s">
        <v>18</v>
      </c>
      <c r="C22" s="57">
        <v>0.22489999999999999</v>
      </c>
      <c r="E22" s="7" t="s">
        <v>18</v>
      </c>
      <c r="F22" s="59">
        <f>C22/365</f>
        <v>6.1616438356164381E-4</v>
      </c>
      <c r="M22" s="61"/>
    </row>
    <row r="23" spans="2:23" ht="15" thickBot="1" x14ac:dyDescent="0.4">
      <c r="B23" s="49" t="s">
        <v>19</v>
      </c>
      <c r="C23" s="58">
        <v>0.2999</v>
      </c>
      <c r="E23" s="49" t="s">
        <v>19</v>
      </c>
      <c r="F23" s="60">
        <f>C23/365</f>
        <v>8.216438356164384E-4</v>
      </c>
      <c r="J23" s="61"/>
    </row>
    <row r="24" spans="2:23" ht="15" thickBot="1" x14ac:dyDescent="0.4">
      <c r="C24" s="9"/>
      <c r="E24" s="1"/>
      <c r="F24" s="10"/>
      <c r="H24" s="63" t="s">
        <v>56</v>
      </c>
      <c r="I24" s="64">
        <v>0</v>
      </c>
      <c r="M24" s="61"/>
    </row>
    <row r="25" spans="2:23" x14ac:dyDescent="0.35">
      <c r="C25" s="9"/>
      <c r="E25" s="1"/>
      <c r="F25" s="10"/>
    </row>
    <row r="26" spans="2:23" ht="15" thickBot="1" x14ac:dyDescent="0.4">
      <c r="C26" s="9"/>
      <c r="E26" s="1"/>
      <c r="F26" s="10"/>
    </row>
    <row r="27" spans="2:23" ht="15" customHeight="1" thickBot="1" x14ac:dyDescent="0.4">
      <c r="B27" s="70"/>
      <c r="C27" s="71"/>
      <c r="D27" s="121" t="s">
        <v>10</v>
      </c>
      <c r="E27" s="121"/>
      <c r="F27" s="121"/>
      <c r="G27" s="121"/>
      <c r="H27" s="121"/>
      <c r="I27" s="120" t="s">
        <v>47</v>
      </c>
      <c r="J27" s="120"/>
      <c r="K27" s="120"/>
      <c r="L27" s="120"/>
      <c r="M27" s="120"/>
      <c r="N27" s="120"/>
      <c r="O27" s="120"/>
      <c r="P27" s="120"/>
      <c r="Q27" s="120"/>
      <c r="R27" s="118" t="s">
        <v>48</v>
      </c>
      <c r="S27" s="118"/>
      <c r="T27" s="118"/>
      <c r="U27" s="118"/>
      <c r="V27" s="118"/>
      <c r="W27" s="119"/>
    </row>
    <row r="28" spans="2:23" s="1" customFormat="1" ht="116.5" thickBot="1" x14ac:dyDescent="0.4">
      <c r="B28" s="68" t="s">
        <v>52</v>
      </c>
      <c r="C28" s="68" t="s">
        <v>53</v>
      </c>
      <c r="D28" s="69" t="s">
        <v>57</v>
      </c>
      <c r="E28" s="69" t="s">
        <v>67</v>
      </c>
      <c r="F28" s="69" t="s">
        <v>66</v>
      </c>
      <c r="G28" s="69" t="s">
        <v>68</v>
      </c>
      <c r="H28" s="69"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3" x14ac:dyDescent="0.35">
      <c r="B29" s="47">
        <f>C29-1</f>
        <v>44985</v>
      </c>
      <c r="C29" s="47">
        <f>C16</f>
        <v>44986</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v>40</v>
      </c>
      <c r="K29" s="13">
        <f>IF(SUM($F$29:$F$53)&gt;=$I$19,0,$I$19+'Feb Statement'!N59-$F$29)</f>
        <v>0</v>
      </c>
      <c r="L29" s="12">
        <f>M29</f>
        <v>0</v>
      </c>
      <c r="M29" s="12">
        <f>K29*$F$22</f>
        <v>0</v>
      </c>
      <c r="N29" s="12">
        <f>I29+J29-G29</f>
        <v>40</v>
      </c>
      <c r="O29" s="12">
        <f>P29</f>
        <v>2.4646575342465754E-2</v>
      </c>
      <c r="P29" s="12">
        <f>N29*$F$22</f>
        <v>2.4646575342465754E-2</v>
      </c>
      <c r="Q29" s="12">
        <f>K29+N29</f>
        <v>40</v>
      </c>
      <c r="R29" s="15"/>
      <c r="S29" s="15"/>
      <c r="T29" s="15">
        <f>$I$20+R29+S29-H29</f>
        <v>0</v>
      </c>
      <c r="U29" s="15">
        <f>V29</f>
        <v>0</v>
      </c>
      <c r="V29" s="16">
        <f>T29*$F$23</f>
        <v>0</v>
      </c>
      <c r="W29" s="16">
        <f>IF(T29=0,0,$I$20+R29+S29-H29)</f>
        <v>0</v>
      </c>
    </row>
    <row r="30" spans="2:23" x14ac:dyDescent="0.35">
      <c r="B30" s="47">
        <f t="shared" ref="B30:B59" si="0">C30-1</f>
        <v>44986</v>
      </c>
      <c r="C30" s="48">
        <f t="shared" ref="C30:C59" si="1">C29+1</f>
        <v>44987</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9" si="2">ROUND(D30-F30-H30,2)</f>
        <v>0</v>
      </c>
      <c r="H30" s="17">
        <f>IF((T29+U29-V29+R30+S30)&gt;0,IF($I$19=0,E30,0),0)+IF((T29+U29-V29+R30+S30)&gt;0,(IF((D30-F30)&gt;0,(IF((T29+U29-V29+R30+S30)&gt;(D30-F30),(D30-F30-IF($I$19=0,E30,0)),(T29+U29-V29+R30+S30-IF($I$19=0,E30,0)))),0)),0)</f>
        <v>0</v>
      </c>
      <c r="I30" s="13"/>
      <c r="J30" s="13"/>
      <c r="K30" s="13">
        <f>IF(SUM($F$29:$F$53)&gt;=$I$19,0,ROUND(K29+L29-F30,2))</f>
        <v>0</v>
      </c>
      <c r="L30" s="13">
        <f>M30-M29</f>
        <v>0</v>
      </c>
      <c r="M30" s="13">
        <f>IF(K30=0,0,M29+K30*$F$22)</f>
        <v>0</v>
      </c>
      <c r="N30" s="13">
        <f t="shared" ref="N30:N59" si="3">ROUND(N29+I30+J30+O29-G30,2)</f>
        <v>40.020000000000003</v>
      </c>
      <c r="O30" s="13">
        <f>P30-P29</f>
        <v>2.5353424657534249E-2</v>
      </c>
      <c r="P30" s="13">
        <f>ROUND(P29+N30*$F$22,2)</f>
        <v>0.05</v>
      </c>
      <c r="Q30" s="13">
        <f>ROUND(N30+K30-M29-P29,2)</f>
        <v>40</v>
      </c>
      <c r="R30" s="17"/>
      <c r="S30" s="17"/>
      <c r="T30" s="17">
        <f>T29+U29+R30+S30-H30</f>
        <v>0</v>
      </c>
      <c r="U30" s="17">
        <f t="shared" ref="U30:U59" si="4">V30-V29</f>
        <v>0</v>
      </c>
      <c r="V30" s="18">
        <f>V29+T30*$F$23</f>
        <v>0</v>
      </c>
      <c r="W30" s="16">
        <f>IF(T30=0,0,W29+R30+S30-H30)</f>
        <v>0</v>
      </c>
    </row>
    <row r="31" spans="2:23" x14ac:dyDescent="0.35">
      <c r="B31" s="47">
        <f t="shared" si="0"/>
        <v>44987</v>
      </c>
      <c r="C31" s="48">
        <f t="shared" si="1"/>
        <v>44988</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9" si="5">IF((T30+U30-V30+R31+S31)&gt;0,IF($I$19=0,E31,0),0)+IF((T30+U30-V30+R31+S31)&gt;0,(IF((D31-F31)&gt;0,(IF((T30+U30-V30+R31+S31)&gt;(D31-F31),(D31-F31-IF($I$19=0,E31,0)),(T30+U30-V30+R31+S31-IF($I$19=0,E31,0)))),0)),0)</f>
        <v>0</v>
      </c>
      <c r="I31" s="13"/>
      <c r="J31" s="13"/>
      <c r="K31" s="13">
        <f t="shared" ref="K31:K59" si="6">IF(SUM($F$29:$F$53)&gt;=$I$19,0,ROUND(K30+L30-F31,2))</f>
        <v>0</v>
      </c>
      <c r="L31" s="13">
        <f t="shared" ref="L31:L59" si="7">M31-M30</f>
        <v>0</v>
      </c>
      <c r="M31" s="13">
        <f t="shared" ref="M31:M59" si="8">IF(K31=0,0,M30+K31*$F$22)</f>
        <v>0</v>
      </c>
      <c r="N31" s="13">
        <f t="shared" si="3"/>
        <v>40.049999999999997</v>
      </c>
      <c r="O31" s="13">
        <f t="shared" ref="O31:O59" si="9">P31-P30</f>
        <v>2.0000000000000004E-2</v>
      </c>
      <c r="P31" s="13">
        <f t="shared" ref="P31:P58" si="10">ROUND(P30+N31*$F$22,2)</f>
        <v>7.0000000000000007E-2</v>
      </c>
      <c r="Q31" s="13">
        <f t="shared" ref="Q31:Q59" si="11">ROUND(N31+K31-M30-P30,2)</f>
        <v>40</v>
      </c>
      <c r="R31" s="17"/>
      <c r="S31" s="17"/>
      <c r="T31" s="17">
        <f>T30+U30+R31+S31-H31</f>
        <v>0</v>
      </c>
      <c r="U31" s="17">
        <f t="shared" si="4"/>
        <v>0</v>
      </c>
      <c r="V31" s="18">
        <f t="shared" ref="V31:V59" si="12">V30+T31*$F$23</f>
        <v>0</v>
      </c>
      <c r="W31" s="16">
        <f t="shared" ref="W31:W59" si="13">IF(T31=0,0,W30+R31+S31-H31)</f>
        <v>0</v>
      </c>
    </row>
    <row r="32" spans="2:23" x14ac:dyDescent="0.35">
      <c r="B32" s="47">
        <f t="shared" si="0"/>
        <v>44988</v>
      </c>
      <c r="C32" s="48">
        <f t="shared" si="1"/>
        <v>44989</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5"/>
        <v>0</v>
      </c>
      <c r="I32" s="13"/>
      <c r="J32" s="13"/>
      <c r="K32" s="13">
        <f t="shared" si="6"/>
        <v>0</v>
      </c>
      <c r="L32" s="13">
        <f t="shared" si="7"/>
        <v>0</v>
      </c>
      <c r="M32" s="13">
        <f t="shared" si="8"/>
        <v>0</v>
      </c>
      <c r="N32" s="13">
        <f t="shared" si="3"/>
        <v>40.07</v>
      </c>
      <c r="O32" s="13">
        <f t="shared" si="9"/>
        <v>1.999999999999999E-2</v>
      </c>
      <c r="P32" s="13">
        <f t="shared" si="10"/>
        <v>0.09</v>
      </c>
      <c r="Q32" s="13">
        <f t="shared" si="11"/>
        <v>40</v>
      </c>
      <c r="R32" s="17"/>
      <c r="S32" s="17"/>
      <c r="T32" s="17">
        <f>T31+U31+R32+S32-H32</f>
        <v>0</v>
      </c>
      <c r="U32" s="17">
        <f t="shared" si="4"/>
        <v>0</v>
      </c>
      <c r="V32" s="18">
        <f t="shared" si="12"/>
        <v>0</v>
      </c>
      <c r="W32" s="16">
        <f t="shared" si="13"/>
        <v>0</v>
      </c>
    </row>
    <row r="33" spans="2:23" x14ac:dyDescent="0.35">
      <c r="B33" s="47">
        <f t="shared" si="0"/>
        <v>44989</v>
      </c>
      <c r="C33" s="48">
        <f t="shared" si="1"/>
        <v>44990</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5"/>
        <v>0</v>
      </c>
      <c r="I33" s="13"/>
      <c r="J33" s="13"/>
      <c r="K33" s="13">
        <f t="shared" si="6"/>
        <v>0</v>
      </c>
      <c r="L33" s="13">
        <f t="shared" si="7"/>
        <v>0</v>
      </c>
      <c r="M33" s="13">
        <f t="shared" si="8"/>
        <v>0</v>
      </c>
      <c r="N33" s="13">
        <f t="shared" si="3"/>
        <v>40.090000000000003</v>
      </c>
      <c r="O33" s="13">
        <f t="shared" si="9"/>
        <v>2.0000000000000004E-2</v>
      </c>
      <c r="P33" s="13">
        <f t="shared" si="10"/>
        <v>0.11</v>
      </c>
      <c r="Q33" s="13">
        <f t="shared" si="11"/>
        <v>40</v>
      </c>
      <c r="R33" s="17"/>
      <c r="S33" s="17"/>
      <c r="T33" s="17">
        <f t="shared" ref="T33:T59" si="14">T32+U32+R33+S33-H33</f>
        <v>0</v>
      </c>
      <c r="U33" s="17">
        <f t="shared" si="4"/>
        <v>0</v>
      </c>
      <c r="V33" s="18">
        <f t="shared" si="12"/>
        <v>0</v>
      </c>
      <c r="W33" s="16">
        <f t="shared" si="13"/>
        <v>0</v>
      </c>
    </row>
    <row r="34" spans="2:23" x14ac:dyDescent="0.35">
      <c r="B34" s="47">
        <f t="shared" si="0"/>
        <v>44990</v>
      </c>
      <c r="C34" s="48">
        <f t="shared" si="1"/>
        <v>44991</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5"/>
        <v>0</v>
      </c>
      <c r="I34" s="13"/>
      <c r="J34" s="13"/>
      <c r="K34" s="13">
        <f t="shared" si="6"/>
        <v>0</v>
      </c>
      <c r="L34" s="13">
        <f t="shared" si="7"/>
        <v>0</v>
      </c>
      <c r="M34" s="13">
        <f t="shared" si="8"/>
        <v>0</v>
      </c>
      <c r="N34" s="13">
        <f t="shared" si="3"/>
        <v>40.11</v>
      </c>
      <c r="O34" s="13">
        <f t="shared" si="9"/>
        <v>2.0000000000000004E-2</v>
      </c>
      <c r="P34" s="13">
        <f t="shared" si="10"/>
        <v>0.13</v>
      </c>
      <c r="Q34" s="13">
        <f t="shared" si="11"/>
        <v>40</v>
      </c>
      <c r="R34" s="17"/>
      <c r="S34" s="17"/>
      <c r="T34" s="17">
        <f t="shared" si="14"/>
        <v>0</v>
      </c>
      <c r="U34" s="17">
        <f t="shared" si="4"/>
        <v>0</v>
      </c>
      <c r="V34" s="18">
        <f t="shared" si="12"/>
        <v>0</v>
      </c>
      <c r="W34" s="16">
        <f t="shared" si="13"/>
        <v>0</v>
      </c>
    </row>
    <row r="35" spans="2:23" x14ac:dyDescent="0.35">
      <c r="B35" s="47">
        <f t="shared" si="0"/>
        <v>44991</v>
      </c>
      <c r="C35" s="48">
        <f t="shared" si="1"/>
        <v>44992</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5"/>
        <v>0</v>
      </c>
      <c r="I35" s="13"/>
      <c r="J35" s="13"/>
      <c r="K35" s="13">
        <f t="shared" si="6"/>
        <v>0</v>
      </c>
      <c r="L35" s="13">
        <f t="shared" si="7"/>
        <v>0</v>
      </c>
      <c r="M35" s="13">
        <f t="shared" si="8"/>
        <v>0</v>
      </c>
      <c r="N35" s="13">
        <f t="shared" si="3"/>
        <v>40.130000000000003</v>
      </c>
      <c r="O35" s="13">
        <f t="shared" si="9"/>
        <v>1.999999999999999E-2</v>
      </c>
      <c r="P35" s="13">
        <f t="shared" si="10"/>
        <v>0.15</v>
      </c>
      <c r="Q35" s="13">
        <f t="shared" si="11"/>
        <v>40</v>
      </c>
      <c r="R35" s="17"/>
      <c r="S35" s="17"/>
      <c r="T35" s="17">
        <f>T34+U34+R35+S35-H35</f>
        <v>0</v>
      </c>
      <c r="U35" s="17">
        <f t="shared" si="4"/>
        <v>0</v>
      </c>
      <c r="V35" s="18">
        <f t="shared" si="12"/>
        <v>0</v>
      </c>
      <c r="W35" s="16">
        <f t="shared" si="13"/>
        <v>0</v>
      </c>
    </row>
    <row r="36" spans="2:23" x14ac:dyDescent="0.35">
      <c r="B36" s="47">
        <f t="shared" si="0"/>
        <v>44992</v>
      </c>
      <c r="C36" s="48">
        <f t="shared" si="1"/>
        <v>44993</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5"/>
        <v>0</v>
      </c>
      <c r="I36" s="13"/>
      <c r="J36" s="13"/>
      <c r="K36" s="13">
        <f t="shared" si="6"/>
        <v>0</v>
      </c>
      <c r="L36" s="13">
        <f t="shared" si="7"/>
        <v>0</v>
      </c>
      <c r="M36" s="13">
        <f t="shared" si="8"/>
        <v>0</v>
      </c>
      <c r="N36" s="13">
        <f t="shared" si="3"/>
        <v>40.15</v>
      </c>
      <c r="O36" s="13">
        <f t="shared" si="9"/>
        <v>2.0000000000000018E-2</v>
      </c>
      <c r="P36" s="13">
        <f t="shared" si="10"/>
        <v>0.17</v>
      </c>
      <c r="Q36" s="13">
        <f t="shared" si="11"/>
        <v>40</v>
      </c>
      <c r="R36" s="17"/>
      <c r="S36" s="17"/>
      <c r="T36" s="17">
        <f t="shared" si="14"/>
        <v>0</v>
      </c>
      <c r="U36" s="17">
        <f t="shared" si="4"/>
        <v>0</v>
      </c>
      <c r="V36" s="18">
        <f t="shared" si="12"/>
        <v>0</v>
      </c>
      <c r="W36" s="16">
        <f t="shared" si="13"/>
        <v>0</v>
      </c>
    </row>
    <row r="37" spans="2:23" x14ac:dyDescent="0.35">
      <c r="B37" s="47">
        <f t="shared" si="0"/>
        <v>44993</v>
      </c>
      <c r="C37" s="48">
        <f t="shared" si="1"/>
        <v>44994</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5"/>
        <v>0</v>
      </c>
      <c r="I37" s="13"/>
      <c r="J37" s="13"/>
      <c r="K37" s="13">
        <f t="shared" si="6"/>
        <v>0</v>
      </c>
      <c r="L37" s="13">
        <f t="shared" si="7"/>
        <v>0</v>
      </c>
      <c r="M37" s="13">
        <f t="shared" si="8"/>
        <v>0</v>
      </c>
      <c r="N37" s="13">
        <f t="shared" si="3"/>
        <v>40.17</v>
      </c>
      <c r="O37" s="13">
        <f t="shared" si="9"/>
        <v>1.999999999999999E-2</v>
      </c>
      <c r="P37" s="13">
        <f t="shared" si="10"/>
        <v>0.19</v>
      </c>
      <c r="Q37" s="13">
        <f t="shared" si="11"/>
        <v>40</v>
      </c>
      <c r="R37" s="17"/>
      <c r="S37" s="17"/>
      <c r="T37" s="17">
        <f t="shared" si="14"/>
        <v>0</v>
      </c>
      <c r="U37" s="17">
        <f t="shared" si="4"/>
        <v>0</v>
      </c>
      <c r="V37" s="18">
        <f t="shared" si="12"/>
        <v>0</v>
      </c>
      <c r="W37" s="16">
        <f t="shared" si="13"/>
        <v>0</v>
      </c>
    </row>
    <row r="38" spans="2:23" x14ac:dyDescent="0.35">
      <c r="B38" s="47">
        <f t="shared" si="0"/>
        <v>44994</v>
      </c>
      <c r="C38" s="48">
        <f t="shared" si="1"/>
        <v>44995</v>
      </c>
      <c r="D38" s="33"/>
      <c r="E38" s="13">
        <f>IF(SUM(E$29:E37)=$I$24,0,IF((D38&lt;=$I$24-SUM(E$29:E37)),D38,$I$24-SUM(E$29:E37)))</f>
        <v>0</v>
      </c>
      <c r="F38" s="13">
        <f>IF($I$19&gt;0,IF(SUM(F$29:F37)&lt;$I$19,IF((D38-E38)&gt;0,IF($I$20=0,IF($I$19-SUM(F$29:F37)&gt;D38,D38,$I$19-SUM(F$29:F37)),E38),D38),0)+IF($I$20&gt;0,IF(D38-$I$20-SUM($H$29:H37)-IF($I$19=0,0,E38)&gt;0,IF(D38-$I$20-SUM($H$29:H37)-IF($I$19=0,0,E38)&gt;$I$19,$I$19-SUM(F$29:F37)-E38,D38-$I$20-SUM($H$29:H37)-IF($I$19=0,0,E38)),0),0),0)</f>
        <v>0</v>
      </c>
      <c r="G38" s="13">
        <f t="shared" si="2"/>
        <v>0</v>
      </c>
      <c r="H38" s="17">
        <f t="shared" si="5"/>
        <v>0</v>
      </c>
      <c r="I38" s="13"/>
      <c r="J38" s="13"/>
      <c r="K38" s="13">
        <f t="shared" si="6"/>
        <v>0</v>
      </c>
      <c r="L38" s="13">
        <f t="shared" si="7"/>
        <v>0</v>
      </c>
      <c r="M38" s="13">
        <f t="shared" si="8"/>
        <v>0</v>
      </c>
      <c r="N38" s="13">
        <f t="shared" si="3"/>
        <v>40.19</v>
      </c>
      <c r="O38" s="13">
        <f t="shared" si="9"/>
        <v>1.999999999999999E-2</v>
      </c>
      <c r="P38" s="13">
        <f t="shared" si="10"/>
        <v>0.21</v>
      </c>
      <c r="Q38" s="13">
        <f t="shared" si="11"/>
        <v>40</v>
      </c>
      <c r="R38" s="17"/>
      <c r="S38" s="17"/>
      <c r="T38" s="17">
        <f t="shared" si="14"/>
        <v>0</v>
      </c>
      <c r="U38" s="17">
        <f t="shared" si="4"/>
        <v>0</v>
      </c>
      <c r="V38" s="18">
        <f t="shared" si="12"/>
        <v>0</v>
      </c>
      <c r="W38" s="16">
        <f t="shared" si="13"/>
        <v>0</v>
      </c>
    </row>
    <row r="39" spans="2:23" x14ac:dyDescent="0.35">
      <c r="B39" s="47">
        <f t="shared" si="0"/>
        <v>44995</v>
      </c>
      <c r="C39" s="48">
        <f t="shared" si="1"/>
        <v>44996</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5"/>
        <v>0</v>
      </c>
      <c r="I39" s="13"/>
      <c r="J39" s="13"/>
      <c r="K39" s="13">
        <f t="shared" si="6"/>
        <v>0</v>
      </c>
      <c r="L39" s="13">
        <f t="shared" si="7"/>
        <v>0</v>
      </c>
      <c r="M39" s="13">
        <f t="shared" si="8"/>
        <v>0</v>
      </c>
      <c r="N39" s="13">
        <f t="shared" si="3"/>
        <v>40.21</v>
      </c>
      <c r="O39" s="13">
        <f>P39-P38</f>
        <v>2.0000000000000018E-2</v>
      </c>
      <c r="P39" s="13">
        <f t="shared" si="10"/>
        <v>0.23</v>
      </c>
      <c r="Q39" s="13">
        <f t="shared" si="11"/>
        <v>40</v>
      </c>
      <c r="R39" s="17"/>
      <c r="S39" s="17"/>
      <c r="T39" s="17">
        <f t="shared" si="14"/>
        <v>0</v>
      </c>
      <c r="U39" s="17">
        <f t="shared" si="4"/>
        <v>0</v>
      </c>
      <c r="V39" s="18">
        <f t="shared" si="12"/>
        <v>0</v>
      </c>
      <c r="W39" s="16">
        <f t="shared" si="13"/>
        <v>0</v>
      </c>
    </row>
    <row r="40" spans="2:23" x14ac:dyDescent="0.35">
      <c r="B40" s="47">
        <f t="shared" si="0"/>
        <v>44996</v>
      </c>
      <c r="C40" s="48">
        <f t="shared" si="1"/>
        <v>44997</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5"/>
        <v>0</v>
      </c>
      <c r="I40" s="13"/>
      <c r="J40" s="13"/>
      <c r="K40" s="13">
        <f t="shared" si="6"/>
        <v>0</v>
      </c>
      <c r="L40" s="13">
        <f t="shared" si="7"/>
        <v>0</v>
      </c>
      <c r="M40" s="13">
        <f t="shared" si="8"/>
        <v>0</v>
      </c>
      <c r="N40" s="13">
        <f t="shared" si="3"/>
        <v>40.229999999999997</v>
      </c>
      <c r="O40" s="13">
        <f t="shared" si="9"/>
        <v>1.999999999999999E-2</v>
      </c>
      <c r="P40" s="13">
        <f t="shared" si="10"/>
        <v>0.25</v>
      </c>
      <c r="Q40" s="13">
        <f t="shared" si="11"/>
        <v>40</v>
      </c>
      <c r="R40" s="17"/>
      <c r="S40" s="17"/>
      <c r="T40" s="17">
        <f t="shared" si="14"/>
        <v>0</v>
      </c>
      <c r="U40" s="17">
        <f t="shared" si="4"/>
        <v>0</v>
      </c>
      <c r="V40" s="18">
        <f t="shared" si="12"/>
        <v>0</v>
      </c>
      <c r="W40" s="16">
        <f t="shared" si="13"/>
        <v>0</v>
      </c>
    </row>
    <row r="41" spans="2:23" x14ac:dyDescent="0.35">
      <c r="B41" s="47">
        <f t="shared" si="0"/>
        <v>44997</v>
      </c>
      <c r="C41" s="48">
        <f t="shared" si="1"/>
        <v>44998</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5"/>
        <v>0</v>
      </c>
      <c r="I41" s="13"/>
      <c r="J41" s="13"/>
      <c r="K41" s="13">
        <f t="shared" si="6"/>
        <v>0</v>
      </c>
      <c r="L41" s="13">
        <f t="shared" si="7"/>
        <v>0</v>
      </c>
      <c r="M41" s="13">
        <f t="shared" si="8"/>
        <v>0</v>
      </c>
      <c r="N41" s="13">
        <f t="shared" si="3"/>
        <v>40.25</v>
      </c>
      <c r="O41" s="13">
        <f t="shared" si="9"/>
        <v>2.0000000000000018E-2</v>
      </c>
      <c r="P41" s="13">
        <f t="shared" si="10"/>
        <v>0.27</v>
      </c>
      <c r="Q41" s="13">
        <f t="shared" si="11"/>
        <v>40</v>
      </c>
      <c r="R41" s="17"/>
      <c r="S41" s="17"/>
      <c r="T41" s="17">
        <f t="shared" si="14"/>
        <v>0</v>
      </c>
      <c r="U41" s="17">
        <f t="shared" si="4"/>
        <v>0</v>
      </c>
      <c r="V41" s="18">
        <f t="shared" si="12"/>
        <v>0</v>
      </c>
      <c r="W41" s="16">
        <f t="shared" si="13"/>
        <v>0</v>
      </c>
    </row>
    <row r="42" spans="2:23" x14ac:dyDescent="0.35">
      <c r="B42" s="47">
        <f>C42-2</f>
        <v>44997</v>
      </c>
      <c r="C42" s="48">
        <f t="shared" si="1"/>
        <v>44999</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5"/>
        <v>0</v>
      </c>
      <c r="I42" s="13"/>
      <c r="J42" s="13"/>
      <c r="K42" s="13">
        <f t="shared" si="6"/>
        <v>0</v>
      </c>
      <c r="L42" s="13">
        <f t="shared" si="7"/>
        <v>0</v>
      </c>
      <c r="M42" s="13">
        <f t="shared" si="8"/>
        <v>0</v>
      </c>
      <c r="N42" s="13">
        <f t="shared" si="3"/>
        <v>40.270000000000003</v>
      </c>
      <c r="O42" s="13">
        <f t="shared" si="9"/>
        <v>1.9999999999999962E-2</v>
      </c>
      <c r="P42" s="13">
        <f t="shared" si="10"/>
        <v>0.28999999999999998</v>
      </c>
      <c r="Q42" s="13">
        <f t="shared" si="11"/>
        <v>40</v>
      </c>
      <c r="R42" s="17"/>
      <c r="S42" s="17"/>
      <c r="T42" s="17">
        <f>T41+U41+R42+S42-H42</f>
        <v>0</v>
      </c>
      <c r="U42" s="17">
        <f>V42-V41</f>
        <v>0</v>
      </c>
      <c r="V42" s="18">
        <f t="shared" si="12"/>
        <v>0</v>
      </c>
      <c r="W42" s="16">
        <f t="shared" si="13"/>
        <v>0</v>
      </c>
    </row>
    <row r="43" spans="2:23" s="90" customFormat="1" x14ac:dyDescent="0.35">
      <c r="B43" s="84">
        <f t="shared" si="0"/>
        <v>44999</v>
      </c>
      <c r="C43" s="85">
        <f t="shared" si="1"/>
        <v>45000</v>
      </c>
      <c r="D43" s="86"/>
      <c r="E43" s="87">
        <f>IF(SUM(E$29:E42)=$I$24,0,IF((D43&lt;=$I$24-SUM(E$29:E42)),D43,$I$24-SUM(E$29:E42)))</f>
        <v>0</v>
      </c>
      <c r="F43" s="87">
        <f>IF($I$19&gt;0,IF(SUM(F$29:F42)&lt;$I$19,IF((D43-E43)&gt;0,IF($I$20=0,IF($I$19-SUM(F$29:F42)&gt;D43,D43,$I$19-SUM(F$29:F42)),E43),D43),0)+IF($I$20&gt;0,IF(D43-$I$20-SUM($H$29:H42)-IF($I$19=0,0,E43)&gt;0,IF(D43-$I$20-SUM($H$29:H42)-IF($I$19=0,0,E43)&gt;$I$19,$I$19-SUM(F$29:F42)-E43,D43-$I$20-SUM($H$29:H42)-IF($I$19=0,0,E43)),0),0),0)</f>
        <v>0</v>
      </c>
      <c r="G43" s="87">
        <f t="shared" si="2"/>
        <v>0</v>
      </c>
      <c r="H43" s="87">
        <f t="shared" si="5"/>
        <v>0</v>
      </c>
      <c r="I43" s="87">
        <v>1000</v>
      </c>
      <c r="J43" s="87">
        <v>4</v>
      </c>
      <c r="K43" s="87">
        <f t="shared" si="6"/>
        <v>0</v>
      </c>
      <c r="L43" s="87">
        <f t="shared" si="7"/>
        <v>0</v>
      </c>
      <c r="M43" s="87">
        <f t="shared" si="8"/>
        <v>0</v>
      </c>
      <c r="N43" s="87">
        <f t="shared" si="3"/>
        <v>1044.29</v>
      </c>
      <c r="O43" s="87">
        <f t="shared" si="9"/>
        <v>0.64000000000000012</v>
      </c>
      <c r="P43" s="87">
        <f t="shared" si="10"/>
        <v>0.93</v>
      </c>
      <c r="Q43" s="87">
        <f t="shared" si="11"/>
        <v>1044</v>
      </c>
      <c r="R43" s="87"/>
      <c r="S43" s="87"/>
      <c r="T43" s="87">
        <f>T42+U42+R43+S43-H43</f>
        <v>0</v>
      </c>
      <c r="U43" s="87">
        <f t="shared" si="4"/>
        <v>0</v>
      </c>
      <c r="V43" s="88">
        <f t="shared" si="12"/>
        <v>0</v>
      </c>
      <c r="W43" s="89">
        <f t="shared" si="13"/>
        <v>0</v>
      </c>
    </row>
    <row r="44" spans="2:23" x14ac:dyDescent="0.35">
      <c r="B44" s="47">
        <f t="shared" si="0"/>
        <v>45000</v>
      </c>
      <c r="C44" s="48">
        <f t="shared" si="1"/>
        <v>45001</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5"/>
        <v>0</v>
      </c>
      <c r="I44" s="13"/>
      <c r="J44" s="13"/>
      <c r="K44" s="13">
        <f t="shared" si="6"/>
        <v>0</v>
      </c>
      <c r="L44" s="13">
        <f t="shared" si="7"/>
        <v>0</v>
      </c>
      <c r="M44" s="13">
        <f t="shared" si="8"/>
        <v>0</v>
      </c>
      <c r="N44" s="13">
        <f t="shared" si="3"/>
        <v>1044.93</v>
      </c>
      <c r="O44" s="13">
        <f t="shared" si="9"/>
        <v>0.64</v>
      </c>
      <c r="P44" s="13">
        <f t="shared" si="10"/>
        <v>1.57</v>
      </c>
      <c r="Q44" s="13">
        <f t="shared" si="11"/>
        <v>1044</v>
      </c>
      <c r="R44" s="17"/>
      <c r="S44" s="17"/>
      <c r="T44" s="17">
        <f t="shared" si="14"/>
        <v>0</v>
      </c>
      <c r="U44" s="17">
        <f t="shared" si="4"/>
        <v>0</v>
      </c>
      <c r="V44" s="18">
        <f t="shared" si="12"/>
        <v>0</v>
      </c>
      <c r="W44" s="16">
        <f t="shared" si="13"/>
        <v>0</v>
      </c>
    </row>
    <row r="45" spans="2:23" x14ac:dyDescent="0.35">
      <c r="B45" s="47">
        <f t="shared" si="0"/>
        <v>45001</v>
      </c>
      <c r="C45" s="48">
        <f t="shared" si="1"/>
        <v>45002</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5"/>
        <v>0</v>
      </c>
      <c r="I45" s="13"/>
      <c r="J45" s="13"/>
      <c r="K45" s="13">
        <f t="shared" si="6"/>
        <v>0</v>
      </c>
      <c r="L45" s="13">
        <f t="shared" si="7"/>
        <v>0</v>
      </c>
      <c r="M45" s="13">
        <f t="shared" si="8"/>
        <v>0</v>
      </c>
      <c r="N45" s="13">
        <f t="shared" si="3"/>
        <v>1045.57</v>
      </c>
      <c r="O45" s="13">
        <f t="shared" si="9"/>
        <v>0.6399999999999999</v>
      </c>
      <c r="P45" s="13">
        <f t="shared" si="10"/>
        <v>2.21</v>
      </c>
      <c r="Q45" s="13">
        <f t="shared" si="11"/>
        <v>1044</v>
      </c>
      <c r="R45" s="17"/>
      <c r="S45" s="17"/>
      <c r="T45" s="17">
        <f t="shared" si="14"/>
        <v>0</v>
      </c>
      <c r="U45" s="17">
        <f t="shared" si="4"/>
        <v>0</v>
      </c>
      <c r="V45" s="18">
        <f t="shared" si="12"/>
        <v>0</v>
      </c>
      <c r="W45" s="16">
        <f>IF(T45=0,0,W44+R45+S45-H45)</f>
        <v>0</v>
      </c>
    </row>
    <row r="46" spans="2:23" x14ac:dyDescent="0.35">
      <c r="B46" s="47">
        <f t="shared" si="0"/>
        <v>45002</v>
      </c>
      <c r="C46" s="48">
        <f t="shared" si="1"/>
        <v>45003</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5"/>
        <v>0</v>
      </c>
      <c r="I46" s="13"/>
      <c r="J46" s="13"/>
      <c r="K46" s="13">
        <f t="shared" si="6"/>
        <v>0</v>
      </c>
      <c r="L46" s="13">
        <f t="shared" si="7"/>
        <v>0</v>
      </c>
      <c r="M46" s="13">
        <f t="shared" si="8"/>
        <v>0</v>
      </c>
      <c r="N46" s="13">
        <f t="shared" si="3"/>
        <v>1046.21</v>
      </c>
      <c r="O46" s="13">
        <f t="shared" si="9"/>
        <v>0.64000000000000012</v>
      </c>
      <c r="P46" s="13">
        <f t="shared" si="10"/>
        <v>2.85</v>
      </c>
      <c r="Q46" s="13">
        <f t="shared" si="11"/>
        <v>1044</v>
      </c>
      <c r="R46" s="17"/>
      <c r="S46" s="17"/>
      <c r="T46" s="17">
        <f t="shared" si="14"/>
        <v>0</v>
      </c>
      <c r="U46" s="17">
        <f t="shared" si="4"/>
        <v>0</v>
      </c>
      <c r="V46" s="18">
        <f t="shared" si="12"/>
        <v>0</v>
      </c>
      <c r="W46" s="16">
        <f>IF(T46=0,0,W45+R46+S46-H46)</f>
        <v>0</v>
      </c>
    </row>
    <row r="47" spans="2:23" x14ac:dyDescent="0.35">
      <c r="B47" s="47">
        <f t="shared" si="0"/>
        <v>45003</v>
      </c>
      <c r="C47" s="48">
        <f t="shared" si="1"/>
        <v>45004</v>
      </c>
      <c r="D47" s="33"/>
      <c r="E47" s="13">
        <f>IF(SUM(E$29:E46)=$I$24,0,IF((D47&lt;=$I$24-SUM(E$29:E46)),D47,$I$24-SUM(E$29:E46)))</f>
        <v>0</v>
      </c>
      <c r="F47" s="13">
        <f>IF($I$19&gt;0,IF(SUM(F$29:F46)&lt;$I$19,IF((D47-E47)&gt;0,IF($I$20=0,IF($I$19-SUM(F$29:F46)&gt;D47,D47,$I$19-SUM(F$29:F46)),E47),D47),0)+IF($I$20&gt;0,IF(D47-$I$20-SUM($H$29:H46)-IF($I$19=0,0,E47)&gt;0,IF(D47-$I$20-SUM($H$29:H46)-IF($I$19=0,0,E47)&gt;$I$19,$I$19-SUM(F$29:F46)-E47,D47-$I$20-SUM($H$29:H46)-IF($I$19=0,0,E47)),0),0),0)</f>
        <v>0</v>
      </c>
      <c r="G47" s="13">
        <f t="shared" si="2"/>
        <v>0</v>
      </c>
      <c r="H47" s="17">
        <f t="shared" si="5"/>
        <v>0</v>
      </c>
      <c r="I47" s="13"/>
      <c r="J47" s="13"/>
      <c r="K47" s="13">
        <f t="shared" si="6"/>
        <v>0</v>
      </c>
      <c r="L47" s="13">
        <f t="shared" si="7"/>
        <v>0</v>
      </c>
      <c r="M47" s="13">
        <f t="shared" si="8"/>
        <v>0</v>
      </c>
      <c r="N47" s="13">
        <f t="shared" si="3"/>
        <v>1046.8499999999999</v>
      </c>
      <c r="O47" s="13">
        <f t="shared" si="9"/>
        <v>0.64999999999999991</v>
      </c>
      <c r="P47" s="13">
        <f t="shared" si="10"/>
        <v>3.5</v>
      </c>
      <c r="Q47" s="13">
        <f t="shared" si="11"/>
        <v>1044</v>
      </c>
      <c r="R47" s="17"/>
      <c r="S47" s="17"/>
      <c r="T47" s="17">
        <f t="shared" si="14"/>
        <v>0</v>
      </c>
      <c r="U47" s="17">
        <f t="shared" si="4"/>
        <v>0</v>
      </c>
      <c r="V47" s="18">
        <f t="shared" si="12"/>
        <v>0</v>
      </c>
      <c r="W47" s="16">
        <f t="shared" si="13"/>
        <v>0</v>
      </c>
    </row>
    <row r="48" spans="2:23" x14ac:dyDescent="0.35">
      <c r="B48" s="47">
        <f t="shared" si="0"/>
        <v>45004</v>
      </c>
      <c r="C48" s="48">
        <f t="shared" si="1"/>
        <v>45005</v>
      </c>
      <c r="D48" s="33"/>
      <c r="E48" s="13">
        <f>IF(SUM(E$29:E47)=$I$24,0,IF((D48&lt;=$I$24-SUM(E$29:E47)),D48,$I$24-SUM(E$29:E47)))</f>
        <v>0</v>
      </c>
      <c r="F48" s="13">
        <f>IF($I$19&gt;0,IF(SUM(F$29:F47)&lt;$I$19,IF((D48-E48)&gt;0,IF($I$20=0,IF($I$19-SUM(F$29:F47)&gt;D48,D48,$I$19-SUM(F$29:F47)),E48),D48),0)+IF($I$20&gt;0,IF(D48-$I$20-SUM($H$29:H47)-IF($I$19=0,0,E48)&gt;0,IF(D48-$I$20-SUM($H$29:H47)-IF($I$19=0,0,E48)&gt;$I$19,$I$19-SUM(F$29:F47)-E48,D48-$I$20-SUM($H$29:H47)-IF($I$19=0,0,E48)),0),0),0)</f>
        <v>0</v>
      </c>
      <c r="G48" s="13">
        <f t="shared" si="2"/>
        <v>0</v>
      </c>
      <c r="H48" s="17">
        <f t="shared" si="5"/>
        <v>0</v>
      </c>
      <c r="I48" s="13"/>
      <c r="J48" s="13"/>
      <c r="K48" s="13">
        <f t="shared" si="6"/>
        <v>0</v>
      </c>
      <c r="L48" s="13">
        <f t="shared" si="7"/>
        <v>0</v>
      </c>
      <c r="M48" s="13">
        <f t="shared" si="8"/>
        <v>0</v>
      </c>
      <c r="N48" s="13">
        <f t="shared" si="3"/>
        <v>1047.5</v>
      </c>
      <c r="O48" s="13">
        <f t="shared" si="9"/>
        <v>0.65000000000000036</v>
      </c>
      <c r="P48" s="13">
        <f t="shared" si="10"/>
        <v>4.1500000000000004</v>
      </c>
      <c r="Q48" s="13">
        <f t="shared" si="11"/>
        <v>1044</v>
      </c>
      <c r="R48" s="17"/>
      <c r="S48" s="17"/>
      <c r="T48" s="17">
        <f t="shared" si="14"/>
        <v>0</v>
      </c>
      <c r="U48" s="17">
        <f t="shared" si="4"/>
        <v>0</v>
      </c>
      <c r="V48" s="18">
        <f t="shared" si="12"/>
        <v>0</v>
      </c>
      <c r="W48" s="16">
        <f t="shared" si="13"/>
        <v>0</v>
      </c>
    </row>
    <row r="49" spans="2:23" x14ac:dyDescent="0.35">
      <c r="B49" s="47">
        <f t="shared" si="0"/>
        <v>45005</v>
      </c>
      <c r="C49" s="48">
        <f t="shared" si="1"/>
        <v>45006</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5"/>
        <v>0</v>
      </c>
      <c r="I49" s="13"/>
      <c r="J49" s="13"/>
      <c r="K49" s="13">
        <f t="shared" si="6"/>
        <v>0</v>
      </c>
      <c r="L49" s="13">
        <f t="shared" si="7"/>
        <v>0</v>
      </c>
      <c r="M49" s="13">
        <f t="shared" si="8"/>
        <v>0</v>
      </c>
      <c r="N49" s="13">
        <f t="shared" si="3"/>
        <v>1048.1500000000001</v>
      </c>
      <c r="O49" s="13">
        <f t="shared" si="9"/>
        <v>0.64999999999999947</v>
      </c>
      <c r="P49" s="13">
        <f t="shared" si="10"/>
        <v>4.8</v>
      </c>
      <c r="Q49" s="13">
        <f t="shared" si="11"/>
        <v>1044</v>
      </c>
      <c r="R49" s="17"/>
      <c r="S49" s="17"/>
      <c r="T49" s="17">
        <f t="shared" si="14"/>
        <v>0</v>
      </c>
      <c r="U49" s="17">
        <f t="shared" si="4"/>
        <v>0</v>
      </c>
      <c r="V49" s="18">
        <f t="shared" si="12"/>
        <v>0</v>
      </c>
      <c r="W49" s="16">
        <f t="shared" si="13"/>
        <v>0</v>
      </c>
    </row>
    <row r="50" spans="2:23" x14ac:dyDescent="0.35">
      <c r="B50" s="47">
        <f t="shared" si="0"/>
        <v>45006</v>
      </c>
      <c r="C50" s="48">
        <f t="shared" si="1"/>
        <v>45007</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5"/>
        <v>0</v>
      </c>
      <c r="I50" s="13"/>
      <c r="J50" s="13"/>
      <c r="K50" s="13">
        <f t="shared" si="6"/>
        <v>0</v>
      </c>
      <c r="L50" s="13">
        <f t="shared" si="7"/>
        <v>0</v>
      </c>
      <c r="M50" s="13">
        <f t="shared" si="8"/>
        <v>0</v>
      </c>
      <c r="N50" s="13">
        <f t="shared" si="3"/>
        <v>1048.8</v>
      </c>
      <c r="O50" s="13">
        <f t="shared" si="9"/>
        <v>0.65000000000000036</v>
      </c>
      <c r="P50" s="13">
        <f t="shared" si="10"/>
        <v>5.45</v>
      </c>
      <c r="Q50" s="13">
        <f t="shared" si="11"/>
        <v>1044</v>
      </c>
      <c r="R50" s="17"/>
      <c r="S50" s="17"/>
      <c r="T50" s="17">
        <f t="shared" si="14"/>
        <v>0</v>
      </c>
      <c r="U50" s="17">
        <f t="shared" si="4"/>
        <v>0</v>
      </c>
      <c r="V50" s="18">
        <f t="shared" si="12"/>
        <v>0</v>
      </c>
      <c r="W50" s="16">
        <f t="shared" si="13"/>
        <v>0</v>
      </c>
    </row>
    <row r="51" spans="2:23" x14ac:dyDescent="0.35">
      <c r="B51" s="47">
        <f t="shared" si="0"/>
        <v>45007</v>
      </c>
      <c r="C51" s="48">
        <f t="shared" si="1"/>
        <v>45008</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5"/>
        <v>0</v>
      </c>
      <c r="I51" s="13"/>
      <c r="J51" s="13"/>
      <c r="K51" s="13">
        <f t="shared" si="6"/>
        <v>0</v>
      </c>
      <c r="L51" s="13">
        <f t="shared" si="7"/>
        <v>0</v>
      </c>
      <c r="M51" s="13">
        <f t="shared" si="8"/>
        <v>0</v>
      </c>
      <c r="N51" s="13">
        <f t="shared" si="3"/>
        <v>1049.45</v>
      </c>
      <c r="O51" s="13">
        <f t="shared" si="9"/>
        <v>0.64999999999999947</v>
      </c>
      <c r="P51" s="13">
        <f t="shared" si="10"/>
        <v>6.1</v>
      </c>
      <c r="Q51" s="13">
        <f t="shared" si="11"/>
        <v>1044</v>
      </c>
      <c r="R51" s="17"/>
      <c r="S51" s="17"/>
      <c r="T51" s="17">
        <f t="shared" si="14"/>
        <v>0</v>
      </c>
      <c r="U51" s="17">
        <f t="shared" si="4"/>
        <v>0</v>
      </c>
      <c r="V51" s="18">
        <f t="shared" si="12"/>
        <v>0</v>
      </c>
      <c r="W51" s="16">
        <f t="shared" si="13"/>
        <v>0</v>
      </c>
    </row>
    <row r="52" spans="2:23" x14ac:dyDescent="0.35">
      <c r="B52" s="47">
        <f t="shared" si="0"/>
        <v>45008</v>
      </c>
      <c r="C52" s="48">
        <f t="shared" si="1"/>
        <v>45009</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5"/>
        <v>0</v>
      </c>
      <c r="I52" s="13"/>
      <c r="J52" s="13"/>
      <c r="K52" s="13">
        <f t="shared" si="6"/>
        <v>0</v>
      </c>
      <c r="L52" s="13">
        <f t="shared" si="7"/>
        <v>0</v>
      </c>
      <c r="M52" s="13">
        <f t="shared" si="8"/>
        <v>0</v>
      </c>
      <c r="N52" s="13">
        <f t="shared" si="3"/>
        <v>1050.0999999999999</v>
      </c>
      <c r="O52" s="13">
        <f t="shared" si="9"/>
        <v>0.65000000000000036</v>
      </c>
      <c r="P52" s="13">
        <f t="shared" si="10"/>
        <v>6.75</v>
      </c>
      <c r="Q52" s="13">
        <f t="shared" si="11"/>
        <v>1044</v>
      </c>
      <c r="R52" s="17"/>
      <c r="S52" s="17"/>
      <c r="T52" s="17">
        <f t="shared" si="14"/>
        <v>0</v>
      </c>
      <c r="U52" s="17">
        <f t="shared" si="4"/>
        <v>0</v>
      </c>
      <c r="V52" s="18">
        <f t="shared" si="12"/>
        <v>0</v>
      </c>
      <c r="W52" s="16">
        <f t="shared" si="13"/>
        <v>0</v>
      </c>
    </row>
    <row r="53" spans="2:23" x14ac:dyDescent="0.35">
      <c r="B53" s="47">
        <f t="shared" si="0"/>
        <v>45009</v>
      </c>
      <c r="C53" s="48">
        <f t="shared" si="1"/>
        <v>45010</v>
      </c>
      <c r="D53" s="33"/>
      <c r="E53" s="13">
        <f>IF(SUM(E$29:E52)=$I$24,0,IF((D53&lt;=$I$24-SUM(E$29:E52)),D53,$I$24-SUM(E$29:E52)))</f>
        <v>0</v>
      </c>
      <c r="F53" s="13">
        <f>IF($I$19&gt;0,IF(SUM(F$29:F52)&lt;$I$19,IF((D53-E53)&gt;0,IF($I$20=0,IF($I$19-SUM(F$29:F52)&gt;D53,D53,$I$19-SUM(F$29:F52)),E53),D53),0)+IF($I$20&gt;0,IF(D53-$I$20-SUM($H$29:H52)-IF($I$19=0,0,E53)&gt;0,IF(D53-$I$20-SUM($H$29:H52)-IF($I$19=0,0,E53)&gt;$I$19,$I$19-SUM(F$29:F52)-E53,D53-$I$20-SUM($H$29:H52)-IF($I$19=0,0,E53)),0),0),0)</f>
        <v>0</v>
      </c>
      <c r="G53" s="13">
        <f t="shared" si="2"/>
        <v>0</v>
      </c>
      <c r="H53" s="17">
        <f t="shared" si="5"/>
        <v>0</v>
      </c>
      <c r="I53" s="13"/>
      <c r="J53" s="13"/>
      <c r="K53" s="13">
        <f t="shared" si="6"/>
        <v>0</v>
      </c>
      <c r="L53" s="13">
        <f t="shared" si="7"/>
        <v>0</v>
      </c>
      <c r="M53" s="13">
        <f t="shared" si="8"/>
        <v>0</v>
      </c>
      <c r="N53" s="13">
        <f t="shared" si="3"/>
        <v>1050.75</v>
      </c>
      <c r="O53" s="13">
        <f t="shared" si="9"/>
        <v>0.65000000000000036</v>
      </c>
      <c r="P53" s="13">
        <f t="shared" si="10"/>
        <v>7.4</v>
      </c>
      <c r="Q53" s="13">
        <f t="shared" si="11"/>
        <v>1044</v>
      </c>
      <c r="R53" s="17"/>
      <c r="S53" s="17"/>
      <c r="T53" s="17">
        <f t="shared" si="14"/>
        <v>0</v>
      </c>
      <c r="U53" s="17">
        <f t="shared" si="4"/>
        <v>0</v>
      </c>
      <c r="V53" s="18">
        <f t="shared" si="12"/>
        <v>0</v>
      </c>
      <c r="W53" s="16">
        <f t="shared" si="13"/>
        <v>0</v>
      </c>
    </row>
    <row r="54" spans="2:23" x14ac:dyDescent="0.35">
      <c r="B54" s="47">
        <f t="shared" si="0"/>
        <v>45010</v>
      </c>
      <c r="C54" s="48">
        <f t="shared" si="1"/>
        <v>45011</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5"/>
        <v>0</v>
      </c>
      <c r="I54" s="13"/>
      <c r="J54" s="13"/>
      <c r="K54" s="13">
        <f t="shared" si="6"/>
        <v>0</v>
      </c>
      <c r="L54" s="13">
        <f t="shared" si="7"/>
        <v>0</v>
      </c>
      <c r="M54" s="13">
        <f t="shared" si="8"/>
        <v>0</v>
      </c>
      <c r="N54" s="13">
        <f t="shared" si="3"/>
        <v>1051.4000000000001</v>
      </c>
      <c r="O54" s="13">
        <f t="shared" si="9"/>
        <v>0.65000000000000036</v>
      </c>
      <c r="P54" s="13">
        <f t="shared" si="10"/>
        <v>8.0500000000000007</v>
      </c>
      <c r="Q54" s="13">
        <f t="shared" si="11"/>
        <v>1044</v>
      </c>
      <c r="R54" s="17"/>
      <c r="S54" s="17"/>
      <c r="T54" s="17">
        <f t="shared" si="14"/>
        <v>0</v>
      </c>
      <c r="U54" s="17">
        <f t="shared" si="4"/>
        <v>0</v>
      </c>
      <c r="V54" s="18">
        <f t="shared" si="12"/>
        <v>0</v>
      </c>
      <c r="W54" s="16">
        <f t="shared" si="13"/>
        <v>0</v>
      </c>
    </row>
    <row r="55" spans="2:23" x14ac:dyDescent="0.35">
      <c r="B55" s="47">
        <f t="shared" si="0"/>
        <v>45011</v>
      </c>
      <c r="C55" s="48">
        <f t="shared" si="1"/>
        <v>45012</v>
      </c>
      <c r="D55" s="33"/>
      <c r="E55" s="13">
        <f>IF(SUM(E$29:E54)=$I$24,0,IF((D55&lt;=$I$24-SUM(E$29:E54)),D55,$I$24-SUM(E$29:E54)))</f>
        <v>0</v>
      </c>
      <c r="F55" s="13">
        <f>IF($I$19&gt;0,IF(SUM(F$29:F54)&lt;$I$19,IF((D55-E55)&gt;0,IF($I$20=0,IF($I$19-SUM(F$29:F54)&gt;D55,D55,$I$19-SUM(F$29:F54)),E55),D55),0)+IF($I$20&gt;0,IF(D55-$I$20-SUM($H$29:H54)-IF($I$19=0,0,E55)&gt;0,IF(D55-$I$20-SUM($H$29:H54)-IF($I$19=0,0,E55)&gt;$I$19,$I$19-SUM(F$29:F54)-E55,D55-$I$20-SUM($H$29:H54)-IF($I$19=0,0,E55)),0),0),0)</f>
        <v>0</v>
      </c>
      <c r="G55" s="13">
        <f t="shared" si="2"/>
        <v>0</v>
      </c>
      <c r="H55" s="17">
        <f t="shared" si="5"/>
        <v>0</v>
      </c>
      <c r="I55" s="13"/>
      <c r="J55" s="13"/>
      <c r="K55" s="13">
        <f t="shared" si="6"/>
        <v>0</v>
      </c>
      <c r="L55" s="13">
        <f t="shared" si="7"/>
        <v>0</v>
      </c>
      <c r="M55" s="13">
        <f t="shared" si="8"/>
        <v>0</v>
      </c>
      <c r="N55" s="13">
        <f t="shared" si="3"/>
        <v>1052.05</v>
      </c>
      <c r="O55" s="13">
        <f t="shared" si="9"/>
        <v>0.64999999999999858</v>
      </c>
      <c r="P55" s="13">
        <f t="shared" si="10"/>
        <v>8.6999999999999993</v>
      </c>
      <c r="Q55" s="13">
        <f t="shared" si="11"/>
        <v>1044</v>
      </c>
      <c r="R55" s="17"/>
      <c r="S55" s="17"/>
      <c r="T55" s="17">
        <f t="shared" si="14"/>
        <v>0</v>
      </c>
      <c r="U55" s="17">
        <f t="shared" si="4"/>
        <v>0</v>
      </c>
      <c r="V55" s="18">
        <f t="shared" si="12"/>
        <v>0</v>
      </c>
      <c r="W55" s="16">
        <f t="shared" si="13"/>
        <v>0</v>
      </c>
    </row>
    <row r="56" spans="2:23" x14ac:dyDescent="0.35">
      <c r="B56" s="47">
        <f t="shared" si="0"/>
        <v>45012</v>
      </c>
      <c r="C56" s="48">
        <f t="shared" si="1"/>
        <v>45013</v>
      </c>
      <c r="D56" s="33"/>
      <c r="E56" s="14">
        <f>IF(SUM(E$29:E55)=$I$24,0,IF((D56&lt;=$I$24-SUM(E$29:E55)),D56,$I$24-SUM(E$29:E55)))</f>
        <v>0</v>
      </c>
      <c r="F56" s="13">
        <f>IF($I$19&gt;0,IF(SUM(F$29:F55)&lt;$I$19,IF((D56-E56)&gt;0,IF($I$20=0,IF($I$19-SUM(F$29:F55)&gt;D56,D56,$I$19-SUM(F$29:F55)),E56),D56),0)+IF($I$20&gt;0,IF(D56-$I$20-SUM($H$29:H55)-IF($I$19=0,0,E56)&gt;0,IF(D56-$I$20-SUM($H$29:H55)-IF($I$19=0,0,E56)&gt;$I$19,$I$19-SUM(F$29:F55)-E56,D56-$I$20-SUM($H$29:H55)-IF($I$19=0,0,E56)),0),0),0)</f>
        <v>0</v>
      </c>
      <c r="G56" s="13">
        <f t="shared" si="2"/>
        <v>0</v>
      </c>
      <c r="H56" s="17">
        <f t="shared" si="5"/>
        <v>0</v>
      </c>
      <c r="I56" s="13"/>
      <c r="J56" s="13"/>
      <c r="K56" s="13">
        <f t="shared" si="6"/>
        <v>0</v>
      </c>
      <c r="L56" s="13">
        <f t="shared" si="7"/>
        <v>0</v>
      </c>
      <c r="M56" s="13">
        <f t="shared" si="8"/>
        <v>0</v>
      </c>
      <c r="N56" s="13">
        <f t="shared" si="3"/>
        <v>1052.7</v>
      </c>
      <c r="O56" s="13">
        <f t="shared" si="9"/>
        <v>0.65000000000000036</v>
      </c>
      <c r="P56" s="13">
        <f t="shared" si="10"/>
        <v>9.35</v>
      </c>
      <c r="Q56" s="13">
        <f t="shared" si="11"/>
        <v>1044</v>
      </c>
      <c r="R56" s="17"/>
      <c r="S56" s="17"/>
      <c r="T56" s="17">
        <f t="shared" si="14"/>
        <v>0</v>
      </c>
      <c r="U56" s="17">
        <f t="shared" si="4"/>
        <v>0</v>
      </c>
      <c r="V56" s="18">
        <f t="shared" si="12"/>
        <v>0</v>
      </c>
      <c r="W56" s="16">
        <f t="shared" si="13"/>
        <v>0</v>
      </c>
    </row>
    <row r="57" spans="2:23" x14ac:dyDescent="0.35">
      <c r="B57" s="47">
        <f t="shared" si="0"/>
        <v>45013</v>
      </c>
      <c r="C57" s="48">
        <f t="shared" si="1"/>
        <v>45014</v>
      </c>
      <c r="D57" s="33"/>
      <c r="E57" s="13">
        <f>IF(SUM(E$29:E56)=$I$24,0,IF((D57&lt;=$I$24-SUM(E$29:E56)),D57,$I$24-SUM(E$29:E56)))</f>
        <v>0</v>
      </c>
      <c r="F57" s="13">
        <f>IF($I$19&gt;0,IF(SUM(F$29:F56)&lt;$I$19,IF((D57-E57)&gt;0,IF($I$20=0,IF($I$19-SUM(F$29:F56)&gt;D57,D57,$I$19-SUM(F$29:F56)),E57),D57),0)+IF($I$20&gt;0,IF(D57-$I$20-SUM($H$29:H56)-IF($I$19=0,0,E57)&gt;0,IF(D57-$I$20-SUM($H$29:H56)-IF($I$19=0,0,E57)&gt;$I$19,$I$19-SUM(F$29:F56)-E57,D57-$I$20-SUM($H$29:H56)-IF($I$19=0,0,E57)),0),0),0)</f>
        <v>0</v>
      </c>
      <c r="G57" s="13">
        <f t="shared" si="2"/>
        <v>0</v>
      </c>
      <c r="H57" s="17">
        <f t="shared" si="5"/>
        <v>0</v>
      </c>
      <c r="I57" s="13"/>
      <c r="J57" s="13"/>
      <c r="K57" s="13">
        <f t="shared" si="6"/>
        <v>0</v>
      </c>
      <c r="L57" s="13">
        <f t="shared" si="7"/>
        <v>0</v>
      </c>
      <c r="M57" s="13">
        <f t="shared" si="8"/>
        <v>0</v>
      </c>
      <c r="N57" s="13">
        <f t="shared" si="3"/>
        <v>1053.3499999999999</v>
      </c>
      <c r="O57" s="13">
        <f t="shared" si="9"/>
        <v>0.65000000000000036</v>
      </c>
      <c r="P57" s="13">
        <f t="shared" si="10"/>
        <v>10</v>
      </c>
      <c r="Q57" s="13">
        <f t="shared" si="11"/>
        <v>1044</v>
      </c>
      <c r="R57" s="17"/>
      <c r="S57" s="17"/>
      <c r="T57" s="17">
        <f t="shared" si="14"/>
        <v>0</v>
      </c>
      <c r="U57" s="17">
        <f t="shared" si="4"/>
        <v>0</v>
      </c>
      <c r="V57" s="18">
        <f t="shared" si="12"/>
        <v>0</v>
      </c>
      <c r="W57" s="16">
        <f t="shared" si="13"/>
        <v>0</v>
      </c>
    </row>
    <row r="58" spans="2:23" s="11" customFormat="1" x14ac:dyDescent="0.35">
      <c r="B58" s="47">
        <f t="shared" si="0"/>
        <v>45014</v>
      </c>
      <c r="C58" s="48">
        <f t="shared" si="1"/>
        <v>45015</v>
      </c>
      <c r="D58" s="33"/>
      <c r="E58" s="13">
        <f>IF(SUM(E$29:E57)=$I$24,0,IF((D58&lt;=$I$24-SUM(E$29:E57)),D58,$I$24-SUM(E$29:E57)))</f>
        <v>0</v>
      </c>
      <c r="F58" s="13">
        <f>IF($I$19&gt;0,IF(SUM(F$29:F57)&lt;$I$19,IF((D58-E58)&gt;0,IF($I$20=0,IF($I$19-SUM(F$29:F57)&gt;D58,D58,$I$19-SUM(F$29:F57)),E58),D58),0)+IF($I$20&gt;0,IF(D58-$I$20-SUM($H$29:H57)-IF($I$19=0,0,E58)&gt;0,IF(D58-$I$20-SUM($H$29:H57)-IF($I$19=0,0,E58)&gt;$I$19,$I$19-SUM(F$29:F57)-E58,D58-$I$20-SUM($H$29:H57)-IF($I$19=0,0,E58)),0),0),0)</f>
        <v>0</v>
      </c>
      <c r="G58" s="13">
        <f t="shared" si="2"/>
        <v>0</v>
      </c>
      <c r="H58" s="17">
        <f t="shared" si="5"/>
        <v>0</v>
      </c>
      <c r="I58" s="13"/>
      <c r="J58" s="13"/>
      <c r="K58" s="13">
        <f t="shared" si="6"/>
        <v>0</v>
      </c>
      <c r="L58" s="13">
        <f t="shared" si="7"/>
        <v>0</v>
      </c>
      <c r="M58" s="13">
        <f t="shared" si="8"/>
        <v>0</v>
      </c>
      <c r="N58" s="13">
        <f t="shared" si="3"/>
        <v>1054</v>
      </c>
      <c r="O58" s="13">
        <f t="shared" si="9"/>
        <v>0.65000000000000036</v>
      </c>
      <c r="P58" s="13">
        <f t="shared" si="10"/>
        <v>10.65</v>
      </c>
      <c r="Q58" s="13">
        <f t="shared" si="11"/>
        <v>1044</v>
      </c>
      <c r="R58" s="17"/>
      <c r="S58" s="17"/>
      <c r="T58" s="17">
        <f t="shared" si="14"/>
        <v>0</v>
      </c>
      <c r="U58" s="17">
        <f t="shared" si="4"/>
        <v>0</v>
      </c>
      <c r="V58" s="18">
        <f t="shared" si="12"/>
        <v>0</v>
      </c>
      <c r="W58" s="16">
        <f t="shared" si="13"/>
        <v>0</v>
      </c>
    </row>
    <row r="59" spans="2:23" s="11" customFormat="1" ht="15" thickBot="1" x14ac:dyDescent="0.4">
      <c r="B59" s="47">
        <f t="shared" si="0"/>
        <v>45015</v>
      </c>
      <c r="C59" s="48">
        <f t="shared" si="1"/>
        <v>45016</v>
      </c>
      <c r="D59" s="33"/>
      <c r="E59" s="13">
        <f>IF(SUM(E$29:E58)=$I$24,0,IF((D59&lt;=$I$24-SUM(E$29:E58)),D59,$I$24-SUM(E$29:E58)))</f>
        <v>0</v>
      </c>
      <c r="F59" s="13">
        <f>IF($I$19&gt;0,IF(SUM(F$29:F58)&lt;$I$19,IF((D59-E59)&gt;0,IF($I$20=0,IF($I$19-SUM(F$29:F58)&gt;D59,D59,$I$19-SUM(F$29:F58)),E59),D59),0)+IF($I$20&gt;0,IF(D59-$I$20-SUM($H$29:H58)-IF($I$19=0,0,E59)&gt;0,IF(D59-$I$20-SUM($H$29:H58)-IF($I$19=0,0,E59)&gt;$I$19,$I$19-SUM(F$29:F58)-E59,D59-$I$20-SUM($H$29:H58)-IF($I$19=0,0,E59)),0),0),0)</f>
        <v>0</v>
      </c>
      <c r="G59" s="13">
        <f t="shared" si="2"/>
        <v>0</v>
      </c>
      <c r="H59" s="17">
        <f t="shared" si="5"/>
        <v>0</v>
      </c>
      <c r="I59" s="13"/>
      <c r="J59" s="13"/>
      <c r="K59" s="13">
        <f t="shared" si="6"/>
        <v>0</v>
      </c>
      <c r="L59" s="13">
        <f t="shared" si="7"/>
        <v>0</v>
      </c>
      <c r="M59" s="13">
        <f t="shared" si="8"/>
        <v>0</v>
      </c>
      <c r="N59" s="13">
        <f t="shared" si="3"/>
        <v>1054.6500000000001</v>
      </c>
      <c r="O59" s="13">
        <f t="shared" si="9"/>
        <v>0.65000000000000036</v>
      </c>
      <c r="P59" s="13">
        <f>ROUND(P58+N59*$F$22,2)</f>
        <v>11.3</v>
      </c>
      <c r="Q59" s="13">
        <f t="shared" si="11"/>
        <v>1044</v>
      </c>
      <c r="R59" s="17"/>
      <c r="S59" s="17"/>
      <c r="T59" s="17">
        <f t="shared" si="14"/>
        <v>0</v>
      </c>
      <c r="U59" s="17">
        <f t="shared" si="4"/>
        <v>0</v>
      </c>
      <c r="V59" s="18">
        <f t="shared" si="12"/>
        <v>0</v>
      </c>
      <c r="W59" s="16">
        <f t="shared" si="13"/>
        <v>0</v>
      </c>
    </row>
    <row r="60" spans="2:23" ht="15" thickBot="1" x14ac:dyDescent="0.4">
      <c r="B60" s="122" t="s">
        <v>49</v>
      </c>
      <c r="C60" s="123"/>
      <c r="D60" s="67">
        <f t="shared" ref="D60:L60" si="15">SUM(D29:D59)</f>
        <v>0</v>
      </c>
      <c r="E60" s="21">
        <f t="shared" si="15"/>
        <v>0</v>
      </c>
      <c r="F60" s="21">
        <f t="shared" si="15"/>
        <v>0</v>
      </c>
      <c r="G60" s="21">
        <f t="shared" si="15"/>
        <v>0</v>
      </c>
      <c r="H60" s="22">
        <f t="shared" si="15"/>
        <v>0</v>
      </c>
      <c r="I60" s="20">
        <f t="shared" si="15"/>
        <v>1000</v>
      </c>
      <c r="J60" s="21">
        <f t="shared" si="15"/>
        <v>44</v>
      </c>
      <c r="K60" s="21">
        <f t="shared" si="15"/>
        <v>0</v>
      </c>
      <c r="L60" s="74">
        <f t="shared" si="15"/>
        <v>0</v>
      </c>
      <c r="M60" s="20"/>
      <c r="N60" s="21">
        <f>SUM(N29:N59)</f>
        <v>18402.690000000002</v>
      </c>
      <c r="O60" s="21">
        <f>SUM(O29:O59)</f>
        <v>11.3</v>
      </c>
      <c r="P60" s="20"/>
      <c r="Q60" s="20"/>
      <c r="R60" s="22">
        <f>SUM(R29:R59)</f>
        <v>0</v>
      </c>
      <c r="S60" s="22">
        <f>SUM(S29:S59)</f>
        <v>0</v>
      </c>
      <c r="T60" s="22">
        <f>SUM(T29:T59)</f>
        <v>0</v>
      </c>
      <c r="U60" s="22">
        <f>SUM(U29:U59)</f>
        <v>0</v>
      </c>
      <c r="V60" s="23"/>
      <c r="W60" s="23"/>
    </row>
    <row r="61" spans="2:23" ht="15" thickBot="1" x14ac:dyDescent="0.4">
      <c r="G61" s="61"/>
      <c r="J61" s="82" t="s">
        <v>71</v>
      </c>
      <c r="K61" s="82">
        <f>K60/$C$18</f>
        <v>0</v>
      </c>
      <c r="M61" s="82" t="s">
        <v>69</v>
      </c>
      <c r="N61" s="82">
        <f>N60/$C$18</f>
        <v>593.63516129032269</v>
      </c>
      <c r="O61" s="61"/>
      <c r="S61" s="82" t="s">
        <v>65</v>
      </c>
      <c r="T61" s="82">
        <f>T60/$C$18</f>
        <v>0</v>
      </c>
    </row>
    <row r="62" spans="2:23" ht="15" thickBot="1" x14ac:dyDescent="0.4">
      <c r="H62" s="2"/>
      <c r="J62" s="82" t="s">
        <v>72</v>
      </c>
      <c r="K62" s="82">
        <f>M59</f>
        <v>0</v>
      </c>
      <c r="M62" s="82" t="s">
        <v>70</v>
      </c>
      <c r="N62" s="82">
        <f>IF(ROUND(N59,2)=0,0,N61*$F$22*$C$18)</f>
        <v>11.339082139726029</v>
      </c>
      <c r="S62" s="82" t="s">
        <v>64</v>
      </c>
      <c r="T62" s="82">
        <f>T61*$F$23*$C$18</f>
        <v>0</v>
      </c>
    </row>
    <row r="63" spans="2:23" x14ac:dyDescent="0.35">
      <c r="M63" s="61"/>
      <c r="N63" s="61"/>
    </row>
  </sheetData>
  <mergeCells count="13">
    <mergeCell ref="R27:W27"/>
    <mergeCell ref="E2:F2"/>
    <mergeCell ref="H6:I6"/>
    <mergeCell ref="H10:J10"/>
    <mergeCell ref="J11:J12"/>
    <mergeCell ref="K11:K12"/>
    <mergeCell ref="H14:I14"/>
    <mergeCell ref="B60:C60"/>
    <mergeCell ref="H18:I18"/>
    <mergeCell ref="B21:C21"/>
    <mergeCell ref="E21:F21"/>
    <mergeCell ref="D27:H27"/>
    <mergeCell ref="I27:Q27"/>
  </mergeCells>
  <pageMargins left="0.7" right="0.7" top="0.75" bottom="0.75" header="0.3" footer="0.3"/>
  <pageSetup paperSize="9" orientation="portrait" horizontalDpi="4294967293"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18D55-313D-418F-BD0D-0CF1A6E76B2E}">
  <dimension ref="B1:W66"/>
  <sheetViews>
    <sheetView topLeftCell="F44" zoomScale="66" zoomScaleNormal="66" workbookViewId="0">
      <selection activeCell="L62" sqref="L62"/>
    </sheetView>
  </sheetViews>
  <sheetFormatPr defaultRowHeight="14.5" x14ac:dyDescent="0.35"/>
  <cols>
    <col min="2" max="2" width="36.7265625" style="1" customWidth="1"/>
    <col min="3" max="3" width="28.90625" style="2" customWidth="1"/>
    <col min="4" max="4" width="14.1796875" customWidth="1"/>
    <col min="5" max="5" width="24.36328125" bestFit="1" customWidth="1"/>
    <col min="6" max="6" width="22.6328125" customWidth="1"/>
    <col min="7" max="7" width="18.54296875" customWidth="1"/>
    <col min="8" max="8" width="25.453125" style="1" customWidth="1"/>
    <col min="9" max="9" width="17.54296875" customWidth="1"/>
    <col min="10" max="10" width="28.26953125" customWidth="1"/>
    <col min="11" max="11" width="14.453125" customWidth="1"/>
    <col min="12" max="12" width="10.36328125" bestFit="1" customWidth="1"/>
    <col min="13" max="13" width="41.08984375" customWidth="1"/>
    <col min="14" max="14" width="13.1796875" customWidth="1"/>
    <col min="15" max="15" width="11.6328125" customWidth="1"/>
    <col min="16" max="16" width="13.1796875" bestFit="1" customWidth="1"/>
    <col min="17" max="17" width="19.26953125" bestFit="1" customWidth="1"/>
    <col min="18" max="18" width="9.1796875" bestFit="1" customWidth="1"/>
    <col min="19" max="19" width="19.26953125" bestFit="1" customWidth="1"/>
    <col min="20" max="20" width="10.1796875" bestFit="1" customWidth="1"/>
    <col min="21" max="21" width="8.7265625" customWidth="1"/>
    <col min="22" max="22" width="8.54296875" customWidth="1"/>
    <col min="23" max="23" width="13" customWidth="1"/>
  </cols>
  <sheetData>
    <row r="1" spans="2:12" ht="15" thickBot="1" x14ac:dyDescent="0.4"/>
    <row r="2" spans="2:12" ht="15" thickBot="1" x14ac:dyDescent="0.4">
      <c r="B2" s="27" t="s">
        <v>23</v>
      </c>
      <c r="C2" s="36"/>
      <c r="E2" s="116" t="s">
        <v>50</v>
      </c>
      <c r="F2" s="117"/>
    </row>
    <row r="3" spans="2:12" ht="15" thickBot="1" x14ac:dyDescent="0.4">
      <c r="B3" s="28" t="s">
        <v>1</v>
      </c>
      <c r="C3" s="37">
        <v>25</v>
      </c>
      <c r="E3" s="45" t="s">
        <v>24</v>
      </c>
      <c r="F3" s="46">
        <f>C17</f>
        <v>45046</v>
      </c>
    </row>
    <row r="4" spans="2:12" ht="15" thickBot="1" x14ac:dyDescent="0.4">
      <c r="B4"/>
      <c r="C4"/>
      <c r="E4" s="62" t="s">
        <v>25</v>
      </c>
      <c r="F4" s="62">
        <f>'Feb Statement'!F11</f>
        <v>0</v>
      </c>
    </row>
    <row r="5" spans="2:12" ht="15" thickBot="1" x14ac:dyDescent="0.4">
      <c r="B5" s="29" t="s">
        <v>5</v>
      </c>
      <c r="C5" s="38">
        <v>44958</v>
      </c>
      <c r="E5" s="32" t="s">
        <v>10</v>
      </c>
      <c r="F5" s="33">
        <f>SUM(I11:I12)</f>
        <v>0</v>
      </c>
    </row>
    <row r="6" spans="2:12" x14ac:dyDescent="0.35">
      <c r="B6" s="30" t="s">
        <v>8</v>
      </c>
      <c r="C6" s="39">
        <v>44985</v>
      </c>
      <c r="E6" s="34" t="s">
        <v>26</v>
      </c>
      <c r="F6" s="35">
        <f>I59</f>
        <v>1000</v>
      </c>
      <c r="H6" s="103" t="s">
        <v>40</v>
      </c>
      <c r="I6" s="104"/>
    </row>
    <row r="7" spans="2:12" ht="29" x14ac:dyDescent="0.35">
      <c r="B7" s="30" t="s">
        <v>6</v>
      </c>
      <c r="C7" s="40">
        <v>28</v>
      </c>
      <c r="E7" s="34" t="s">
        <v>27</v>
      </c>
      <c r="F7" s="35">
        <f>R59</f>
        <v>0</v>
      </c>
      <c r="H7" s="7" t="s">
        <v>37</v>
      </c>
      <c r="I7" s="8">
        <f>J59</f>
        <v>44</v>
      </c>
      <c r="L7" s="61"/>
    </row>
    <row r="8" spans="2:12" ht="29.5" thickBot="1" x14ac:dyDescent="0.4">
      <c r="B8" s="31" t="s">
        <v>7</v>
      </c>
      <c r="C8" s="41">
        <f>C6+C3</f>
        <v>45010</v>
      </c>
      <c r="E8" s="34" t="s">
        <v>28</v>
      </c>
      <c r="F8" s="35">
        <f>SUM(I7:I8)</f>
        <v>44</v>
      </c>
      <c r="H8" s="49" t="s">
        <v>38</v>
      </c>
      <c r="I8" s="50">
        <f>S59</f>
        <v>0</v>
      </c>
      <c r="L8" s="61"/>
    </row>
    <row r="9" spans="2:12" ht="29.5" customHeight="1" thickBot="1" x14ac:dyDescent="0.4">
      <c r="B9"/>
      <c r="C9" s="3"/>
      <c r="E9" s="34" t="s">
        <v>29</v>
      </c>
      <c r="F9" s="35">
        <f>SUM(I15:I16)</f>
        <v>19.471657150684933</v>
      </c>
      <c r="L9" s="61"/>
    </row>
    <row r="10" spans="2:12" ht="15" thickBot="1" x14ac:dyDescent="0.4">
      <c r="B10" s="29" t="s">
        <v>12</v>
      </c>
      <c r="C10" s="38">
        <v>44986</v>
      </c>
      <c r="E10" s="4"/>
      <c r="F10" s="6"/>
      <c r="H10" s="125" t="s">
        <v>41</v>
      </c>
      <c r="I10" s="126"/>
      <c r="J10" s="127"/>
    </row>
    <row r="11" spans="2:12" ht="14.5" customHeight="1" x14ac:dyDescent="0.35">
      <c r="B11" s="30" t="s">
        <v>13</v>
      </c>
      <c r="C11" s="39">
        <f>C10+C12-1</f>
        <v>45016</v>
      </c>
      <c r="E11" s="55" t="s">
        <v>30</v>
      </c>
      <c r="F11" s="56">
        <f>F4+F6+F7+F8+F9-F5</f>
        <v>1063.4716571506849</v>
      </c>
      <c r="H11" s="72" t="s">
        <v>42</v>
      </c>
      <c r="I11" s="73">
        <f>SUM(F59:G59)</f>
        <v>0</v>
      </c>
      <c r="J11" s="114" t="s">
        <v>73</v>
      </c>
      <c r="K11" s="124"/>
    </row>
    <row r="12" spans="2:12" ht="15" thickBot="1" x14ac:dyDescent="0.4">
      <c r="B12" s="30" t="s">
        <v>14</v>
      </c>
      <c r="C12" s="40">
        <v>31</v>
      </c>
      <c r="E12" s="4"/>
      <c r="F12" s="6"/>
      <c r="H12" s="49" t="s">
        <v>43</v>
      </c>
      <c r="I12" s="50">
        <f>H59</f>
        <v>0</v>
      </c>
      <c r="J12" s="115"/>
      <c r="K12" s="124"/>
    </row>
    <row r="13" spans="2:12" ht="15" thickBot="1" x14ac:dyDescent="0.4">
      <c r="B13" s="31" t="s">
        <v>15</v>
      </c>
      <c r="C13" s="41">
        <v>45041</v>
      </c>
      <c r="E13" s="53" t="s">
        <v>31</v>
      </c>
      <c r="F13" s="54">
        <v>50000</v>
      </c>
    </row>
    <row r="14" spans="2:12" x14ac:dyDescent="0.35">
      <c r="E14" s="51" t="s">
        <v>32</v>
      </c>
      <c r="F14" s="52">
        <f>F13-F11</f>
        <v>48936.528342849313</v>
      </c>
      <c r="H14" s="103" t="s">
        <v>44</v>
      </c>
      <c r="I14" s="104"/>
    </row>
    <row r="15" spans="2:12" ht="29.5" thickBot="1" x14ac:dyDescent="0.4">
      <c r="B15"/>
      <c r="C15" s="3"/>
      <c r="E15" s="53" t="s">
        <v>33</v>
      </c>
      <c r="F15" s="54">
        <v>20000</v>
      </c>
      <c r="H15" s="7" t="s">
        <v>45</v>
      </c>
      <c r="I15" s="8">
        <f>K61</f>
        <v>19.471657150684933</v>
      </c>
    </row>
    <row r="16" spans="2:12" ht="29.5" thickBot="1" x14ac:dyDescent="0.4">
      <c r="B16" s="29" t="s">
        <v>3</v>
      </c>
      <c r="C16" s="38">
        <f>C10+C12</f>
        <v>45017</v>
      </c>
      <c r="E16" s="51" t="s">
        <v>34</v>
      </c>
      <c r="F16" s="52">
        <f>F15-F7-I16</f>
        <v>20000</v>
      </c>
      <c r="H16" s="49" t="s">
        <v>43</v>
      </c>
      <c r="I16" s="50">
        <f>T61</f>
        <v>0</v>
      </c>
    </row>
    <row r="17" spans="2:23" ht="15" thickBot="1" x14ac:dyDescent="0.4">
      <c r="B17" s="30" t="s">
        <v>9</v>
      </c>
      <c r="C17" s="39">
        <f>C16+C18-1</f>
        <v>45046</v>
      </c>
      <c r="E17" s="42" t="s">
        <v>0</v>
      </c>
      <c r="F17" s="39">
        <f>C17</f>
        <v>45046</v>
      </c>
    </row>
    <row r="18" spans="2:23" ht="15" thickBot="1" x14ac:dyDescent="0.4">
      <c r="B18" s="30" t="s">
        <v>4</v>
      </c>
      <c r="C18" s="40">
        <v>30</v>
      </c>
      <c r="E18" s="43" t="s">
        <v>2</v>
      </c>
      <c r="F18" s="44">
        <f>C18</f>
        <v>30</v>
      </c>
      <c r="H18" s="103" t="s">
        <v>51</v>
      </c>
      <c r="I18" s="104"/>
    </row>
    <row r="19" spans="2:23" ht="15" thickBot="1" x14ac:dyDescent="0.4">
      <c r="B19" s="31" t="s">
        <v>16</v>
      </c>
      <c r="C19" s="41">
        <f>C17+C3</f>
        <v>45071</v>
      </c>
      <c r="H19" s="7" t="s">
        <v>42</v>
      </c>
      <c r="I19" s="8">
        <f>'March Statement'!I19+'March Statement'!F6+'March Statement'!I7+'March Statement'!I15-'March Statement'!I11</f>
        <v>1044</v>
      </c>
    </row>
    <row r="20" spans="2:23" ht="15" thickBot="1" x14ac:dyDescent="0.4">
      <c r="H20" s="49" t="s">
        <v>43</v>
      </c>
      <c r="I20" s="50">
        <f>'May Statement'!I20+'May Statement'!F7+'May Statement'!I8+'May Statement'!I16-'May Statement'!I12</f>
        <v>0</v>
      </c>
      <c r="J20" s="5"/>
    </row>
    <row r="21" spans="2:23" x14ac:dyDescent="0.35">
      <c r="B21" s="103" t="s">
        <v>17</v>
      </c>
      <c r="C21" s="104"/>
      <c r="E21" s="103" t="s">
        <v>22</v>
      </c>
      <c r="F21" s="104"/>
      <c r="I21" s="62">
        <f>SUM(I19:I20)</f>
        <v>1044</v>
      </c>
      <c r="J21" s="5"/>
    </row>
    <row r="22" spans="2:23" x14ac:dyDescent="0.35">
      <c r="B22" s="7" t="s">
        <v>18</v>
      </c>
      <c r="C22" s="57">
        <v>0.22489999999999999</v>
      </c>
      <c r="E22" s="7" t="s">
        <v>18</v>
      </c>
      <c r="F22" s="59">
        <f>C22/365</f>
        <v>6.1616438356164381E-4</v>
      </c>
      <c r="M22" s="61"/>
    </row>
    <row r="23" spans="2:23" ht="15" thickBot="1" x14ac:dyDescent="0.4">
      <c r="B23" s="49" t="s">
        <v>19</v>
      </c>
      <c r="C23" s="58">
        <v>0.2999</v>
      </c>
      <c r="E23" s="49" t="s">
        <v>19</v>
      </c>
      <c r="F23" s="60">
        <f>C23/365</f>
        <v>8.216438356164384E-4</v>
      </c>
      <c r="J23" s="61"/>
    </row>
    <row r="24" spans="2:23" ht="15" thickBot="1" x14ac:dyDescent="0.4">
      <c r="C24" s="9"/>
      <c r="E24" s="1"/>
      <c r="F24" s="10"/>
      <c r="H24" s="63" t="s">
        <v>56</v>
      </c>
      <c r="I24" s="64">
        <v>35</v>
      </c>
      <c r="M24" s="61"/>
    </row>
    <row r="25" spans="2:23" x14ac:dyDescent="0.35">
      <c r="C25" s="9"/>
      <c r="E25" s="1"/>
      <c r="F25" s="10"/>
    </row>
    <row r="26" spans="2:23" ht="15" thickBot="1" x14ac:dyDescent="0.4">
      <c r="C26" s="9"/>
      <c r="E26" s="1"/>
      <c r="F26" s="10"/>
    </row>
    <row r="27" spans="2:23" ht="15" customHeight="1" thickBot="1" x14ac:dyDescent="0.4">
      <c r="B27" s="70"/>
      <c r="C27" s="71"/>
      <c r="D27" s="121" t="s">
        <v>10</v>
      </c>
      <c r="E27" s="121"/>
      <c r="F27" s="121"/>
      <c r="G27" s="121"/>
      <c r="H27" s="121"/>
      <c r="I27" s="120" t="s">
        <v>47</v>
      </c>
      <c r="J27" s="120"/>
      <c r="K27" s="120"/>
      <c r="L27" s="120"/>
      <c r="M27" s="120"/>
      <c r="N27" s="120"/>
      <c r="O27" s="120"/>
      <c r="P27" s="120"/>
      <c r="Q27" s="120"/>
      <c r="R27" s="118" t="s">
        <v>48</v>
      </c>
      <c r="S27" s="118"/>
      <c r="T27" s="118"/>
      <c r="U27" s="118"/>
      <c r="V27" s="118"/>
      <c r="W27" s="119"/>
    </row>
    <row r="28" spans="2:23" s="1" customFormat="1" ht="116.5" thickBot="1" x14ac:dyDescent="0.4">
      <c r="B28" s="68" t="s">
        <v>52</v>
      </c>
      <c r="C28" s="68" t="s">
        <v>53</v>
      </c>
      <c r="D28" s="69" t="s">
        <v>57</v>
      </c>
      <c r="E28" s="69" t="s">
        <v>67</v>
      </c>
      <c r="F28" s="69" t="s">
        <v>66</v>
      </c>
      <c r="G28" s="69" t="s">
        <v>68</v>
      </c>
      <c r="H28" s="69"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3" x14ac:dyDescent="0.35">
      <c r="B29" s="47">
        <f>C29-1</f>
        <v>45016</v>
      </c>
      <c r="C29" s="47">
        <f>C16</f>
        <v>45017</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c r="K29" s="13">
        <v>1044</v>
      </c>
      <c r="L29" s="12">
        <f>M29</f>
        <v>0.64327561643835618</v>
      </c>
      <c r="M29" s="12">
        <f>K29*$F$22</f>
        <v>0.64327561643835618</v>
      </c>
      <c r="N29" s="12">
        <f>I29+J29-G29</f>
        <v>0</v>
      </c>
      <c r="O29" s="12">
        <f>P29</f>
        <v>0</v>
      </c>
      <c r="P29" s="12">
        <f>N29*$F$22</f>
        <v>0</v>
      </c>
      <c r="Q29" s="12">
        <f>K29+N29</f>
        <v>1044</v>
      </c>
      <c r="R29" s="15"/>
      <c r="S29" s="15"/>
      <c r="T29" s="15">
        <f>$I$20+R29+S29-H29</f>
        <v>0</v>
      </c>
      <c r="U29" s="15">
        <f>V29</f>
        <v>0</v>
      </c>
      <c r="V29" s="16">
        <f>T29*$F$23</f>
        <v>0</v>
      </c>
      <c r="W29" s="16">
        <f>IF(T29=0,0,$I$20+R29+S29-H29)</f>
        <v>0</v>
      </c>
    </row>
    <row r="30" spans="2:23" x14ac:dyDescent="0.35">
      <c r="B30" s="47">
        <f t="shared" ref="B30:B58" si="0">C30-1</f>
        <v>45017</v>
      </c>
      <c r="C30" s="48">
        <f t="shared" ref="C30:C58" si="1">C29+1</f>
        <v>45018</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8" si="2">ROUND(D30-F30-H30,2)</f>
        <v>0</v>
      </c>
      <c r="H30" s="17">
        <f>IF((T29+U29-V29+R30+S30)&gt;0,IF($I$19=0,E30,0),0)+IF((T29+U29-V29+R30+S30)&gt;0,(IF((D30-F30)&gt;0,(IF((T29+U29-V29+R30+S30)&gt;(D30-F30),(D30-F30-IF($I$19=0,E30,0)),(T29+U29-V29+R30+S30-IF($I$19=0,E30,0)))),0)),0)</f>
        <v>0</v>
      </c>
      <c r="I30" s="13"/>
      <c r="J30" s="13"/>
      <c r="K30" s="13">
        <f>IF(SUM($F$29:$F$53)&gt;=$I$19,0,ROUND(K29+L29-F30,2))</f>
        <v>1044.6400000000001</v>
      </c>
      <c r="L30" s="13">
        <f>M30-M29</f>
        <v>0.6436699616438355</v>
      </c>
      <c r="M30" s="13">
        <f>IF(K30=0,0,M29+K30*$F$22)</f>
        <v>1.2869455780821917</v>
      </c>
      <c r="N30" s="13">
        <f t="shared" ref="N30:N58" si="3">ROUND(N29+I30+J30+O29-G30,2)</f>
        <v>0</v>
      </c>
      <c r="O30" s="13">
        <f>P30-P29</f>
        <v>0</v>
      </c>
      <c r="P30" s="13">
        <f>ROUND(P29+N30*$F$22,2)</f>
        <v>0</v>
      </c>
      <c r="Q30" s="13">
        <f>ROUND(N30+K30-M29-P29,2)</f>
        <v>1044</v>
      </c>
      <c r="R30" s="17"/>
      <c r="S30" s="17"/>
      <c r="T30" s="17">
        <f>T29+U29+R30+S30-H30</f>
        <v>0</v>
      </c>
      <c r="U30" s="17">
        <f t="shared" ref="U30:U58" si="4">V30-V29</f>
        <v>0</v>
      </c>
      <c r="V30" s="18">
        <f>V29+T30*$F$23</f>
        <v>0</v>
      </c>
      <c r="W30" s="16">
        <f>IF(T30=0,0,W29+R30+S30-H30)</f>
        <v>0</v>
      </c>
    </row>
    <row r="31" spans="2:23" x14ac:dyDescent="0.35">
      <c r="B31" s="47">
        <f t="shared" si="0"/>
        <v>45018</v>
      </c>
      <c r="C31" s="48">
        <f t="shared" si="1"/>
        <v>45019</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8" si="5">IF((T30+U30-V30+R31+S31)&gt;0,IF($I$19=0,E31,0),0)+IF((T30+U30-V30+R31+S31)&gt;0,(IF((D31-F31)&gt;0,(IF((T30+U30-V30+R31+S31)&gt;(D31-F31),(D31-F31-IF($I$19=0,E31,0)),(T30+U30-V30+R31+S31-IF($I$19=0,E31,0)))),0)),0)</f>
        <v>0</v>
      </c>
      <c r="I31" s="13"/>
      <c r="J31" s="13"/>
      <c r="K31" s="13">
        <f t="shared" ref="K31:K58" si="6">IF(SUM($F$29:$F$53)&gt;=$I$19,0,ROUND(K30+L30-F31,2))</f>
        <v>1045.28</v>
      </c>
      <c r="L31" s="13">
        <f t="shared" ref="L31:L58" si="7">M31-M30</f>
        <v>0.64406430684931504</v>
      </c>
      <c r="M31" s="13">
        <f t="shared" ref="M31:M58" si="8">IF(K31=0,0,M30+K31*$F$22)</f>
        <v>1.9310098849315067</v>
      </c>
      <c r="N31" s="13">
        <f t="shared" si="3"/>
        <v>0</v>
      </c>
      <c r="O31" s="13">
        <f t="shared" ref="O31:O58" si="9">P31-P30</f>
        <v>0</v>
      </c>
      <c r="P31" s="13">
        <f t="shared" ref="P31:P56" si="10">ROUND(P30+N31*$F$22,2)</f>
        <v>0</v>
      </c>
      <c r="Q31" s="13">
        <f t="shared" ref="Q31:Q58" si="11">ROUND(N31+K31-M30-P30,2)</f>
        <v>1043.99</v>
      </c>
      <c r="R31" s="17"/>
      <c r="S31" s="17"/>
      <c r="T31" s="17">
        <f>T30+U30+R31+S31-H31</f>
        <v>0</v>
      </c>
      <c r="U31" s="17">
        <f t="shared" si="4"/>
        <v>0</v>
      </c>
      <c r="V31" s="18">
        <f t="shared" ref="V31:V58" si="12">V30+T31*$F$23</f>
        <v>0</v>
      </c>
      <c r="W31" s="16">
        <f t="shared" ref="W31:W58" si="13">IF(T31=0,0,W30+R31+S31-H31)</f>
        <v>0</v>
      </c>
    </row>
    <row r="32" spans="2:23" x14ac:dyDescent="0.35">
      <c r="B32" s="47">
        <f t="shared" si="0"/>
        <v>45019</v>
      </c>
      <c r="C32" s="48">
        <f t="shared" si="1"/>
        <v>45020</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5"/>
        <v>0</v>
      </c>
      <c r="I32" s="13"/>
      <c r="J32" s="13"/>
      <c r="K32" s="13">
        <f t="shared" si="6"/>
        <v>1045.92</v>
      </c>
      <c r="L32" s="13">
        <f t="shared" si="7"/>
        <v>0.6444586520547948</v>
      </c>
      <c r="M32" s="13">
        <f t="shared" si="8"/>
        <v>2.5754685369863015</v>
      </c>
      <c r="N32" s="13">
        <f t="shared" si="3"/>
        <v>0</v>
      </c>
      <c r="O32" s="13">
        <f t="shared" si="9"/>
        <v>0</v>
      </c>
      <c r="P32" s="13">
        <f t="shared" si="10"/>
        <v>0</v>
      </c>
      <c r="Q32" s="13">
        <f t="shared" si="11"/>
        <v>1043.99</v>
      </c>
      <c r="R32" s="17"/>
      <c r="S32" s="17"/>
      <c r="T32" s="17">
        <f>T31+U31+R32+S32-H32</f>
        <v>0</v>
      </c>
      <c r="U32" s="17">
        <f t="shared" si="4"/>
        <v>0</v>
      </c>
      <c r="V32" s="18">
        <f t="shared" si="12"/>
        <v>0</v>
      </c>
      <c r="W32" s="16">
        <f t="shared" si="13"/>
        <v>0</v>
      </c>
    </row>
    <row r="33" spans="2:23" x14ac:dyDescent="0.35">
      <c r="B33" s="47">
        <f t="shared" si="0"/>
        <v>45020</v>
      </c>
      <c r="C33" s="48">
        <f t="shared" si="1"/>
        <v>45021</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5"/>
        <v>0</v>
      </c>
      <c r="I33" s="13"/>
      <c r="J33" s="13"/>
      <c r="K33" s="13">
        <f t="shared" si="6"/>
        <v>1046.56</v>
      </c>
      <c r="L33" s="13">
        <f t="shared" si="7"/>
        <v>0.64485299726027367</v>
      </c>
      <c r="M33" s="13">
        <f t="shared" si="8"/>
        <v>3.2203215342465752</v>
      </c>
      <c r="N33" s="13">
        <f t="shared" si="3"/>
        <v>0</v>
      </c>
      <c r="O33" s="13">
        <f t="shared" si="9"/>
        <v>0</v>
      </c>
      <c r="P33" s="13">
        <f t="shared" si="10"/>
        <v>0</v>
      </c>
      <c r="Q33" s="13">
        <f t="shared" si="11"/>
        <v>1043.98</v>
      </c>
      <c r="R33" s="17"/>
      <c r="S33" s="17"/>
      <c r="T33" s="17">
        <f t="shared" ref="T33:T58" si="14">T32+U32+R33+S33-H33</f>
        <v>0</v>
      </c>
      <c r="U33" s="17">
        <f t="shared" si="4"/>
        <v>0</v>
      </c>
      <c r="V33" s="18">
        <f t="shared" si="12"/>
        <v>0</v>
      </c>
      <c r="W33" s="16">
        <f t="shared" si="13"/>
        <v>0</v>
      </c>
    </row>
    <row r="34" spans="2:23" x14ac:dyDescent="0.35">
      <c r="B34" s="47">
        <f t="shared" si="0"/>
        <v>45021</v>
      </c>
      <c r="C34" s="48">
        <f t="shared" si="1"/>
        <v>45022</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5"/>
        <v>0</v>
      </c>
      <c r="I34" s="13"/>
      <c r="J34" s="13"/>
      <c r="K34" s="13">
        <f t="shared" si="6"/>
        <v>1047.2</v>
      </c>
      <c r="L34" s="13">
        <f t="shared" si="7"/>
        <v>0.64524734246575344</v>
      </c>
      <c r="M34" s="13">
        <f t="shared" si="8"/>
        <v>3.8655688767123286</v>
      </c>
      <c r="N34" s="13">
        <f t="shared" si="3"/>
        <v>0</v>
      </c>
      <c r="O34" s="13">
        <f t="shared" si="9"/>
        <v>0</v>
      </c>
      <c r="P34" s="13">
        <f t="shared" si="10"/>
        <v>0</v>
      </c>
      <c r="Q34" s="13">
        <f t="shared" si="11"/>
        <v>1043.98</v>
      </c>
      <c r="R34" s="17"/>
      <c r="S34" s="17"/>
      <c r="T34" s="17">
        <f t="shared" si="14"/>
        <v>0</v>
      </c>
      <c r="U34" s="17">
        <f t="shared" si="4"/>
        <v>0</v>
      </c>
      <c r="V34" s="18">
        <f t="shared" si="12"/>
        <v>0</v>
      </c>
      <c r="W34" s="16">
        <f t="shared" si="13"/>
        <v>0</v>
      </c>
    </row>
    <row r="35" spans="2:23" x14ac:dyDescent="0.35">
      <c r="B35" s="47">
        <f t="shared" si="0"/>
        <v>45022</v>
      </c>
      <c r="C35" s="48">
        <f t="shared" si="1"/>
        <v>45023</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5"/>
        <v>0</v>
      </c>
      <c r="I35" s="13"/>
      <c r="J35" s="13"/>
      <c r="K35" s="13">
        <f t="shared" si="6"/>
        <v>1047.8499999999999</v>
      </c>
      <c r="L35" s="13">
        <f t="shared" si="7"/>
        <v>0.6456478493150688</v>
      </c>
      <c r="M35" s="13">
        <f t="shared" si="8"/>
        <v>4.5112167260273974</v>
      </c>
      <c r="N35" s="13">
        <f t="shared" si="3"/>
        <v>0</v>
      </c>
      <c r="O35" s="13">
        <f t="shared" si="9"/>
        <v>0</v>
      </c>
      <c r="P35" s="13">
        <f t="shared" si="10"/>
        <v>0</v>
      </c>
      <c r="Q35" s="13">
        <f t="shared" si="11"/>
        <v>1043.98</v>
      </c>
      <c r="R35" s="17"/>
      <c r="S35" s="17"/>
      <c r="T35" s="17">
        <f>T34+U34+R35+S35-H35</f>
        <v>0</v>
      </c>
      <c r="U35" s="17">
        <f t="shared" si="4"/>
        <v>0</v>
      </c>
      <c r="V35" s="18">
        <f t="shared" si="12"/>
        <v>0</v>
      </c>
      <c r="W35" s="16">
        <f t="shared" si="13"/>
        <v>0</v>
      </c>
    </row>
    <row r="36" spans="2:23" x14ac:dyDescent="0.35">
      <c r="B36" s="47">
        <f t="shared" si="0"/>
        <v>45023</v>
      </c>
      <c r="C36" s="48">
        <f t="shared" si="1"/>
        <v>45024</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5"/>
        <v>0</v>
      </c>
      <c r="I36" s="13"/>
      <c r="J36" s="13"/>
      <c r="K36" s="13">
        <f t="shared" si="6"/>
        <v>1048.5</v>
      </c>
      <c r="L36" s="13">
        <f t="shared" si="7"/>
        <v>0.64604835616438372</v>
      </c>
      <c r="M36" s="13">
        <f t="shared" si="8"/>
        <v>5.1572650821917811</v>
      </c>
      <c r="N36" s="13">
        <f t="shared" si="3"/>
        <v>0</v>
      </c>
      <c r="O36" s="13">
        <f t="shared" si="9"/>
        <v>0</v>
      </c>
      <c r="P36" s="13">
        <f t="shared" si="10"/>
        <v>0</v>
      </c>
      <c r="Q36" s="13">
        <f t="shared" si="11"/>
        <v>1043.99</v>
      </c>
      <c r="R36" s="17"/>
      <c r="S36" s="17"/>
      <c r="T36" s="17">
        <f t="shared" si="14"/>
        <v>0</v>
      </c>
      <c r="U36" s="17">
        <f t="shared" si="4"/>
        <v>0</v>
      </c>
      <c r="V36" s="18">
        <f t="shared" si="12"/>
        <v>0</v>
      </c>
      <c r="W36" s="16">
        <f t="shared" si="13"/>
        <v>0</v>
      </c>
    </row>
    <row r="37" spans="2:23" x14ac:dyDescent="0.35">
      <c r="B37" s="47">
        <f t="shared" si="0"/>
        <v>45024</v>
      </c>
      <c r="C37" s="48">
        <f t="shared" si="1"/>
        <v>45025</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5"/>
        <v>0</v>
      </c>
      <c r="I37" s="13"/>
      <c r="J37" s="13"/>
      <c r="K37" s="13">
        <f t="shared" si="6"/>
        <v>1049.1500000000001</v>
      </c>
      <c r="L37" s="13">
        <f t="shared" si="7"/>
        <v>0.64644886301369908</v>
      </c>
      <c r="M37" s="13">
        <f t="shared" si="8"/>
        <v>5.8037139452054802</v>
      </c>
      <c r="N37" s="13">
        <f t="shared" si="3"/>
        <v>0</v>
      </c>
      <c r="O37" s="13">
        <f t="shared" si="9"/>
        <v>0</v>
      </c>
      <c r="P37" s="13">
        <f t="shared" si="10"/>
        <v>0</v>
      </c>
      <c r="Q37" s="13">
        <f t="shared" si="11"/>
        <v>1043.99</v>
      </c>
      <c r="R37" s="17"/>
      <c r="S37" s="17"/>
      <c r="T37" s="17">
        <f t="shared" si="14"/>
        <v>0</v>
      </c>
      <c r="U37" s="17">
        <f t="shared" si="4"/>
        <v>0</v>
      </c>
      <c r="V37" s="18">
        <f t="shared" si="12"/>
        <v>0</v>
      </c>
      <c r="W37" s="16">
        <f t="shared" si="13"/>
        <v>0</v>
      </c>
    </row>
    <row r="38" spans="2:23" x14ac:dyDescent="0.35">
      <c r="B38" s="47">
        <f t="shared" si="0"/>
        <v>45025</v>
      </c>
      <c r="C38" s="48">
        <f t="shared" si="1"/>
        <v>45026</v>
      </c>
      <c r="D38" s="33"/>
      <c r="E38" s="13">
        <f>IF(SUM(E$29:E37)=$I$24,0,IF((D38&lt;=$I$24-SUM(E$29:E37)),D38,$I$24-SUM(E$29:E37)))</f>
        <v>0</v>
      </c>
      <c r="F38" s="13">
        <f>IF($I$19&gt;0,IF(SUM(F$29:F37)&lt;$I$19,IF((D38-E38)&gt;0,IF($I$20=0,IF($I$19-SUM(F$29:F37)&gt;D38,D38,$I$19-SUM(F$29:F37)),E38),D38),0)+IF($I$20&gt;0,IF(D38-$I$20-SUM($H$29:H37)-IF($I$19=0,0,E38)&gt;0,IF(D38-$I$20-SUM($H$29:H37)-IF($I$19=0,0,E38)&gt;$I$19,$I$19-SUM(F$29:F37)-E38,D38-$I$20-SUM($H$29:H37)-IF($I$19=0,0,E38)),0),0),0)</f>
        <v>0</v>
      </c>
      <c r="G38" s="13">
        <f t="shared" si="2"/>
        <v>0</v>
      </c>
      <c r="H38" s="17">
        <f t="shared" si="5"/>
        <v>0</v>
      </c>
      <c r="I38" s="13"/>
      <c r="J38" s="13"/>
      <c r="K38" s="13">
        <f t="shared" si="6"/>
        <v>1049.8</v>
      </c>
      <c r="L38" s="13">
        <f t="shared" si="7"/>
        <v>0.64684936986301356</v>
      </c>
      <c r="M38" s="13">
        <f t="shared" si="8"/>
        <v>6.4505633150684938</v>
      </c>
      <c r="N38" s="13">
        <f t="shared" si="3"/>
        <v>0</v>
      </c>
      <c r="O38" s="13">
        <f t="shared" si="9"/>
        <v>0</v>
      </c>
      <c r="P38" s="13">
        <f t="shared" si="10"/>
        <v>0</v>
      </c>
      <c r="Q38" s="13">
        <f t="shared" si="11"/>
        <v>1044</v>
      </c>
      <c r="R38" s="17"/>
      <c r="S38" s="17"/>
      <c r="T38" s="17">
        <f t="shared" si="14"/>
        <v>0</v>
      </c>
      <c r="U38" s="17">
        <f t="shared" si="4"/>
        <v>0</v>
      </c>
      <c r="V38" s="18">
        <f t="shared" si="12"/>
        <v>0</v>
      </c>
      <c r="W38" s="16">
        <f t="shared" si="13"/>
        <v>0</v>
      </c>
    </row>
    <row r="39" spans="2:23" x14ac:dyDescent="0.35">
      <c r="B39" s="47">
        <f t="shared" si="0"/>
        <v>45026</v>
      </c>
      <c r="C39" s="48">
        <f t="shared" si="1"/>
        <v>45027</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5"/>
        <v>0</v>
      </c>
      <c r="I39" s="13"/>
      <c r="J39" s="13"/>
      <c r="K39" s="13">
        <f t="shared" si="6"/>
        <v>1050.45</v>
      </c>
      <c r="L39" s="13">
        <f t="shared" si="7"/>
        <v>0.64724987671232892</v>
      </c>
      <c r="M39" s="13">
        <f t="shared" si="8"/>
        <v>7.0978131917808227</v>
      </c>
      <c r="N39" s="13">
        <f t="shared" si="3"/>
        <v>0</v>
      </c>
      <c r="O39" s="13">
        <f>P39-P38</f>
        <v>0</v>
      </c>
      <c r="P39" s="13">
        <f t="shared" si="10"/>
        <v>0</v>
      </c>
      <c r="Q39" s="13">
        <f t="shared" si="11"/>
        <v>1044</v>
      </c>
      <c r="R39" s="17"/>
      <c r="S39" s="17"/>
      <c r="T39" s="17">
        <f t="shared" si="14"/>
        <v>0</v>
      </c>
      <c r="U39" s="17">
        <f t="shared" si="4"/>
        <v>0</v>
      </c>
      <c r="V39" s="18">
        <f t="shared" si="12"/>
        <v>0</v>
      </c>
      <c r="W39" s="16">
        <f t="shared" si="13"/>
        <v>0</v>
      </c>
    </row>
    <row r="40" spans="2:23" x14ac:dyDescent="0.35">
      <c r="B40" s="47">
        <f t="shared" si="0"/>
        <v>45027</v>
      </c>
      <c r="C40" s="48">
        <f t="shared" si="1"/>
        <v>45028</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5"/>
        <v>0</v>
      </c>
      <c r="I40" s="13"/>
      <c r="J40" s="13"/>
      <c r="K40" s="13">
        <f t="shared" si="6"/>
        <v>1051.0999999999999</v>
      </c>
      <c r="L40" s="13">
        <f t="shared" si="7"/>
        <v>0.64765038356164339</v>
      </c>
      <c r="M40" s="13">
        <f t="shared" si="8"/>
        <v>7.7454635753424661</v>
      </c>
      <c r="N40" s="13">
        <f t="shared" si="3"/>
        <v>0</v>
      </c>
      <c r="O40" s="13">
        <f t="shared" si="9"/>
        <v>0</v>
      </c>
      <c r="P40" s="13">
        <f t="shared" si="10"/>
        <v>0</v>
      </c>
      <c r="Q40" s="13">
        <f t="shared" si="11"/>
        <v>1044</v>
      </c>
      <c r="R40" s="17"/>
      <c r="S40" s="17"/>
      <c r="T40" s="17">
        <f t="shared" si="14"/>
        <v>0</v>
      </c>
      <c r="U40" s="17">
        <f t="shared" si="4"/>
        <v>0</v>
      </c>
      <c r="V40" s="18">
        <f t="shared" si="12"/>
        <v>0</v>
      </c>
      <c r="W40" s="16">
        <f t="shared" si="13"/>
        <v>0</v>
      </c>
    </row>
    <row r="41" spans="2:23" x14ac:dyDescent="0.35">
      <c r="B41" s="47">
        <f t="shared" si="0"/>
        <v>45028</v>
      </c>
      <c r="C41" s="48">
        <f t="shared" si="1"/>
        <v>45029</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5"/>
        <v>0</v>
      </c>
      <c r="I41" s="13"/>
      <c r="J41" s="13"/>
      <c r="K41" s="13">
        <f t="shared" si="6"/>
        <v>1051.75</v>
      </c>
      <c r="L41" s="13">
        <f t="shared" si="7"/>
        <v>0.64805089041095876</v>
      </c>
      <c r="M41" s="13">
        <f t="shared" si="8"/>
        <v>8.3935144657534249</v>
      </c>
      <c r="N41" s="13">
        <f t="shared" si="3"/>
        <v>0</v>
      </c>
      <c r="O41" s="13">
        <f t="shared" si="9"/>
        <v>0</v>
      </c>
      <c r="P41" s="13">
        <f t="shared" si="10"/>
        <v>0</v>
      </c>
      <c r="Q41" s="13">
        <f t="shared" si="11"/>
        <v>1044</v>
      </c>
      <c r="R41" s="17"/>
      <c r="S41" s="17"/>
      <c r="T41" s="17">
        <f t="shared" si="14"/>
        <v>0</v>
      </c>
      <c r="U41" s="17">
        <f t="shared" si="4"/>
        <v>0</v>
      </c>
      <c r="V41" s="18">
        <f t="shared" si="12"/>
        <v>0</v>
      </c>
      <c r="W41" s="16">
        <f t="shared" si="13"/>
        <v>0</v>
      </c>
    </row>
    <row r="42" spans="2:23" x14ac:dyDescent="0.35">
      <c r="B42" s="47">
        <f>C42-2</f>
        <v>45028</v>
      </c>
      <c r="C42" s="48">
        <f t="shared" si="1"/>
        <v>45030</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5"/>
        <v>0</v>
      </c>
      <c r="I42" s="13"/>
      <c r="J42" s="13"/>
      <c r="K42" s="13">
        <f t="shared" si="6"/>
        <v>1052.4000000000001</v>
      </c>
      <c r="L42" s="13">
        <f t="shared" si="7"/>
        <v>0.64845139726027412</v>
      </c>
      <c r="M42" s="13">
        <f t="shared" si="8"/>
        <v>9.041965863013699</v>
      </c>
      <c r="N42" s="13">
        <f t="shared" si="3"/>
        <v>0</v>
      </c>
      <c r="O42" s="13">
        <f t="shared" si="9"/>
        <v>0</v>
      </c>
      <c r="P42" s="13">
        <f t="shared" si="10"/>
        <v>0</v>
      </c>
      <c r="Q42" s="13">
        <f t="shared" si="11"/>
        <v>1044.01</v>
      </c>
      <c r="R42" s="17"/>
      <c r="S42" s="17"/>
      <c r="T42" s="17">
        <f>T41+U41+R42+S42-H42</f>
        <v>0</v>
      </c>
      <c r="U42" s="17">
        <f>V42-V41</f>
        <v>0</v>
      </c>
      <c r="V42" s="18">
        <f t="shared" si="12"/>
        <v>0</v>
      </c>
      <c r="W42" s="16">
        <f t="shared" si="13"/>
        <v>0</v>
      </c>
    </row>
    <row r="43" spans="2:23" x14ac:dyDescent="0.35">
      <c r="B43" s="47">
        <f t="shared" si="0"/>
        <v>45030</v>
      </c>
      <c r="C43" s="48">
        <f t="shared" si="1"/>
        <v>45031</v>
      </c>
      <c r="D43" s="33"/>
      <c r="E43" s="13">
        <f>IF(SUM(E$29:E42)=$I$24,0,IF((D43&lt;=$I$24-SUM(E$29:E42)),D43,$I$24-SUM(E$29:E42)))</f>
        <v>0</v>
      </c>
      <c r="F43" s="13">
        <f>IF($I$19&gt;0,IF(SUM(F$29:F42)&lt;$I$19,IF((D43-E43)&gt;0,IF($I$20=0,IF($I$19-SUM(F$29:F42)&gt;D43,D43,$I$19-SUM(F$29:F42)),E43),D43),0)+IF($I$20&gt;0,IF(D43-$I$20-SUM($H$29:H42)-IF($I$19=0,0,E43)&gt;0,IF(D43-$I$20-SUM($H$29:H42)-IF($I$19=0,0,E43)&gt;$I$19,$I$19-SUM(F$29:F42)-E43,D43-$I$20-SUM($H$29:H42)-IF($I$19=0,0,E43)),0),0),0)</f>
        <v>0</v>
      </c>
      <c r="G43" s="13">
        <f t="shared" si="2"/>
        <v>0</v>
      </c>
      <c r="H43" s="17">
        <f t="shared" si="5"/>
        <v>0</v>
      </c>
      <c r="I43" s="13">
        <v>1000</v>
      </c>
      <c r="J43" s="13">
        <v>4</v>
      </c>
      <c r="K43" s="13">
        <f t="shared" si="6"/>
        <v>1053.05</v>
      </c>
      <c r="L43" s="13">
        <f t="shared" si="7"/>
        <v>0.64885190410958948</v>
      </c>
      <c r="M43" s="13">
        <f t="shared" si="8"/>
        <v>9.6908177671232885</v>
      </c>
      <c r="N43" s="13">
        <f t="shared" si="3"/>
        <v>1004</v>
      </c>
      <c r="O43" s="13">
        <f t="shared" si="9"/>
        <v>0.62</v>
      </c>
      <c r="P43" s="13">
        <f t="shared" si="10"/>
        <v>0.62</v>
      </c>
      <c r="Q43" s="13">
        <f t="shared" si="11"/>
        <v>2048.0100000000002</v>
      </c>
      <c r="R43" s="17"/>
      <c r="S43" s="17"/>
      <c r="T43" s="17">
        <f>T42+U42+R43+S43-H43</f>
        <v>0</v>
      </c>
      <c r="U43" s="17">
        <f t="shared" si="4"/>
        <v>0</v>
      </c>
      <c r="V43" s="18">
        <f t="shared" si="12"/>
        <v>0</v>
      </c>
      <c r="W43" s="16">
        <f t="shared" si="13"/>
        <v>0</v>
      </c>
    </row>
    <row r="44" spans="2:23" x14ac:dyDescent="0.35">
      <c r="B44" s="47">
        <f t="shared" si="0"/>
        <v>45031</v>
      </c>
      <c r="C44" s="48">
        <f t="shared" si="1"/>
        <v>45032</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5"/>
        <v>0</v>
      </c>
      <c r="I44" s="13"/>
      <c r="J44" s="13"/>
      <c r="K44" s="13">
        <f t="shared" si="6"/>
        <v>1053.7</v>
      </c>
      <c r="L44" s="13">
        <f t="shared" si="7"/>
        <v>0.64925241095890485</v>
      </c>
      <c r="M44" s="13">
        <f t="shared" si="8"/>
        <v>10.340070178082193</v>
      </c>
      <c r="N44" s="13">
        <f t="shared" si="3"/>
        <v>1004.62</v>
      </c>
      <c r="O44" s="13">
        <f t="shared" si="9"/>
        <v>0.62</v>
      </c>
      <c r="P44" s="13">
        <f t="shared" si="10"/>
        <v>1.24</v>
      </c>
      <c r="Q44" s="13">
        <f t="shared" si="11"/>
        <v>2048.0100000000002</v>
      </c>
      <c r="R44" s="17"/>
      <c r="S44" s="17"/>
      <c r="T44" s="17">
        <f t="shared" si="14"/>
        <v>0</v>
      </c>
      <c r="U44" s="17">
        <f t="shared" si="4"/>
        <v>0</v>
      </c>
      <c r="V44" s="18">
        <f t="shared" si="12"/>
        <v>0</v>
      </c>
      <c r="W44" s="16">
        <f t="shared" si="13"/>
        <v>0</v>
      </c>
    </row>
    <row r="45" spans="2:23" x14ac:dyDescent="0.35">
      <c r="B45" s="47">
        <f t="shared" si="0"/>
        <v>45032</v>
      </c>
      <c r="C45" s="48">
        <f t="shared" si="1"/>
        <v>45033</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5"/>
        <v>0</v>
      </c>
      <c r="I45" s="13"/>
      <c r="J45" s="13"/>
      <c r="K45" s="13">
        <f t="shared" si="6"/>
        <v>1054.3499999999999</v>
      </c>
      <c r="L45" s="13">
        <f t="shared" si="7"/>
        <v>0.64965291780821843</v>
      </c>
      <c r="M45" s="13">
        <f t="shared" si="8"/>
        <v>10.989723095890412</v>
      </c>
      <c r="N45" s="13">
        <f t="shared" si="3"/>
        <v>1005.24</v>
      </c>
      <c r="O45" s="13">
        <f t="shared" si="9"/>
        <v>0.62000000000000011</v>
      </c>
      <c r="P45" s="13">
        <f t="shared" si="10"/>
        <v>1.86</v>
      </c>
      <c r="Q45" s="13">
        <f t="shared" si="11"/>
        <v>2048.0100000000002</v>
      </c>
      <c r="R45" s="17"/>
      <c r="S45" s="17"/>
      <c r="T45" s="17">
        <f t="shared" si="14"/>
        <v>0</v>
      </c>
      <c r="U45" s="17">
        <f t="shared" si="4"/>
        <v>0</v>
      </c>
      <c r="V45" s="18">
        <f t="shared" si="12"/>
        <v>0</v>
      </c>
      <c r="W45" s="16">
        <f>IF(T45=0,0,W44+R45+S45-H45)</f>
        <v>0</v>
      </c>
    </row>
    <row r="46" spans="2:23" x14ac:dyDescent="0.35">
      <c r="B46" s="47">
        <f t="shared" si="0"/>
        <v>45033</v>
      </c>
      <c r="C46" s="48">
        <f t="shared" si="1"/>
        <v>45034</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5"/>
        <v>0</v>
      </c>
      <c r="I46" s="13"/>
      <c r="J46" s="13"/>
      <c r="K46" s="13">
        <f t="shared" si="6"/>
        <v>1055</v>
      </c>
      <c r="L46" s="13">
        <f t="shared" si="7"/>
        <v>0.6500534246575338</v>
      </c>
      <c r="M46" s="13">
        <f t="shared" si="8"/>
        <v>11.639776520547946</v>
      </c>
      <c r="N46" s="13">
        <f t="shared" si="3"/>
        <v>1005.86</v>
      </c>
      <c r="O46" s="13">
        <f t="shared" si="9"/>
        <v>0.61999999999999988</v>
      </c>
      <c r="P46" s="13">
        <f t="shared" si="10"/>
        <v>2.48</v>
      </c>
      <c r="Q46" s="13">
        <f t="shared" si="11"/>
        <v>2048.0100000000002</v>
      </c>
      <c r="R46" s="17"/>
      <c r="S46" s="17"/>
      <c r="T46" s="17">
        <f t="shared" si="14"/>
        <v>0</v>
      </c>
      <c r="U46" s="17">
        <f t="shared" si="4"/>
        <v>0</v>
      </c>
      <c r="V46" s="18">
        <f t="shared" si="12"/>
        <v>0</v>
      </c>
      <c r="W46" s="16">
        <f>IF(T46=0,0,W45+R46+S46-H46)</f>
        <v>0</v>
      </c>
    </row>
    <row r="47" spans="2:23" x14ac:dyDescent="0.35">
      <c r="B47" s="47">
        <f t="shared" si="0"/>
        <v>45034</v>
      </c>
      <c r="C47" s="48">
        <f t="shared" si="1"/>
        <v>45035</v>
      </c>
      <c r="D47" s="33"/>
      <c r="E47" s="13">
        <f>IF(SUM(E$29:E46)=$I$24,0,IF((D47&lt;=$I$24-SUM(E$29:E46)),D47,$I$24-SUM(E$29:E46)))</f>
        <v>0</v>
      </c>
      <c r="F47" s="13">
        <f>IF($I$19&gt;0,IF(SUM(F$29:F46)&lt;$I$19,IF((D47-E47)&gt;0,IF($I$20=0,IF($I$19-SUM(F$29:F46)&gt;D47,D47,$I$19-SUM(F$29:F46)),E47),D47),0)+IF($I$20&gt;0,IF(D47-$I$20-SUM($H$29:H46)-IF($I$19=0,0,E47)&gt;0,IF(D47-$I$20-SUM($H$29:H46)-IF($I$19=0,0,E47)&gt;$I$19,$I$19-SUM(F$29:F46)-E47,D47-$I$20-SUM($H$29:H46)-IF($I$19=0,0,E47)),0),0),0)</f>
        <v>0</v>
      </c>
      <c r="G47" s="13">
        <f t="shared" si="2"/>
        <v>0</v>
      </c>
      <c r="H47" s="17">
        <f t="shared" si="5"/>
        <v>0</v>
      </c>
      <c r="I47" s="13"/>
      <c r="J47" s="13"/>
      <c r="K47" s="13">
        <f t="shared" si="6"/>
        <v>1055.6500000000001</v>
      </c>
      <c r="L47" s="13">
        <f t="shared" si="7"/>
        <v>0.65045393150684916</v>
      </c>
      <c r="M47" s="13">
        <f t="shared" si="8"/>
        <v>12.290230452054795</v>
      </c>
      <c r="N47" s="13">
        <f t="shared" si="3"/>
        <v>1006.48</v>
      </c>
      <c r="O47" s="13">
        <f t="shared" si="9"/>
        <v>0.62000000000000011</v>
      </c>
      <c r="P47" s="13">
        <f t="shared" si="10"/>
        <v>3.1</v>
      </c>
      <c r="Q47" s="13">
        <f t="shared" si="11"/>
        <v>2048.0100000000002</v>
      </c>
      <c r="R47" s="17"/>
      <c r="S47" s="17"/>
      <c r="T47" s="17">
        <f t="shared" si="14"/>
        <v>0</v>
      </c>
      <c r="U47" s="17">
        <f t="shared" si="4"/>
        <v>0</v>
      </c>
      <c r="V47" s="18">
        <f t="shared" si="12"/>
        <v>0</v>
      </c>
      <c r="W47" s="16">
        <f t="shared" si="13"/>
        <v>0</v>
      </c>
    </row>
    <row r="48" spans="2:23" x14ac:dyDescent="0.35">
      <c r="B48" s="47">
        <f t="shared" si="0"/>
        <v>45035</v>
      </c>
      <c r="C48" s="48">
        <f t="shared" si="1"/>
        <v>45036</v>
      </c>
      <c r="D48" s="33"/>
      <c r="E48" s="13">
        <f>IF(SUM(E$29:E47)=$I$24,0,IF((D48&lt;=$I$24-SUM(E$29:E47)),D48,$I$24-SUM(E$29:E47)))</f>
        <v>0</v>
      </c>
      <c r="F48" s="13">
        <f>IF($I$19&gt;0,IF(SUM(F$29:F47)&lt;$I$19,IF((D48-E48)&gt;0,IF($I$20=0,IF($I$19-SUM(F$29:F47)&gt;D48,D48,$I$19-SUM(F$29:F47)),E48),D48),0)+IF($I$20&gt;0,IF(D48-$I$20-SUM($H$29:H47)-IF($I$19=0,0,E48)&gt;0,IF(D48-$I$20-SUM($H$29:H47)-IF($I$19=0,0,E48)&gt;$I$19,$I$19-SUM(F$29:F47)-E48,D48-$I$20-SUM($H$29:H47)-IF($I$19=0,0,E48)),0),0),0)</f>
        <v>0</v>
      </c>
      <c r="G48" s="13">
        <f t="shared" si="2"/>
        <v>0</v>
      </c>
      <c r="H48" s="17">
        <f t="shared" si="5"/>
        <v>0</v>
      </c>
      <c r="I48" s="13"/>
      <c r="J48" s="13"/>
      <c r="K48" s="13">
        <f t="shared" si="6"/>
        <v>1056.3</v>
      </c>
      <c r="L48" s="13">
        <f t="shared" si="7"/>
        <v>0.65085443835616452</v>
      </c>
      <c r="M48" s="13">
        <f t="shared" si="8"/>
        <v>12.941084890410959</v>
      </c>
      <c r="N48" s="13">
        <f t="shared" si="3"/>
        <v>1007.1</v>
      </c>
      <c r="O48" s="13">
        <f t="shared" si="9"/>
        <v>0.62000000000000011</v>
      </c>
      <c r="P48" s="13">
        <f t="shared" si="10"/>
        <v>3.72</v>
      </c>
      <c r="Q48" s="13">
        <f t="shared" si="11"/>
        <v>2048.0100000000002</v>
      </c>
      <c r="R48" s="17"/>
      <c r="S48" s="17"/>
      <c r="T48" s="17">
        <f t="shared" si="14"/>
        <v>0</v>
      </c>
      <c r="U48" s="17">
        <f t="shared" si="4"/>
        <v>0</v>
      </c>
      <c r="V48" s="18">
        <f t="shared" si="12"/>
        <v>0</v>
      </c>
      <c r="W48" s="16">
        <f t="shared" si="13"/>
        <v>0</v>
      </c>
    </row>
    <row r="49" spans="2:23" x14ac:dyDescent="0.35">
      <c r="B49" s="47">
        <f t="shared" si="0"/>
        <v>45036</v>
      </c>
      <c r="C49" s="48">
        <f t="shared" si="1"/>
        <v>45037</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5"/>
        <v>0</v>
      </c>
      <c r="I49" s="13"/>
      <c r="J49" s="13"/>
      <c r="K49" s="13">
        <f t="shared" si="6"/>
        <v>1056.95</v>
      </c>
      <c r="L49" s="13">
        <f t="shared" si="7"/>
        <v>0.65125494520547988</v>
      </c>
      <c r="M49" s="13">
        <f t="shared" si="8"/>
        <v>13.592339835616439</v>
      </c>
      <c r="N49" s="13">
        <f t="shared" si="3"/>
        <v>1007.72</v>
      </c>
      <c r="O49" s="13">
        <f t="shared" si="9"/>
        <v>0.61999999999999966</v>
      </c>
      <c r="P49" s="13">
        <f t="shared" si="10"/>
        <v>4.34</v>
      </c>
      <c r="Q49" s="13">
        <f t="shared" si="11"/>
        <v>2048.0100000000002</v>
      </c>
      <c r="R49" s="17"/>
      <c r="S49" s="17"/>
      <c r="T49" s="17">
        <f t="shared" si="14"/>
        <v>0</v>
      </c>
      <c r="U49" s="17">
        <f t="shared" si="4"/>
        <v>0</v>
      </c>
      <c r="V49" s="18">
        <f t="shared" si="12"/>
        <v>0</v>
      </c>
      <c r="W49" s="16">
        <f t="shared" si="13"/>
        <v>0</v>
      </c>
    </row>
    <row r="50" spans="2:23" x14ac:dyDescent="0.35">
      <c r="B50" s="47">
        <f t="shared" si="0"/>
        <v>45037</v>
      </c>
      <c r="C50" s="48">
        <f t="shared" si="1"/>
        <v>45038</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5"/>
        <v>0</v>
      </c>
      <c r="I50" s="13"/>
      <c r="J50" s="13"/>
      <c r="K50" s="13">
        <f t="shared" si="6"/>
        <v>1057.5999999999999</v>
      </c>
      <c r="L50" s="13">
        <f t="shared" si="7"/>
        <v>0.65165545205479525</v>
      </c>
      <c r="M50" s="13">
        <f t="shared" si="8"/>
        <v>14.243995287671234</v>
      </c>
      <c r="N50" s="13">
        <f t="shared" si="3"/>
        <v>1008.34</v>
      </c>
      <c r="O50" s="13">
        <f t="shared" si="9"/>
        <v>0.62000000000000011</v>
      </c>
      <c r="P50" s="13">
        <f t="shared" si="10"/>
        <v>4.96</v>
      </c>
      <c r="Q50" s="13">
        <f t="shared" si="11"/>
        <v>2048.0100000000002</v>
      </c>
      <c r="R50" s="17"/>
      <c r="S50" s="17"/>
      <c r="T50" s="17">
        <f t="shared" si="14"/>
        <v>0</v>
      </c>
      <c r="U50" s="17">
        <f t="shared" si="4"/>
        <v>0</v>
      </c>
      <c r="V50" s="18">
        <f t="shared" si="12"/>
        <v>0</v>
      </c>
      <c r="W50" s="16">
        <f t="shared" si="13"/>
        <v>0</v>
      </c>
    </row>
    <row r="51" spans="2:23" x14ac:dyDescent="0.35">
      <c r="B51" s="47">
        <f t="shared" si="0"/>
        <v>45038</v>
      </c>
      <c r="C51" s="48">
        <f t="shared" si="1"/>
        <v>45039</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5"/>
        <v>0</v>
      </c>
      <c r="I51" s="13"/>
      <c r="J51" s="13"/>
      <c r="K51" s="13">
        <f>IF(SUM($F$29:$F$53)&gt;=$I$19,0,ROUND(K50+L50-F51,2))</f>
        <v>1058.25</v>
      </c>
      <c r="L51" s="13">
        <f t="shared" si="7"/>
        <v>0.65205595890410883</v>
      </c>
      <c r="M51" s="13">
        <f t="shared" si="8"/>
        <v>14.896051246575343</v>
      </c>
      <c r="N51" s="13">
        <f t="shared" si="3"/>
        <v>1008.96</v>
      </c>
      <c r="O51" s="13">
        <f t="shared" si="9"/>
        <v>0.62000000000000011</v>
      </c>
      <c r="P51" s="13">
        <f t="shared" si="10"/>
        <v>5.58</v>
      </c>
      <c r="Q51" s="13">
        <f t="shared" si="11"/>
        <v>2048.0100000000002</v>
      </c>
      <c r="R51" s="17"/>
      <c r="S51" s="17"/>
      <c r="T51" s="17">
        <f t="shared" si="14"/>
        <v>0</v>
      </c>
      <c r="U51" s="17">
        <f t="shared" si="4"/>
        <v>0</v>
      </c>
      <c r="V51" s="18">
        <f t="shared" si="12"/>
        <v>0</v>
      </c>
      <c r="W51" s="16">
        <f t="shared" si="13"/>
        <v>0</v>
      </c>
    </row>
    <row r="52" spans="2:23" x14ac:dyDescent="0.35">
      <c r="B52" s="47">
        <f t="shared" si="0"/>
        <v>45039</v>
      </c>
      <c r="C52" s="48">
        <f t="shared" si="1"/>
        <v>45040</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5"/>
        <v>0</v>
      </c>
      <c r="I52" s="13"/>
      <c r="J52" s="13"/>
      <c r="K52" s="13">
        <f t="shared" si="6"/>
        <v>1058.9000000000001</v>
      </c>
      <c r="L52" s="13">
        <f t="shared" si="7"/>
        <v>0.6524564657534242</v>
      </c>
      <c r="M52" s="13">
        <f t="shared" si="8"/>
        <v>15.548507712328767</v>
      </c>
      <c r="N52" s="13">
        <f>ROUND(N51+I52+J52+O51-G52,2)</f>
        <v>1009.58</v>
      </c>
      <c r="O52" s="13">
        <f t="shared" si="9"/>
        <v>0.62000000000000011</v>
      </c>
      <c r="P52" s="13">
        <f t="shared" si="10"/>
        <v>6.2</v>
      </c>
      <c r="Q52" s="13">
        <f t="shared" si="11"/>
        <v>2048</v>
      </c>
      <c r="R52" s="17"/>
      <c r="S52" s="17"/>
      <c r="T52" s="17">
        <f t="shared" si="14"/>
        <v>0</v>
      </c>
      <c r="U52" s="17">
        <f t="shared" si="4"/>
        <v>0</v>
      </c>
      <c r="V52" s="18">
        <f t="shared" si="12"/>
        <v>0</v>
      </c>
      <c r="W52" s="16">
        <f t="shared" si="13"/>
        <v>0</v>
      </c>
    </row>
    <row r="53" spans="2:23" x14ac:dyDescent="0.35">
      <c r="B53" s="47">
        <f t="shared" si="0"/>
        <v>45040</v>
      </c>
      <c r="C53" s="48">
        <f t="shared" si="1"/>
        <v>45041</v>
      </c>
      <c r="D53" s="33"/>
      <c r="E53" s="13">
        <f>IF(SUM(E$29:E52)=$I$24,0,IF((D53&lt;=$I$24-SUM(E$29:E52)),D53,$I$24-SUM(E$29:E52)))</f>
        <v>0</v>
      </c>
      <c r="F53" s="13">
        <f>IF($I$19&gt;0,IF(SUM(F$29:F52)&lt;$I$19,IF((D53-E53)&gt;0,IF($I$20=0,IF($I$19-SUM(F$29:F52)&gt;D53,D53,$I$19-SUM(F$29:F52)),E53),D53),0)+IF($I$20&gt;0,IF(D53-$I$20-SUM($H$29:H52)-IF($I$19=0,0,E53)&gt;0,IF(D53-$I$20-SUM($H$29:H52)-IF($I$19=0,0,E53)&gt;$I$19,$I$19-SUM(F$29:F52)-E53,D53-$I$20-SUM($H$29:H52)-IF($I$19=0,0,E53)),0),0),0)</f>
        <v>0</v>
      </c>
      <c r="G53" s="13">
        <f t="shared" si="2"/>
        <v>0</v>
      </c>
      <c r="H53" s="17">
        <f t="shared" si="5"/>
        <v>0</v>
      </c>
      <c r="I53" s="13"/>
      <c r="J53" s="13"/>
      <c r="K53" s="13">
        <f t="shared" si="6"/>
        <v>1059.55</v>
      </c>
      <c r="L53" s="13">
        <f t="shared" si="7"/>
        <v>0.65285697260274134</v>
      </c>
      <c r="M53" s="13">
        <f t="shared" si="8"/>
        <v>16.201364684931509</v>
      </c>
      <c r="N53" s="13">
        <f t="shared" si="3"/>
        <v>1010.2</v>
      </c>
      <c r="O53" s="13">
        <f t="shared" si="9"/>
        <v>0.62000000000000011</v>
      </c>
      <c r="P53" s="13">
        <f t="shared" si="10"/>
        <v>6.82</v>
      </c>
      <c r="Q53" s="13">
        <f t="shared" si="11"/>
        <v>2048</v>
      </c>
      <c r="R53" s="17"/>
      <c r="S53" s="17"/>
      <c r="T53" s="17">
        <f t="shared" si="14"/>
        <v>0</v>
      </c>
      <c r="U53" s="17">
        <f t="shared" si="4"/>
        <v>0</v>
      </c>
      <c r="V53" s="18">
        <f t="shared" si="12"/>
        <v>0</v>
      </c>
      <c r="W53" s="16">
        <f t="shared" si="13"/>
        <v>0</v>
      </c>
    </row>
    <row r="54" spans="2:23" x14ac:dyDescent="0.35">
      <c r="B54" s="47">
        <f t="shared" si="0"/>
        <v>45041</v>
      </c>
      <c r="C54" s="48">
        <f t="shared" si="1"/>
        <v>45042</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5"/>
        <v>0</v>
      </c>
      <c r="I54" s="13"/>
      <c r="J54" s="13"/>
      <c r="K54" s="13">
        <f t="shared" si="6"/>
        <v>1060.2</v>
      </c>
      <c r="L54" s="13">
        <f t="shared" si="7"/>
        <v>0.65325747945205492</v>
      </c>
      <c r="M54" s="13">
        <f t="shared" si="8"/>
        <v>16.854622164383564</v>
      </c>
      <c r="N54" s="13">
        <f t="shared" si="3"/>
        <v>1010.82</v>
      </c>
      <c r="O54" s="13">
        <f t="shared" si="9"/>
        <v>0.62000000000000011</v>
      </c>
      <c r="P54" s="13">
        <f>ROUND(P53+N54*$F$22,2)</f>
        <v>7.44</v>
      </c>
      <c r="Q54" s="13">
        <f t="shared" si="11"/>
        <v>2048</v>
      </c>
      <c r="R54" s="17"/>
      <c r="S54" s="17"/>
      <c r="T54" s="17">
        <f t="shared" si="14"/>
        <v>0</v>
      </c>
      <c r="U54" s="17">
        <f t="shared" si="4"/>
        <v>0</v>
      </c>
      <c r="V54" s="18">
        <f t="shared" si="12"/>
        <v>0</v>
      </c>
      <c r="W54" s="16">
        <f t="shared" si="13"/>
        <v>0</v>
      </c>
    </row>
    <row r="55" spans="2:23" x14ac:dyDescent="0.35">
      <c r="B55" s="47">
        <f t="shared" si="0"/>
        <v>45042</v>
      </c>
      <c r="C55" s="48">
        <f t="shared" si="1"/>
        <v>45043</v>
      </c>
      <c r="D55" s="33"/>
      <c r="E55" s="13">
        <f>IF(SUM(E$29:E54)=$I$24,0,IF((D55&lt;=$I$24-SUM(E$29:E54)),D55,$I$24-SUM(E$29:E54)))</f>
        <v>0</v>
      </c>
      <c r="F55" s="13">
        <f>IF($I$19&gt;0,IF(SUM(F$29:F54)&lt;$I$19,IF((D55-E55)&gt;0,IF($I$20=0,IF($I$19-SUM(F$29:F54)&gt;D55,D55,$I$19-SUM(F$29:F54)),E55),D55),0)+IF($I$20&gt;0,IF(D55-$I$20-SUM($H$29:H54)-IF($I$19=0,0,E55)&gt;0,IF(D55-$I$20-SUM($H$29:H54)-IF($I$19=0,0,E55)&gt;$I$19,$I$19-SUM(F$29:F54)-E55,D55-$I$20-SUM($H$29:H54)-IF($I$19=0,0,E55)),0),0),0)</f>
        <v>0</v>
      </c>
      <c r="G55" s="13">
        <f t="shared" si="2"/>
        <v>0</v>
      </c>
      <c r="H55" s="17">
        <f t="shared" si="5"/>
        <v>0</v>
      </c>
      <c r="I55" s="13"/>
      <c r="J55" s="13"/>
      <c r="K55" s="13">
        <f t="shared" si="6"/>
        <v>1060.8499999999999</v>
      </c>
      <c r="L55" s="13">
        <f t="shared" si="7"/>
        <v>0.65365798630136851</v>
      </c>
      <c r="M55" s="13">
        <f t="shared" si="8"/>
        <v>17.508280150684932</v>
      </c>
      <c r="N55" s="13">
        <f t="shared" si="3"/>
        <v>1011.44</v>
      </c>
      <c r="O55" s="13">
        <f t="shared" si="9"/>
        <v>0.62000000000000011</v>
      </c>
      <c r="P55" s="13">
        <f t="shared" si="10"/>
        <v>8.06</v>
      </c>
      <c r="Q55" s="13">
        <f t="shared" si="11"/>
        <v>2048</v>
      </c>
      <c r="R55" s="17"/>
      <c r="S55" s="17"/>
      <c r="T55" s="17">
        <f t="shared" si="14"/>
        <v>0</v>
      </c>
      <c r="U55" s="17">
        <f t="shared" si="4"/>
        <v>0</v>
      </c>
      <c r="V55" s="18">
        <f t="shared" si="12"/>
        <v>0</v>
      </c>
      <c r="W55" s="16">
        <f t="shared" si="13"/>
        <v>0</v>
      </c>
    </row>
    <row r="56" spans="2:23" x14ac:dyDescent="0.35">
      <c r="B56" s="47">
        <f t="shared" si="0"/>
        <v>45043</v>
      </c>
      <c r="C56" s="48">
        <f t="shared" si="1"/>
        <v>45044</v>
      </c>
      <c r="D56" s="33"/>
      <c r="E56" s="14">
        <f>IF(SUM(E$29:E55)=$I$24,0,IF((D56&lt;=$I$24-SUM(E$29:E55)),D56,$I$24-SUM(E$29:E55)))</f>
        <v>0</v>
      </c>
      <c r="F56" s="13">
        <f>IF($I$19&gt;0,IF(SUM(F$29:F55)&lt;$I$19,IF((D56-E56)&gt;0,IF($I$20=0,IF($I$19-SUM(F$29:F55)&gt;D56,D56,$I$19-SUM(F$29:F55)),E56),D56),0)+IF($I$20&gt;0,IF(D56-$I$20-SUM($H$29:H55)-IF($I$19=0,0,E56)&gt;0,IF(D56-$I$20-SUM($H$29:H55)-IF($I$19=0,0,E56)&gt;$I$19,$I$19-SUM(F$29:F55)-E56,D56-$I$20-SUM($H$29:H55)-IF($I$19=0,0,E56)),0),0),0)</f>
        <v>0</v>
      </c>
      <c r="G56" s="13">
        <f t="shared" si="2"/>
        <v>0</v>
      </c>
      <c r="H56" s="17">
        <f t="shared" si="5"/>
        <v>0</v>
      </c>
      <c r="I56" s="13"/>
      <c r="J56" s="13"/>
      <c r="K56" s="13">
        <f t="shared" si="6"/>
        <v>1061.5</v>
      </c>
      <c r="L56" s="13">
        <f t="shared" si="7"/>
        <v>0.65405849315068565</v>
      </c>
      <c r="M56" s="13">
        <f t="shared" si="8"/>
        <v>18.162338643835618</v>
      </c>
      <c r="N56" s="13">
        <f t="shared" si="3"/>
        <v>1012.06</v>
      </c>
      <c r="O56" s="13">
        <f t="shared" si="9"/>
        <v>0.61999999999999922</v>
      </c>
      <c r="P56" s="13">
        <f t="shared" si="10"/>
        <v>8.68</v>
      </c>
      <c r="Q56" s="13">
        <f t="shared" si="11"/>
        <v>2047.99</v>
      </c>
      <c r="R56" s="17"/>
      <c r="S56" s="17"/>
      <c r="T56" s="17">
        <f t="shared" si="14"/>
        <v>0</v>
      </c>
      <c r="U56" s="17">
        <f t="shared" si="4"/>
        <v>0</v>
      </c>
      <c r="V56" s="18">
        <f t="shared" si="12"/>
        <v>0</v>
      </c>
      <c r="W56" s="16">
        <f t="shared" si="13"/>
        <v>0</v>
      </c>
    </row>
    <row r="57" spans="2:23" x14ac:dyDescent="0.35">
      <c r="B57" s="47">
        <f t="shared" si="0"/>
        <v>45044</v>
      </c>
      <c r="C57" s="48">
        <f t="shared" si="1"/>
        <v>45045</v>
      </c>
      <c r="D57" s="33"/>
      <c r="E57" s="13">
        <f>IF(SUM(E$29:E56)=$I$24,0,IF((D57&lt;=$I$24-SUM(E$29:E56)),D57,$I$24-SUM(E$29:E56)))</f>
        <v>0</v>
      </c>
      <c r="F57" s="13">
        <f>IF($I$19&gt;0,IF(SUM(F$29:F56)&lt;$I$19,IF((D57-E57)&gt;0,IF($I$20=0,IF($I$19-SUM(F$29:F56)&gt;D57,D57,$I$19-SUM(F$29:F56)),E57),D57),0)+IF($I$20&gt;0,IF(D57-$I$20-SUM($H$29:H56)-IF($I$19=0,0,E57)&gt;0,IF(D57-$I$20-SUM($H$29:H56)-IF($I$19=0,0,E57)&gt;$I$19,$I$19-SUM(F$29:F56)-E57,D57-$I$20-SUM($H$29:H56)-IF($I$19=0,0,E57)),0),0),0)</f>
        <v>0</v>
      </c>
      <c r="G57" s="13">
        <f t="shared" si="2"/>
        <v>0</v>
      </c>
      <c r="H57" s="17">
        <f t="shared" si="5"/>
        <v>0</v>
      </c>
      <c r="I57" s="13"/>
      <c r="J57" s="13"/>
      <c r="K57" s="13">
        <f t="shared" si="6"/>
        <v>1062.1500000000001</v>
      </c>
      <c r="L57" s="13">
        <f t="shared" si="7"/>
        <v>0.65445899999999924</v>
      </c>
      <c r="M57" s="13">
        <f t="shared" si="8"/>
        <v>18.816797643835617</v>
      </c>
      <c r="N57" s="13">
        <f t="shared" si="3"/>
        <v>1012.68</v>
      </c>
      <c r="O57" s="13">
        <f t="shared" si="9"/>
        <v>0.62000000000000099</v>
      </c>
      <c r="P57" s="13">
        <f>ROUND(P56+N57*$F$22,2)</f>
        <v>9.3000000000000007</v>
      </c>
      <c r="Q57" s="13">
        <f t="shared" si="11"/>
        <v>2047.99</v>
      </c>
      <c r="R57" s="17"/>
      <c r="S57" s="17"/>
      <c r="T57" s="17">
        <f t="shared" si="14"/>
        <v>0</v>
      </c>
      <c r="U57" s="17">
        <f t="shared" si="4"/>
        <v>0</v>
      </c>
      <c r="V57" s="18">
        <f t="shared" si="12"/>
        <v>0</v>
      </c>
      <c r="W57" s="16">
        <f t="shared" si="13"/>
        <v>0</v>
      </c>
    </row>
    <row r="58" spans="2:23" ht="15" thickBot="1" x14ac:dyDescent="0.4">
      <c r="B58" s="47">
        <f t="shared" si="0"/>
        <v>45045</v>
      </c>
      <c r="C58" s="48">
        <f t="shared" si="1"/>
        <v>45046</v>
      </c>
      <c r="D58" s="33"/>
      <c r="E58" s="13">
        <f>IF(SUM(E$29:E57)=$I$24,0,IF((D58&lt;=$I$24-SUM(E$29:E57)),D58,$I$24-SUM(E$29:E57)))</f>
        <v>0</v>
      </c>
      <c r="F58" s="13">
        <f>IF($I$19&gt;0,IF(SUM(F$29:F57)&lt;$I$19,IF((D58-E58)&gt;0,IF($I$20=0,IF($I$19-SUM(F$29:F57)&gt;D58,D58,$I$19-SUM(F$29:F57)),E58),D58),0)+IF($I$20&gt;0,IF(D58-$I$20-SUM($H$29:H57)-IF($I$19=0,0,E58)&gt;0,IF(D58-$I$20-SUM($H$29:H57)-IF($I$19=0,0,E58)&gt;$I$19,$I$19-SUM(F$29:F57)-E58,D58-$I$20-SUM($H$29:H57)-IF($I$19=0,0,E58)),0),0),0)</f>
        <v>0</v>
      </c>
      <c r="G58" s="13">
        <f t="shared" si="2"/>
        <v>0</v>
      </c>
      <c r="H58" s="17">
        <f t="shared" si="5"/>
        <v>0</v>
      </c>
      <c r="I58" s="13"/>
      <c r="J58" s="13">
        <v>40</v>
      </c>
      <c r="K58" s="13">
        <f t="shared" si="6"/>
        <v>1062.8</v>
      </c>
      <c r="L58" s="13">
        <f t="shared" si="7"/>
        <v>0.65485950684931638</v>
      </c>
      <c r="M58" s="13">
        <f t="shared" si="8"/>
        <v>19.471657150684933</v>
      </c>
      <c r="N58" s="13">
        <f t="shared" si="3"/>
        <v>1053.3</v>
      </c>
      <c r="O58" s="13">
        <f t="shared" si="9"/>
        <v>0.64999999999999858</v>
      </c>
      <c r="P58" s="13">
        <f>ROUND(P57+N58*$F$22,2)</f>
        <v>9.9499999999999993</v>
      </c>
      <c r="Q58" s="13">
        <f t="shared" si="11"/>
        <v>2087.98</v>
      </c>
      <c r="R58" s="17"/>
      <c r="S58" s="17"/>
      <c r="T58" s="17">
        <f t="shared" si="14"/>
        <v>0</v>
      </c>
      <c r="U58" s="17">
        <f t="shared" si="4"/>
        <v>0</v>
      </c>
      <c r="V58" s="18">
        <f t="shared" si="12"/>
        <v>0</v>
      </c>
      <c r="W58" s="16">
        <f t="shared" si="13"/>
        <v>0</v>
      </c>
    </row>
    <row r="59" spans="2:23" ht="15" thickBot="1" x14ac:dyDescent="0.4">
      <c r="B59" s="122" t="s">
        <v>49</v>
      </c>
      <c r="C59" s="123"/>
      <c r="D59" s="67">
        <f t="shared" ref="D59:L59" si="15">SUM(D29:D58)</f>
        <v>0</v>
      </c>
      <c r="E59" s="21">
        <f t="shared" si="15"/>
        <v>0</v>
      </c>
      <c r="F59" s="21">
        <f t="shared" si="15"/>
        <v>0</v>
      </c>
      <c r="G59" s="21">
        <f t="shared" si="15"/>
        <v>0</v>
      </c>
      <c r="H59" s="22">
        <f t="shared" si="15"/>
        <v>0</v>
      </c>
      <c r="I59" s="20">
        <f t="shared" si="15"/>
        <v>1000</v>
      </c>
      <c r="J59" s="21">
        <f t="shared" si="15"/>
        <v>44</v>
      </c>
      <c r="K59" s="21">
        <f t="shared" si="15"/>
        <v>31601.399999999998</v>
      </c>
      <c r="L59" s="74">
        <f t="shared" si="15"/>
        <v>19.471657150684933</v>
      </c>
      <c r="M59" s="20"/>
      <c r="N59" s="21">
        <f>SUM(N29:N58)</f>
        <v>16178.4</v>
      </c>
      <c r="O59" s="21">
        <f>SUM(O29:O58)</f>
        <v>9.9499999999999993</v>
      </c>
      <c r="P59" s="20"/>
      <c r="Q59" s="20"/>
      <c r="R59" s="22">
        <f>SUM(R29:R58)</f>
        <v>0</v>
      </c>
      <c r="S59" s="22">
        <f>SUM(S29:S58)</f>
        <v>0</v>
      </c>
      <c r="T59" s="22">
        <f>SUM(T29:T58)</f>
        <v>0</v>
      </c>
      <c r="U59" s="22">
        <f>SUM(U29:U58)</f>
        <v>0</v>
      </c>
      <c r="V59" s="23"/>
      <c r="W59" s="23"/>
    </row>
    <row r="60" spans="2:23" ht="15" thickBot="1" x14ac:dyDescent="0.4">
      <c r="G60" s="61"/>
      <c r="J60" s="82" t="s">
        <v>71</v>
      </c>
      <c r="K60" s="82">
        <f>K59/$C$18</f>
        <v>1053.3799999999999</v>
      </c>
      <c r="M60" s="82" t="s">
        <v>69</v>
      </c>
      <c r="N60" s="82">
        <f>N59/$C$18</f>
        <v>539.28</v>
      </c>
      <c r="O60" s="61"/>
      <c r="S60" s="82" t="s">
        <v>65</v>
      </c>
      <c r="T60" s="82">
        <f>T59/$C$18</f>
        <v>0</v>
      </c>
    </row>
    <row r="61" spans="2:23" ht="15" thickBot="1" x14ac:dyDescent="0.4">
      <c r="H61" s="2"/>
      <c r="J61" s="82" t="s">
        <v>72</v>
      </c>
      <c r="K61" s="82">
        <f>M58</f>
        <v>19.471657150684933</v>
      </c>
      <c r="M61" s="82" t="s">
        <v>70</v>
      </c>
      <c r="N61" s="82">
        <f>IF(ROUND(N58,2)=0,0,N60*$F$22*$C$18)</f>
        <v>9.9685538630136978</v>
      </c>
      <c r="S61" s="82" t="s">
        <v>64</v>
      </c>
      <c r="T61" s="82">
        <f>T60*$F$23*$C$18</f>
        <v>0</v>
      </c>
    </row>
    <row r="62" spans="2:23" x14ac:dyDescent="0.35">
      <c r="M62" s="61"/>
      <c r="N62" s="61"/>
    </row>
    <row r="65" spans="13:14" x14ac:dyDescent="0.35">
      <c r="M65" s="101" t="s">
        <v>74</v>
      </c>
      <c r="N65" s="101">
        <f>K61+N61</f>
        <v>29.440211013698629</v>
      </c>
    </row>
    <row r="66" spans="13:14" x14ac:dyDescent="0.35">
      <c r="M66" s="102" t="s">
        <v>75</v>
      </c>
      <c r="N66" s="102">
        <v>29.41</v>
      </c>
    </row>
  </sheetData>
  <mergeCells count="13">
    <mergeCell ref="R27:W27"/>
    <mergeCell ref="E2:F2"/>
    <mergeCell ref="H6:I6"/>
    <mergeCell ref="H10:J10"/>
    <mergeCell ref="J11:J12"/>
    <mergeCell ref="K11:K12"/>
    <mergeCell ref="H14:I14"/>
    <mergeCell ref="B59:C59"/>
    <mergeCell ref="H18:I18"/>
    <mergeCell ref="B21:C21"/>
    <mergeCell ref="E21:F21"/>
    <mergeCell ref="D27:H27"/>
    <mergeCell ref="I27:Q27"/>
  </mergeCells>
  <pageMargins left="0.7" right="0.7" top="0.75" bottom="0.75" header="0.3" footer="0.3"/>
  <pageSetup paperSize="9" orientation="portrait" horizontalDpi="4294967293" verticalDpi="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605B7-7D97-44A2-A320-4CB2DE4FA09C}">
  <dimension ref="B1:W80"/>
  <sheetViews>
    <sheetView tabSelected="1" topLeftCell="B40" zoomScale="53" zoomScaleNormal="53" workbookViewId="0">
      <selection activeCell="J60" sqref="J60"/>
    </sheetView>
  </sheetViews>
  <sheetFormatPr defaultRowHeight="14.5" x14ac:dyDescent="0.35"/>
  <cols>
    <col min="2" max="2" width="36.7265625" style="1" customWidth="1"/>
    <col min="3" max="3" width="28.90625" style="2" customWidth="1"/>
    <col min="4" max="4" width="14.1796875" customWidth="1"/>
    <col min="5" max="5" width="24.36328125" bestFit="1" customWidth="1"/>
    <col min="6" max="6" width="22.6328125" customWidth="1"/>
    <col min="7" max="7" width="18.54296875" customWidth="1"/>
    <col min="8" max="8" width="25.453125" style="1" customWidth="1"/>
    <col min="9" max="9" width="17.54296875" customWidth="1"/>
    <col min="10" max="10" width="28.26953125" customWidth="1"/>
    <col min="11" max="11" width="14.453125" customWidth="1"/>
    <col min="12" max="12" width="10.36328125" bestFit="1" customWidth="1"/>
    <col min="13" max="13" width="27.1796875" bestFit="1" customWidth="1"/>
    <col min="14" max="14" width="13.1796875" customWidth="1"/>
    <col min="15" max="15" width="11.6328125" customWidth="1"/>
    <col min="16" max="16" width="13.1796875" bestFit="1" customWidth="1"/>
    <col min="17" max="17" width="19.26953125" bestFit="1" customWidth="1"/>
    <col min="18" max="18" width="9.1796875" bestFit="1" customWidth="1"/>
    <col min="19" max="19" width="19.26953125" bestFit="1" customWidth="1"/>
    <col min="20" max="20" width="10.1796875" bestFit="1" customWidth="1"/>
    <col min="21" max="21" width="8.7265625" customWidth="1"/>
    <col min="22" max="22" width="8.54296875" customWidth="1"/>
    <col min="23" max="23" width="13" customWidth="1"/>
  </cols>
  <sheetData>
    <row r="1" spans="2:12" ht="15" thickBot="1" x14ac:dyDescent="0.4"/>
    <row r="2" spans="2:12" ht="15" thickBot="1" x14ac:dyDescent="0.4">
      <c r="B2" s="27" t="s">
        <v>23</v>
      </c>
      <c r="C2" s="36"/>
      <c r="E2" s="116" t="s">
        <v>50</v>
      </c>
      <c r="F2" s="117"/>
    </row>
    <row r="3" spans="2:12" ht="15" thickBot="1" x14ac:dyDescent="0.4">
      <c r="B3" s="28" t="s">
        <v>1</v>
      </c>
      <c r="C3" s="37">
        <v>25</v>
      </c>
      <c r="E3" s="45" t="s">
        <v>24</v>
      </c>
      <c r="F3" s="46">
        <f>C17</f>
        <v>45077</v>
      </c>
    </row>
    <row r="4" spans="2:12" ht="15" thickBot="1" x14ac:dyDescent="0.4">
      <c r="B4"/>
      <c r="C4"/>
      <c r="E4" s="62" t="s">
        <v>25</v>
      </c>
      <c r="F4" s="62">
        <f>'Feb Statement'!F11</f>
        <v>0</v>
      </c>
    </row>
    <row r="5" spans="2:12" ht="15" thickBot="1" x14ac:dyDescent="0.4">
      <c r="B5" s="29" t="s">
        <v>5</v>
      </c>
      <c r="C5" s="38">
        <v>44986</v>
      </c>
      <c r="E5" s="32" t="s">
        <v>10</v>
      </c>
      <c r="F5" s="33">
        <f>SUM(I11:I12)</f>
        <v>200</v>
      </c>
    </row>
    <row r="6" spans="2:12" x14ac:dyDescent="0.35">
      <c r="B6" s="30" t="s">
        <v>8</v>
      </c>
      <c r="C6" s="39">
        <v>45016</v>
      </c>
      <c r="E6" s="34" t="s">
        <v>26</v>
      </c>
      <c r="F6" s="35">
        <f>I60</f>
        <v>1000</v>
      </c>
      <c r="H6" s="103" t="s">
        <v>40</v>
      </c>
      <c r="I6" s="104"/>
    </row>
    <row r="7" spans="2:12" ht="29" x14ac:dyDescent="0.35">
      <c r="B7" s="30" t="s">
        <v>6</v>
      </c>
      <c r="C7" s="40">
        <v>31</v>
      </c>
      <c r="E7" s="34" t="s">
        <v>27</v>
      </c>
      <c r="F7" s="35">
        <f>R60</f>
        <v>0</v>
      </c>
      <c r="H7" s="7" t="s">
        <v>37</v>
      </c>
      <c r="I7" s="8">
        <f>J60</f>
        <v>44</v>
      </c>
      <c r="L7" s="61"/>
    </row>
    <row r="8" spans="2:12" ht="29.5" thickBot="1" x14ac:dyDescent="0.4">
      <c r="B8" s="31" t="s">
        <v>7</v>
      </c>
      <c r="C8" s="41">
        <f>C6+C3</f>
        <v>45041</v>
      </c>
      <c r="E8" s="34" t="s">
        <v>28</v>
      </c>
      <c r="F8" s="35">
        <f>SUM(I7:I8)</f>
        <v>44</v>
      </c>
      <c r="H8" s="49" t="s">
        <v>38</v>
      </c>
      <c r="I8" s="50">
        <f>S60</f>
        <v>0</v>
      </c>
      <c r="L8" s="61"/>
    </row>
    <row r="9" spans="2:12" ht="29.5" customHeight="1" thickBot="1" x14ac:dyDescent="0.4">
      <c r="B9"/>
      <c r="C9" s="3"/>
      <c r="E9" s="34" t="s">
        <v>29</v>
      </c>
      <c r="F9" s="35">
        <f>SUM(I15:I16)</f>
        <v>0</v>
      </c>
      <c r="L9" s="61"/>
    </row>
    <row r="10" spans="2:12" ht="15" thickBot="1" x14ac:dyDescent="0.4">
      <c r="B10" s="29" t="s">
        <v>12</v>
      </c>
      <c r="C10" s="38">
        <f>'April Statement'!C16</f>
        <v>45017</v>
      </c>
      <c r="E10" s="4"/>
      <c r="F10" s="6"/>
      <c r="H10" s="125" t="s">
        <v>41</v>
      </c>
      <c r="I10" s="126"/>
      <c r="J10" s="127"/>
    </row>
    <row r="11" spans="2:12" ht="14.5" customHeight="1" x14ac:dyDescent="0.35">
      <c r="B11" s="30" t="s">
        <v>13</v>
      </c>
      <c r="C11" s="39">
        <f>C10+C12-1</f>
        <v>45046</v>
      </c>
      <c r="E11" s="55" t="s">
        <v>30</v>
      </c>
      <c r="F11" s="56">
        <f>F4+F6+F7+F8+F9-F5</f>
        <v>844</v>
      </c>
      <c r="H11" s="72" t="s">
        <v>42</v>
      </c>
      <c r="I11" s="73">
        <f>SUM(F60:G60)</f>
        <v>200</v>
      </c>
      <c r="J11" s="114" t="s">
        <v>73</v>
      </c>
      <c r="K11" s="124"/>
    </row>
    <row r="12" spans="2:12" ht="15" thickBot="1" x14ac:dyDescent="0.4">
      <c r="B12" s="30" t="s">
        <v>14</v>
      </c>
      <c r="C12" s="40">
        <v>30</v>
      </c>
      <c r="E12" s="4"/>
      <c r="F12" s="6"/>
      <c r="H12" s="49" t="s">
        <v>43</v>
      </c>
      <c r="I12" s="50">
        <f>H60</f>
        <v>0</v>
      </c>
      <c r="J12" s="115"/>
      <c r="K12" s="124"/>
    </row>
    <row r="13" spans="2:12" ht="15" thickBot="1" x14ac:dyDescent="0.4">
      <c r="B13" s="31" t="s">
        <v>15</v>
      </c>
      <c r="C13" s="41">
        <v>45071</v>
      </c>
      <c r="E13" s="53" t="s">
        <v>31</v>
      </c>
      <c r="F13" s="54">
        <v>48960</v>
      </c>
    </row>
    <row r="14" spans="2:12" x14ac:dyDescent="0.35">
      <c r="E14" s="51" t="s">
        <v>32</v>
      </c>
      <c r="F14" s="52">
        <f>F13-F11</f>
        <v>48116</v>
      </c>
      <c r="H14" s="103" t="s">
        <v>44</v>
      </c>
      <c r="I14" s="104"/>
    </row>
    <row r="15" spans="2:12" ht="29.5" thickBot="1" x14ac:dyDescent="0.4">
      <c r="B15"/>
      <c r="C15" s="3"/>
      <c r="E15" s="53" t="s">
        <v>33</v>
      </c>
      <c r="F15" s="54">
        <v>20000</v>
      </c>
      <c r="H15" s="7" t="s">
        <v>45</v>
      </c>
      <c r="I15" s="8"/>
    </row>
    <row r="16" spans="2:12" ht="29.5" thickBot="1" x14ac:dyDescent="0.4">
      <c r="B16" s="29" t="s">
        <v>3</v>
      </c>
      <c r="C16" s="38">
        <f>C10+C12</f>
        <v>45047</v>
      </c>
      <c r="E16" s="51" t="s">
        <v>34</v>
      </c>
      <c r="F16" s="52">
        <f>F15-F7-I16</f>
        <v>20000</v>
      </c>
      <c r="H16" s="49" t="s">
        <v>43</v>
      </c>
      <c r="I16" s="50">
        <f>T62</f>
        <v>0</v>
      </c>
    </row>
    <row r="17" spans="2:23" ht="15" thickBot="1" x14ac:dyDescent="0.4">
      <c r="B17" s="30" t="s">
        <v>9</v>
      </c>
      <c r="C17" s="39">
        <f>C16+C18-1</f>
        <v>45077</v>
      </c>
      <c r="E17" s="42" t="s">
        <v>0</v>
      </c>
      <c r="F17" s="39">
        <f>C17</f>
        <v>45077</v>
      </c>
    </row>
    <row r="18" spans="2:23" ht="15" thickBot="1" x14ac:dyDescent="0.4">
      <c r="B18" s="30" t="s">
        <v>4</v>
      </c>
      <c r="C18" s="40">
        <v>31</v>
      </c>
      <c r="E18" s="43" t="s">
        <v>2</v>
      </c>
      <c r="F18" s="44">
        <f>C18</f>
        <v>31</v>
      </c>
      <c r="H18" s="103" t="s">
        <v>51</v>
      </c>
      <c r="I18" s="104"/>
    </row>
    <row r="19" spans="2:23" ht="15" thickBot="1" x14ac:dyDescent="0.4">
      <c r="B19" s="31" t="s">
        <v>16</v>
      </c>
      <c r="C19" s="41">
        <f>C17+C3</f>
        <v>45102</v>
      </c>
      <c r="H19" s="7" t="s">
        <v>42</v>
      </c>
      <c r="I19" s="8">
        <f>'April Statement'!I19+'April Statement'!F6+'April Statement'!I7+'April Statement'!I15-'April Statement'!I11</f>
        <v>2107.4716571506851</v>
      </c>
    </row>
    <row r="20" spans="2:23" ht="15" thickBot="1" x14ac:dyDescent="0.4">
      <c r="H20" s="49" t="s">
        <v>43</v>
      </c>
      <c r="I20" s="50">
        <f>'Feb Statement'!I20+'Feb Statement'!F7+'Feb Statement'!I8+'Feb Statement'!I16-'Feb Statement'!I12</f>
        <v>0</v>
      </c>
      <c r="J20" s="5"/>
    </row>
    <row r="21" spans="2:23" x14ac:dyDescent="0.35">
      <c r="B21" s="103" t="s">
        <v>17</v>
      </c>
      <c r="C21" s="104"/>
      <c r="E21" s="103" t="s">
        <v>22</v>
      </c>
      <c r="F21" s="104"/>
      <c r="I21" s="62">
        <f>SUM(I19:I20)</f>
        <v>2107.4716571506851</v>
      </c>
      <c r="J21" s="5"/>
    </row>
    <row r="22" spans="2:23" x14ac:dyDescent="0.35">
      <c r="B22" s="7" t="s">
        <v>18</v>
      </c>
      <c r="C22" s="57">
        <v>0.22489999999999999</v>
      </c>
      <c r="E22" s="7" t="s">
        <v>18</v>
      </c>
      <c r="F22" s="59">
        <f>C22/365</f>
        <v>6.1616438356164381E-4</v>
      </c>
      <c r="M22" s="61"/>
    </row>
    <row r="23" spans="2:23" ht="15" thickBot="1" x14ac:dyDescent="0.4">
      <c r="B23" s="49" t="s">
        <v>19</v>
      </c>
      <c r="C23" s="58">
        <v>0.2999</v>
      </c>
      <c r="E23" s="49" t="s">
        <v>19</v>
      </c>
      <c r="F23" s="60">
        <f>C23/365</f>
        <v>8.216438356164384E-4</v>
      </c>
      <c r="J23" s="61"/>
    </row>
    <row r="24" spans="2:23" ht="15" thickBot="1" x14ac:dyDescent="0.4">
      <c r="C24" s="9"/>
      <c r="E24" s="1"/>
      <c r="F24" s="10"/>
      <c r="H24" s="63" t="s">
        <v>56</v>
      </c>
      <c r="I24" s="64">
        <v>110.37</v>
      </c>
      <c r="M24" s="61"/>
    </row>
    <row r="25" spans="2:23" x14ac:dyDescent="0.35">
      <c r="C25" s="9"/>
      <c r="E25" s="1"/>
      <c r="F25" s="10"/>
    </row>
    <row r="26" spans="2:23" ht="15" thickBot="1" x14ac:dyDescent="0.4">
      <c r="C26" s="9"/>
      <c r="E26" s="1"/>
      <c r="F26" s="10"/>
    </row>
    <row r="27" spans="2:23" ht="15" customHeight="1" thickBot="1" x14ac:dyDescent="0.4">
      <c r="B27" s="70"/>
      <c r="C27" s="71"/>
      <c r="D27" s="121" t="s">
        <v>10</v>
      </c>
      <c r="E27" s="121"/>
      <c r="F27" s="121"/>
      <c r="G27" s="121"/>
      <c r="H27" s="121"/>
      <c r="I27" s="120" t="s">
        <v>47</v>
      </c>
      <c r="J27" s="120"/>
      <c r="K27" s="120"/>
      <c r="L27" s="120"/>
      <c r="M27" s="120"/>
      <c r="N27" s="120"/>
      <c r="O27" s="120"/>
      <c r="P27" s="120"/>
      <c r="Q27" s="120"/>
      <c r="R27" s="118" t="s">
        <v>48</v>
      </c>
      <c r="S27" s="118"/>
      <c r="T27" s="118"/>
      <c r="U27" s="118"/>
      <c r="V27" s="118"/>
      <c r="W27" s="119"/>
    </row>
    <row r="28" spans="2:23" s="1" customFormat="1" ht="116.5" thickBot="1" x14ac:dyDescent="0.4">
      <c r="B28" s="68" t="s">
        <v>52</v>
      </c>
      <c r="C28" s="68" t="s">
        <v>53</v>
      </c>
      <c r="D28" s="69" t="s">
        <v>57</v>
      </c>
      <c r="E28" s="69" t="s">
        <v>67</v>
      </c>
      <c r="F28" s="69" t="s">
        <v>66</v>
      </c>
      <c r="G28" s="69" t="s">
        <v>68</v>
      </c>
      <c r="H28" s="69"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3" x14ac:dyDescent="0.35">
      <c r="B29" s="47">
        <f>C29-1</f>
        <v>45046</v>
      </c>
      <c r="C29" s="47">
        <f>C16</f>
        <v>45047</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c r="K29" s="13">
        <v>2117.41</v>
      </c>
      <c r="L29" s="12">
        <f>M29</f>
        <v>1.3</v>
      </c>
      <c r="M29" s="12">
        <f>ROUND(K29*$F$22,2)</f>
        <v>1.3</v>
      </c>
      <c r="N29" s="12">
        <f>I29+J29-G29</f>
        <v>0</v>
      </c>
      <c r="O29" s="12">
        <f>P29</f>
        <v>0</v>
      </c>
      <c r="P29" s="12">
        <f>N29*$F$22</f>
        <v>0</v>
      </c>
      <c r="Q29" s="12">
        <f>K29+N29</f>
        <v>2117.41</v>
      </c>
      <c r="R29" s="15"/>
      <c r="S29" s="15"/>
      <c r="T29" s="15">
        <f>$I$20+R29+S29-H29</f>
        <v>0</v>
      </c>
      <c r="U29" s="15">
        <f>V29</f>
        <v>0</v>
      </c>
      <c r="V29" s="16">
        <f>T29*$F$23</f>
        <v>0</v>
      </c>
      <c r="W29" s="16">
        <f>IF(T29=0,0,$I$20+R29+S29-H29)</f>
        <v>0</v>
      </c>
    </row>
    <row r="30" spans="2:23" x14ac:dyDescent="0.35">
      <c r="B30" s="47">
        <f t="shared" ref="B30:B58" si="0">C30-1</f>
        <v>45047</v>
      </c>
      <c r="C30" s="48">
        <f t="shared" ref="C30:C59" si="1">C29+1</f>
        <v>45048</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8" si="2">ROUND(D30-F30-H30,2)</f>
        <v>0</v>
      </c>
      <c r="H30" s="17">
        <f>IF((T29+U29-V29+R30+S30)&gt;0,IF($I$19=0,E30,0),0)+IF((T29+U29-V29+R30+S30)&gt;0,(IF((D30-F30)&gt;0,(IF((T29+U29-V29+R30+S30)&gt;(D30-F30),(D30-F30-IF($I$19=0,E30,0)),(T29+U29-V29+R30+S30-IF($I$19=0,E30,0)))),0)),0)</f>
        <v>0</v>
      </c>
      <c r="I30" s="13"/>
      <c r="J30" s="13"/>
      <c r="K30" s="13">
        <f>IF(SUM($F$29:$F$53)&gt;=$I$19,0,ROUND(K29+L29-F30,2))</f>
        <v>2118.71</v>
      </c>
      <c r="L30" s="13">
        <f>M30-M29</f>
        <v>1.3100000000000003</v>
      </c>
      <c r="M30" s="13">
        <f>IF(K30=0,0,M29+ROUND(K30*$F$22,2))</f>
        <v>2.6100000000000003</v>
      </c>
      <c r="N30" s="13">
        <f t="shared" ref="N30:N58" si="3">ROUND(N29+I30+J30+O29-G30,2)</f>
        <v>0</v>
      </c>
      <c r="O30" s="13">
        <f>P30-P29</f>
        <v>0</v>
      </c>
      <c r="P30" s="13">
        <f>ROUND(P29+N30*$F$22,2)</f>
        <v>0</v>
      </c>
      <c r="Q30" s="13">
        <f>ROUND(N30+K30-M29-P29,2)</f>
        <v>2117.41</v>
      </c>
      <c r="R30" s="17"/>
      <c r="S30" s="17"/>
      <c r="T30" s="17">
        <f>T29+U29+R30+S30-H30</f>
        <v>0</v>
      </c>
      <c r="U30" s="17">
        <f t="shared" ref="U30:U58" si="4">V30-V29</f>
        <v>0</v>
      </c>
      <c r="V30" s="18">
        <f>V29+T30*$F$23</f>
        <v>0</v>
      </c>
      <c r="W30" s="16">
        <f>IF(T30=0,0,W29+R30+S30-H30)</f>
        <v>0</v>
      </c>
    </row>
    <row r="31" spans="2:23" x14ac:dyDescent="0.35">
      <c r="B31" s="47">
        <f t="shared" si="0"/>
        <v>45048</v>
      </c>
      <c r="C31" s="48">
        <f t="shared" si="1"/>
        <v>45049</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8" si="5">IF((T30+U30-V30+R31+S31)&gt;0,IF($I$19=0,E31,0),0)+IF((T30+U30-V30+R31+S31)&gt;0,(IF((D31-F31)&gt;0,(IF((T30+U30-V30+R31+S31)&gt;(D31-F31),(D31-F31-IF($I$19=0,E31,0)),(T30+U30-V30+R31+S31-IF($I$19=0,E31,0)))),0)),0)</f>
        <v>0</v>
      </c>
      <c r="I31" s="13"/>
      <c r="J31" s="13"/>
      <c r="K31" s="13">
        <f t="shared" ref="K31:K59" si="6">IF(SUM($F$29:$F$53)&gt;=$I$19,0,ROUND(K30+L30-F31,2))</f>
        <v>2120.02</v>
      </c>
      <c r="L31" s="13">
        <f t="shared" ref="L31:L58" si="7">M31-M30</f>
        <v>1.31</v>
      </c>
      <c r="M31" s="13">
        <f t="shared" ref="M31:M59" si="8">IF(K31=0,0,M30+ROUND(K31*$F$22,2))</f>
        <v>3.9200000000000004</v>
      </c>
      <c r="N31" s="13">
        <f t="shared" si="3"/>
        <v>0</v>
      </c>
      <c r="O31" s="13">
        <f t="shared" ref="O31:O58" si="9">P31-P30</f>
        <v>0</v>
      </c>
      <c r="P31" s="13">
        <f t="shared" ref="P31:P58" si="10">ROUND(P30+N31*$F$22,2)</f>
        <v>0</v>
      </c>
      <c r="Q31" s="13">
        <f t="shared" ref="Q31:Q58" si="11">ROUND(N31+K31-M30-P30,2)</f>
        <v>2117.41</v>
      </c>
      <c r="R31" s="17"/>
      <c r="S31" s="17"/>
      <c r="T31" s="17">
        <f>T30+U30+R31+S31-H31</f>
        <v>0</v>
      </c>
      <c r="U31" s="17">
        <f t="shared" si="4"/>
        <v>0</v>
      </c>
      <c r="V31" s="18">
        <f t="shared" ref="V31:V58" si="12">V30+T31*$F$23</f>
        <v>0</v>
      </c>
      <c r="W31" s="16">
        <f t="shared" ref="W31:W58" si="13">IF(T31=0,0,W30+R31+S31-H31)</f>
        <v>0</v>
      </c>
    </row>
    <row r="32" spans="2:23" x14ac:dyDescent="0.35">
      <c r="B32" s="47">
        <f t="shared" si="0"/>
        <v>45049</v>
      </c>
      <c r="C32" s="48">
        <f t="shared" si="1"/>
        <v>45050</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5"/>
        <v>0</v>
      </c>
      <c r="I32" s="13"/>
      <c r="J32" s="13"/>
      <c r="K32" s="13">
        <f t="shared" si="6"/>
        <v>2121.33</v>
      </c>
      <c r="L32" s="13">
        <f t="shared" si="7"/>
        <v>1.31</v>
      </c>
      <c r="M32" s="13">
        <f t="shared" si="8"/>
        <v>5.23</v>
      </c>
      <c r="N32" s="13">
        <f t="shared" si="3"/>
        <v>0</v>
      </c>
      <c r="O32" s="13">
        <f t="shared" si="9"/>
        <v>0</v>
      </c>
      <c r="P32" s="13">
        <f t="shared" si="10"/>
        <v>0</v>
      </c>
      <c r="Q32" s="13">
        <f t="shared" si="11"/>
        <v>2117.41</v>
      </c>
      <c r="R32" s="17"/>
      <c r="S32" s="17"/>
      <c r="T32" s="17">
        <f>T31+U31+R32+S32-H32</f>
        <v>0</v>
      </c>
      <c r="U32" s="17">
        <f t="shared" si="4"/>
        <v>0</v>
      </c>
      <c r="V32" s="18">
        <f t="shared" si="12"/>
        <v>0</v>
      </c>
      <c r="W32" s="16">
        <f t="shared" si="13"/>
        <v>0</v>
      </c>
    </row>
    <row r="33" spans="2:23" x14ac:dyDescent="0.35">
      <c r="B33" s="47">
        <f t="shared" si="0"/>
        <v>45050</v>
      </c>
      <c r="C33" s="48">
        <f t="shared" si="1"/>
        <v>45051</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5"/>
        <v>0</v>
      </c>
      <c r="I33" s="13"/>
      <c r="J33" s="13"/>
      <c r="K33" s="13">
        <f t="shared" si="6"/>
        <v>2122.64</v>
      </c>
      <c r="L33" s="13">
        <f t="shared" si="7"/>
        <v>1.3100000000000005</v>
      </c>
      <c r="M33" s="13">
        <f t="shared" si="8"/>
        <v>6.5400000000000009</v>
      </c>
      <c r="N33" s="13">
        <f t="shared" si="3"/>
        <v>0</v>
      </c>
      <c r="O33" s="13">
        <f t="shared" si="9"/>
        <v>0</v>
      </c>
      <c r="P33" s="13">
        <f t="shared" si="10"/>
        <v>0</v>
      </c>
      <c r="Q33" s="13">
        <f t="shared" si="11"/>
        <v>2117.41</v>
      </c>
      <c r="R33" s="17"/>
      <c r="S33" s="17"/>
      <c r="T33" s="17">
        <f t="shared" ref="T33:T58" si="14">T32+U32+R33+S33-H33</f>
        <v>0</v>
      </c>
      <c r="U33" s="17">
        <f t="shared" si="4"/>
        <v>0</v>
      </c>
      <c r="V33" s="18">
        <f t="shared" si="12"/>
        <v>0</v>
      </c>
      <c r="W33" s="16">
        <f t="shared" si="13"/>
        <v>0</v>
      </c>
    </row>
    <row r="34" spans="2:23" x14ac:dyDescent="0.35">
      <c r="B34" s="47">
        <f t="shared" si="0"/>
        <v>45051</v>
      </c>
      <c r="C34" s="48">
        <f t="shared" si="1"/>
        <v>45052</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5"/>
        <v>0</v>
      </c>
      <c r="I34" s="13"/>
      <c r="J34" s="13"/>
      <c r="K34" s="13">
        <f t="shared" si="6"/>
        <v>2123.9499999999998</v>
      </c>
      <c r="L34" s="13">
        <f t="shared" si="7"/>
        <v>1.3100000000000005</v>
      </c>
      <c r="M34" s="13">
        <f t="shared" si="8"/>
        <v>7.8500000000000014</v>
      </c>
      <c r="N34" s="13">
        <f t="shared" si="3"/>
        <v>0</v>
      </c>
      <c r="O34" s="13">
        <f t="shared" si="9"/>
        <v>0</v>
      </c>
      <c r="P34" s="13">
        <f t="shared" si="10"/>
        <v>0</v>
      </c>
      <c r="Q34" s="13">
        <f t="shared" si="11"/>
        <v>2117.41</v>
      </c>
      <c r="R34" s="17"/>
      <c r="S34" s="17"/>
      <c r="T34" s="17">
        <f t="shared" si="14"/>
        <v>0</v>
      </c>
      <c r="U34" s="17">
        <f t="shared" si="4"/>
        <v>0</v>
      </c>
      <c r="V34" s="18">
        <f t="shared" si="12"/>
        <v>0</v>
      </c>
      <c r="W34" s="16">
        <f t="shared" si="13"/>
        <v>0</v>
      </c>
    </row>
    <row r="35" spans="2:23" x14ac:dyDescent="0.35">
      <c r="B35" s="47">
        <f t="shared" si="0"/>
        <v>45052</v>
      </c>
      <c r="C35" s="48">
        <f t="shared" si="1"/>
        <v>45053</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5"/>
        <v>0</v>
      </c>
      <c r="I35" s="13"/>
      <c r="J35" s="13"/>
      <c r="K35" s="13">
        <f t="shared" si="6"/>
        <v>2125.2600000000002</v>
      </c>
      <c r="L35" s="13">
        <f t="shared" si="7"/>
        <v>1.3100000000000005</v>
      </c>
      <c r="M35" s="13">
        <f t="shared" si="8"/>
        <v>9.1600000000000019</v>
      </c>
      <c r="N35" s="13">
        <f t="shared" si="3"/>
        <v>0</v>
      </c>
      <c r="O35" s="13">
        <f t="shared" si="9"/>
        <v>0</v>
      </c>
      <c r="P35" s="13">
        <f t="shared" si="10"/>
        <v>0</v>
      </c>
      <c r="Q35" s="13">
        <f t="shared" si="11"/>
        <v>2117.41</v>
      </c>
      <c r="R35" s="17"/>
      <c r="S35" s="17"/>
      <c r="T35" s="17">
        <f>T34+U34+R35+S35-H35</f>
        <v>0</v>
      </c>
      <c r="U35" s="17">
        <f t="shared" si="4"/>
        <v>0</v>
      </c>
      <c r="V35" s="18">
        <f t="shared" si="12"/>
        <v>0</v>
      </c>
      <c r="W35" s="16">
        <f t="shared" si="13"/>
        <v>0</v>
      </c>
    </row>
    <row r="36" spans="2:23" x14ac:dyDescent="0.35">
      <c r="B36" s="47">
        <f t="shared" si="0"/>
        <v>45053</v>
      </c>
      <c r="C36" s="48">
        <f t="shared" si="1"/>
        <v>45054</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5"/>
        <v>0</v>
      </c>
      <c r="I36" s="13"/>
      <c r="J36" s="13"/>
      <c r="K36" s="13">
        <f t="shared" si="6"/>
        <v>2126.5700000000002</v>
      </c>
      <c r="L36" s="13">
        <f t="shared" si="7"/>
        <v>1.3100000000000005</v>
      </c>
      <c r="M36" s="13">
        <f t="shared" si="8"/>
        <v>10.470000000000002</v>
      </c>
      <c r="N36" s="13">
        <f t="shared" si="3"/>
        <v>0</v>
      </c>
      <c r="O36" s="13">
        <f t="shared" si="9"/>
        <v>0</v>
      </c>
      <c r="P36" s="13">
        <f t="shared" si="10"/>
        <v>0</v>
      </c>
      <c r="Q36" s="13">
        <f t="shared" si="11"/>
        <v>2117.41</v>
      </c>
      <c r="R36" s="17"/>
      <c r="S36" s="17"/>
      <c r="T36" s="17">
        <f t="shared" si="14"/>
        <v>0</v>
      </c>
      <c r="U36" s="17">
        <f t="shared" si="4"/>
        <v>0</v>
      </c>
      <c r="V36" s="18">
        <f t="shared" si="12"/>
        <v>0</v>
      </c>
      <c r="W36" s="16">
        <f t="shared" si="13"/>
        <v>0</v>
      </c>
    </row>
    <row r="37" spans="2:23" x14ac:dyDescent="0.35">
      <c r="B37" s="47">
        <f t="shared" si="0"/>
        <v>45054</v>
      </c>
      <c r="C37" s="48">
        <f t="shared" si="1"/>
        <v>45055</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5"/>
        <v>0</v>
      </c>
      <c r="I37" s="13"/>
      <c r="J37" s="13"/>
      <c r="K37" s="13">
        <f t="shared" si="6"/>
        <v>2127.88</v>
      </c>
      <c r="L37" s="13">
        <f t="shared" si="7"/>
        <v>1.3100000000000005</v>
      </c>
      <c r="M37" s="13">
        <f t="shared" si="8"/>
        <v>11.780000000000003</v>
      </c>
      <c r="N37" s="13">
        <f t="shared" si="3"/>
        <v>0</v>
      </c>
      <c r="O37" s="13">
        <f t="shared" si="9"/>
        <v>0</v>
      </c>
      <c r="P37" s="13">
        <f t="shared" si="10"/>
        <v>0</v>
      </c>
      <c r="Q37" s="13">
        <f t="shared" si="11"/>
        <v>2117.41</v>
      </c>
      <c r="R37" s="17"/>
      <c r="S37" s="17"/>
      <c r="T37" s="17">
        <f t="shared" si="14"/>
        <v>0</v>
      </c>
      <c r="U37" s="17">
        <f t="shared" si="4"/>
        <v>0</v>
      </c>
      <c r="V37" s="18">
        <f t="shared" si="12"/>
        <v>0</v>
      </c>
      <c r="W37" s="16">
        <f t="shared" si="13"/>
        <v>0</v>
      </c>
    </row>
    <row r="38" spans="2:23" x14ac:dyDescent="0.35">
      <c r="B38" s="47">
        <f t="shared" si="0"/>
        <v>45055</v>
      </c>
      <c r="C38" s="48">
        <f t="shared" si="1"/>
        <v>45056</v>
      </c>
      <c r="D38" s="33"/>
      <c r="E38" s="13">
        <f>IF(SUM(E$29:E37)=$I$24,0,IF((D38&lt;=$I$24-SUM(E$29:E37)),D38,$I$24-SUM(E$29:E37)))</f>
        <v>0</v>
      </c>
      <c r="F38" s="13">
        <f>IF($I$19&gt;0,IF(SUM(F$29:F37)&lt;$I$19,IF((D38-E38)&gt;0,IF($I$20=0,IF($I$19-SUM(F$29:F37)&gt;D38,D38,$I$19-SUM(F$29:F37)),E38),D38),0)+IF($I$20&gt;0,IF(D38-$I$20-SUM($H$29:H37)-IF($I$19=0,0,E38)&gt;0,IF(D38-$I$20-SUM($H$29:H37)-IF($I$19=0,0,E38)&gt;$I$19,$I$19-SUM(F$29:F37)-E38,D38-$I$20-SUM($H$29:H37)-IF($I$19=0,0,E38)),0),0),0)</f>
        <v>0</v>
      </c>
      <c r="G38" s="13">
        <f t="shared" si="2"/>
        <v>0</v>
      </c>
      <c r="H38" s="17">
        <f t="shared" si="5"/>
        <v>0</v>
      </c>
      <c r="I38" s="13"/>
      <c r="J38" s="13"/>
      <c r="K38" s="13">
        <f t="shared" si="6"/>
        <v>2129.19</v>
      </c>
      <c r="L38" s="13">
        <f t="shared" si="7"/>
        <v>1.3100000000000005</v>
      </c>
      <c r="M38" s="13">
        <f t="shared" si="8"/>
        <v>13.090000000000003</v>
      </c>
      <c r="N38" s="13">
        <f t="shared" si="3"/>
        <v>0</v>
      </c>
      <c r="O38" s="13">
        <f t="shared" si="9"/>
        <v>0</v>
      </c>
      <c r="P38" s="13">
        <f t="shared" si="10"/>
        <v>0</v>
      </c>
      <c r="Q38" s="13">
        <f t="shared" si="11"/>
        <v>2117.41</v>
      </c>
      <c r="R38" s="17"/>
      <c r="S38" s="17"/>
      <c r="T38" s="17">
        <f t="shared" si="14"/>
        <v>0</v>
      </c>
      <c r="U38" s="17">
        <f t="shared" si="4"/>
        <v>0</v>
      </c>
      <c r="V38" s="18">
        <f t="shared" si="12"/>
        <v>0</v>
      </c>
      <c r="W38" s="16">
        <f t="shared" si="13"/>
        <v>0</v>
      </c>
    </row>
    <row r="39" spans="2:23" x14ac:dyDescent="0.35">
      <c r="B39" s="47">
        <f t="shared" si="0"/>
        <v>45056</v>
      </c>
      <c r="C39" s="48">
        <f t="shared" si="1"/>
        <v>45057</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5"/>
        <v>0</v>
      </c>
      <c r="I39" s="13"/>
      <c r="J39" s="13"/>
      <c r="K39" s="13">
        <f t="shared" si="6"/>
        <v>2130.5</v>
      </c>
      <c r="L39" s="13">
        <f t="shared" si="7"/>
        <v>1.3100000000000005</v>
      </c>
      <c r="M39" s="13">
        <f t="shared" si="8"/>
        <v>14.400000000000004</v>
      </c>
      <c r="N39" s="13">
        <f t="shared" si="3"/>
        <v>0</v>
      </c>
      <c r="O39" s="13">
        <f>P39-P38</f>
        <v>0</v>
      </c>
      <c r="P39" s="13">
        <f t="shared" si="10"/>
        <v>0</v>
      </c>
      <c r="Q39" s="13">
        <f t="shared" si="11"/>
        <v>2117.41</v>
      </c>
      <c r="R39" s="17"/>
      <c r="S39" s="17"/>
      <c r="T39" s="17">
        <f t="shared" si="14"/>
        <v>0</v>
      </c>
      <c r="U39" s="17">
        <f t="shared" si="4"/>
        <v>0</v>
      </c>
      <c r="V39" s="18">
        <f t="shared" si="12"/>
        <v>0</v>
      </c>
      <c r="W39" s="16">
        <f t="shared" si="13"/>
        <v>0</v>
      </c>
    </row>
    <row r="40" spans="2:23" x14ac:dyDescent="0.35">
      <c r="B40" s="47">
        <f t="shared" si="0"/>
        <v>45057</v>
      </c>
      <c r="C40" s="48">
        <f t="shared" si="1"/>
        <v>45058</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5"/>
        <v>0</v>
      </c>
      <c r="I40" s="13"/>
      <c r="J40" s="13"/>
      <c r="K40" s="13">
        <f t="shared" si="6"/>
        <v>2131.81</v>
      </c>
      <c r="L40" s="13">
        <f t="shared" si="7"/>
        <v>1.3100000000000005</v>
      </c>
      <c r="M40" s="13">
        <f t="shared" si="8"/>
        <v>15.710000000000004</v>
      </c>
      <c r="N40" s="13">
        <f t="shared" si="3"/>
        <v>0</v>
      </c>
      <c r="O40" s="13">
        <f t="shared" si="9"/>
        <v>0</v>
      </c>
      <c r="P40" s="13">
        <f t="shared" si="10"/>
        <v>0</v>
      </c>
      <c r="Q40" s="13">
        <f t="shared" si="11"/>
        <v>2117.41</v>
      </c>
      <c r="R40" s="17"/>
      <c r="S40" s="17"/>
      <c r="T40" s="17">
        <f t="shared" si="14"/>
        <v>0</v>
      </c>
      <c r="U40" s="17">
        <f t="shared" si="4"/>
        <v>0</v>
      </c>
      <c r="V40" s="18">
        <f t="shared" si="12"/>
        <v>0</v>
      </c>
      <c r="W40" s="16">
        <f t="shared" si="13"/>
        <v>0</v>
      </c>
    </row>
    <row r="41" spans="2:23" x14ac:dyDescent="0.35">
      <c r="B41" s="47">
        <f t="shared" si="0"/>
        <v>45058</v>
      </c>
      <c r="C41" s="48">
        <f t="shared" si="1"/>
        <v>45059</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5"/>
        <v>0</v>
      </c>
      <c r="I41" s="13"/>
      <c r="J41" s="13"/>
      <c r="K41" s="13">
        <f t="shared" si="6"/>
        <v>2133.12</v>
      </c>
      <c r="L41" s="13">
        <f t="shared" si="7"/>
        <v>1.3099999999999987</v>
      </c>
      <c r="M41" s="13">
        <f t="shared" si="8"/>
        <v>17.020000000000003</v>
      </c>
      <c r="N41" s="13">
        <f t="shared" si="3"/>
        <v>0</v>
      </c>
      <c r="O41" s="13">
        <f t="shared" si="9"/>
        <v>0</v>
      </c>
      <c r="P41" s="13">
        <f t="shared" si="10"/>
        <v>0</v>
      </c>
      <c r="Q41" s="13">
        <f t="shared" si="11"/>
        <v>2117.41</v>
      </c>
      <c r="R41" s="17"/>
      <c r="S41" s="17"/>
      <c r="T41" s="17">
        <f t="shared" si="14"/>
        <v>0</v>
      </c>
      <c r="U41" s="17">
        <f t="shared" si="4"/>
        <v>0</v>
      </c>
      <c r="V41" s="18">
        <f t="shared" si="12"/>
        <v>0</v>
      </c>
      <c r="W41" s="16">
        <f t="shared" si="13"/>
        <v>0</v>
      </c>
    </row>
    <row r="42" spans="2:23" x14ac:dyDescent="0.35">
      <c r="B42" s="47">
        <f>C42-2</f>
        <v>45058</v>
      </c>
      <c r="C42" s="48">
        <f t="shared" si="1"/>
        <v>45060</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5"/>
        <v>0</v>
      </c>
      <c r="I42" s="13"/>
      <c r="J42" s="13"/>
      <c r="K42" s="13">
        <f t="shared" si="6"/>
        <v>2134.4299999999998</v>
      </c>
      <c r="L42" s="13">
        <f t="shared" si="7"/>
        <v>1.3200000000000003</v>
      </c>
      <c r="M42" s="13">
        <f t="shared" si="8"/>
        <v>18.340000000000003</v>
      </c>
      <c r="N42" s="13">
        <f t="shared" si="3"/>
        <v>0</v>
      </c>
      <c r="O42" s="13">
        <f t="shared" si="9"/>
        <v>0</v>
      </c>
      <c r="P42" s="13">
        <f t="shared" si="10"/>
        <v>0</v>
      </c>
      <c r="Q42" s="13">
        <f t="shared" si="11"/>
        <v>2117.41</v>
      </c>
      <c r="R42" s="17"/>
      <c r="S42" s="17"/>
      <c r="T42" s="17">
        <f>T41+U41+R42+S42-H42</f>
        <v>0</v>
      </c>
      <c r="U42" s="17">
        <f>V42-V41</f>
        <v>0</v>
      </c>
      <c r="V42" s="18">
        <f t="shared" si="12"/>
        <v>0</v>
      </c>
      <c r="W42" s="16">
        <f t="shared" si="13"/>
        <v>0</v>
      </c>
    </row>
    <row r="43" spans="2:23" s="90" customFormat="1" x14ac:dyDescent="0.35">
      <c r="B43" s="84">
        <f t="shared" si="0"/>
        <v>45060</v>
      </c>
      <c r="C43" s="85">
        <f t="shared" si="1"/>
        <v>45061</v>
      </c>
      <c r="D43" s="86"/>
      <c r="E43" s="87">
        <f>IF(SUM(E$29:E42)=$I$24,0,IF((D43&lt;=$I$24-SUM(E$29:E42)),D43,$I$24-SUM(E$29:E42)))</f>
        <v>0</v>
      </c>
      <c r="F43" s="87">
        <f>IF($I$19&gt;0,IF(SUM(F$29:F42)&lt;$I$19,IF((D43-E43)&gt;0,IF($I$20=0,IF($I$19-SUM(F$29:F42)&gt;D43,D43,$I$19-SUM(F$29:F42)),E43),D43),0)+IF($I$20&gt;0,IF(D43-$I$20-SUM($H$29:H42)-IF($I$19=0,0,E43)&gt;0,IF(D43-$I$20-SUM($H$29:H42)-IF($I$19=0,0,E43)&gt;$I$19,$I$19-SUM(F$29:F42)-E43,D43-$I$20-SUM($H$29:H42)-IF($I$19=0,0,E43)),0),0),0)</f>
        <v>0</v>
      </c>
      <c r="G43" s="87">
        <f t="shared" si="2"/>
        <v>0</v>
      </c>
      <c r="H43" s="87">
        <f t="shared" si="5"/>
        <v>0</v>
      </c>
      <c r="I43" s="87"/>
      <c r="J43" s="87"/>
      <c r="K43" s="87">
        <f t="shared" si="6"/>
        <v>2135.75</v>
      </c>
      <c r="L43" s="87">
        <f t="shared" si="7"/>
        <v>1.3200000000000003</v>
      </c>
      <c r="M43" s="87">
        <f t="shared" si="8"/>
        <v>19.660000000000004</v>
      </c>
      <c r="N43" s="87">
        <f>ROUND(N42+I43+J43+O42-G43,2)</f>
        <v>0</v>
      </c>
      <c r="O43" s="87">
        <f t="shared" si="9"/>
        <v>0</v>
      </c>
      <c r="P43" s="87">
        <f t="shared" si="10"/>
        <v>0</v>
      </c>
      <c r="Q43" s="87">
        <f t="shared" si="11"/>
        <v>2117.41</v>
      </c>
      <c r="R43" s="87"/>
      <c r="S43" s="87"/>
      <c r="T43" s="87">
        <f>T42+U42+R43+S43-H43</f>
        <v>0</v>
      </c>
      <c r="U43" s="87">
        <f t="shared" si="4"/>
        <v>0</v>
      </c>
      <c r="V43" s="88">
        <f t="shared" si="12"/>
        <v>0</v>
      </c>
      <c r="W43" s="89">
        <f t="shared" si="13"/>
        <v>0</v>
      </c>
    </row>
    <row r="44" spans="2:23" x14ac:dyDescent="0.35">
      <c r="B44" s="47">
        <f t="shared" si="0"/>
        <v>45061</v>
      </c>
      <c r="C44" s="48">
        <f t="shared" si="1"/>
        <v>45062</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5"/>
        <v>0</v>
      </c>
      <c r="I44" s="13"/>
      <c r="J44" s="13"/>
      <c r="K44" s="13">
        <f t="shared" si="6"/>
        <v>2137.0700000000002</v>
      </c>
      <c r="L44" s="13">
        <f t="shared" si="7"/>
        <v>1.3200000000000003</v>
      </c>
      <c r="M44" s="13">
        <f t="shared" si="8"/>
        <v>20.980000000000004</v>
      </c>
      <c r="N44" s="13">
        <f t="shared" si="3"/>
        <v>0</v>
      </c>
      <c r="O44" s="13">
        <f t="shared" si="9"/>
        <v>0</v>
      </c>
      <c r="P44" s="13">
        <f t="shared" si="10"/>
        <v>0</v>
      </c>
      <c r="Q44" s="13">
        <f t="shared" si="11"/>
        <v>2117.41</v>
      </c>
      <c r="R44" s="17"/>
      <c r="S44" s="17"/>
      <c r="T44" s="17">
        <f t="shared" si="14"/>
        <v>0</v>
      </c>
      <c r="U44" s="17">
        <f t="shared" si="4"/>
        <v>0</v>
      </c>
      <c r="V44" s="18">
        <f t="shared" si="12"/>
        <v>0</v>
      </c>
      <c r="W44" s="16">
        <f t="shared" si="13"/>
        <v>0</v>
      </c>
    </row>
    <row r="45" spans="2:23" x14ac:dyDescent="0.35">
      <c r="B45" s="47">
        <f t="shared" si="0"/>
        <v>45062</v>
      </c>
      <c r="C45" s="48">
        <f t="shared" si="1"/>
        <v>45063</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5"/>
        <v>0</v>
      </c>
      <c r="I45" s="13"/>
      <c r="J45" s="13"/>
      <c r="K45" s="13">
        <f t="shared" si="6"/>
        <v>2138.39</v>
      </c>
      <c r="L45" s="13">
        <f t="shared" si="7"/>
        <v>1.3200000000000003</v>
      </c>
      <c r="M45" s="13">
        <f t="shared" si="8"/>
        <v>22.300000000000004</v>
      </c>
      <c r="N45" s="13">
        <f t="shared" si="3"/>
        <v>0</v>
      </c>
      <c r="O45" s="13">
        <f t="shared" si="9"/>
        <v>0</v>
      </c>
      <c r="P45" s="13">
        <f t="shared" si="10"/>
        <v>0</v>
      </c>
      <c r="Q45" s="13">
        <f t="shared" si="11"/>
        <v>2117.41</v>
      </c>
      <c r="R45" s="17"/>
      <c r="S45" s="17"/>
      <c r="T45" s="17">
        <f t="shared" si="14"/>
        <v>0</v>
      </c>
      <c r="U45" s="17">
        <f t="shared" si="4"/>
        <v>0</v>
      </c>
      <c r="V45" s="18">
        <f t="shared" si="12"/>
        <v>0</v>
      </c>
      <c r="W45" s="16">
        <f>IF(T45=0,0,W44+R45+S45-H45)</f>
        <v>0</v>
      </c>
    </row>
    <row r="46" spans="2:23" x14ac:dyDescent="0.35">
      <c r="B46" s="47">
        <f t="shared" si="0"/>
        <v>45063</v>
      </c>
      <c r="C46" s="48">
        <f t="shared" si="1"/>
        <v>45064</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5"/>
        <v>0</v>
      </c>
      <c r="I46" s="13"/>
      <c r="J46" s="13"/>
      <c r="K46" s="13">
        <f t="shared" si="6"/>
        <v>2139.71</v>
      </c>
      <c r="L46" s="13">
        <f t="shared" si="7"/>
        <v>1.3200000000000003</v>
      </c>
      <c r="M46" s="13">
        <f t="shared" si="8"/>
        <v>23.620000000000005</v>
      </c>
      <c r="N46" s="13">
        <f t="shared" si="3"/>
        <v>0</v>
      </c>
      <c r="O46" s="13">
        <f t="shared" si="9"/>
        <v>0</v>
      </c>
      <c r="P46" s="13">
        <f t="shared" si="10"/>
        <v>0</v>
      </c>
      <c r="Q46" s="13">
        <f t="shared" si="11"/>
        <v>2117.41</v>
      </c>
      <c r="R46" s="17"/>
      <c r="S46" s="17"/>
      <c r="T46" s="17">
        <f t="shared" si="14"/>
        <v>0</v>
      </c>
      <c r="U46" s="17">
        <f t="shared" si="4"/>
        <v>0</v>
      </c>
      <c r="V46" s="18">
        <f t="shared" si="12"/>
        <v>0</v>
      </c>
      <c r="W46" s="16">
        <f>IF(T46=0,0,W45+R46+S46-H46)</f>
        <v>0</v>
      </c>
    </row>
    <row r="47" spans="2:23" s="90" customFormat="1" x14ac:dyDescent="0.35">
      <c r="B47" s="84">
        <f t="shared" si="0"/>
        <v>45064</v>
      </c>
      <c r="C47" s="85">
        <f t="shared" si="1"/>
        <v>45065</v>
      </c>
      <c r="D47" s="86"/>
      <c r="E47" s="87">
        <f>IF(SUM(E$29:E46)=$I$24,0,IF((D47&lt;=$I$24-SUM(E$29:E46)),D47,$I$24-SUM(E$29:E46)))</f>
        <v>0</v>
      </c>
      <c r="F47" s="87">
        <f>IF($I$19&gt;0,IF(SUM(F$29:F46)&lt;$I$19,IF((D47-E47)&gt;0,IF($I$20=0,IF($I$19-SUM(F$29:F46)&gt;D47,D47,$I$19-SUM(F$29:F46)),E47),D47),0)+IF($I$20&gt;0,IF(D47-$I$20-SUM($H$29:H46)-IF($I$19=0,0,E47)&gt;0,IF(D47-$I$20-SUM($H$29:H46)-IF($I$19=0,0,E47)&gt;$I$19,$I$19-SUM(F$29:F46)-E47,D47-$I$20-SUM($H$29:H46)-IF($I$19=0,0,E47)),0),0),0)</f>
        <v>0</v>
      </c>
      <c r="G47" s="87">
        <f t="shared" si="2"/>
        <v>0</v>
      </c>
      <c r="H47" s="87">
        <f t="shared" si="5"/>
        <v>0</v>
      </c>
      <c r="I47" s="87"/>
      <c r="J47" s="87"/>
      <c r="K47" s="87">
        <f t="shared" si="6"/>
        <v>2141.0300000000002</v>
      </c>
      <c r="L47" s="87">
        <f t="shared" si="7"/>
        <v>1.3200000000000003</v>
      </c>
      <c r="M47" s="13">
        <f t="shared" si="8"/>
        <v>24.940000000000005</v>
      </c>
      <c r="N47" s="87">
        <f t="shared" si="3"/>
        <v>0</v>
      </c>
      <c r="O47" s="87">
        <f t="shared" si="9"/>
        <v>0</v>
      </c>
      <c r="P47" s="87">
        <f t="shared" si="10"/>
        <v>0</v>
      </c>
      <c r="Q47" s="87">
        <f t="shared" si="11"/>
        <v>2117.41</v>
      </c>
      <c r="R47" s="87"/>
      <c r="S47" s="87"/>
      <c r="T47" s="87">
        <f t="shared" si="14"/>
        <v>0</v>
      </c>
      <c r="U47" s="87">
        <f t="shared" si="4"/>
        <v>0</v>
      </c>
      <c r="V47" s="88">
        <f t="shared" si="12"/>
        <v>0</v>
      </c>
      <c r="W47" s="89">
        <f t="shared" si="13"/>
        <v>0</v>
      </c>
    </row>
    <row r="48" spans="2:23" s="90" customFormat="1" x14ac:dyDescent="0.35">
      <c r="B48" s="84">
        <f t="shared" si="0"/>
        <v>45065</v>
      </c>
      <c r="C48" s="85">
        <f t="shared" si="1"/>
        <v>45066</v>
      </c>
      <c r="D48" s="86"/>
      <c r="E48" s="87">
        <f>IF(SUM(E$29:E47)=$I$24,0,IF((D48&lt;=$I$24-SUM(E$29:E47)),D48,$I$24-SUM(E$29:E47)))</f>
        <v>0</v>
      </c>
      <c r="F48" s="87">
        <f>IF($I$19&gt;0,IF(SUM(F$29:F47)&lt;$I$19,IF((D48-E48)&gt;0,IF($I$20=0,IF($I$19-SUM(F$29:F47)&gt;D48,D48,$I$19-SUM(F$29:F47)),E48),D48),0)+IF($I$20&gt;0,IF(D48-$I$20-SUM($H$29:H47)-IF($I$19=0,0,E48)&gt;0,IF(D48-$I$20-SUM($H$29:H47)-IF($I$19=0,0,E48)&gt;$I$19,$I$19-SUM(F$29:F47)-E48,D48-$I$20-SUM($H$29:H47)-IF($I$19=0,0,E48)),0),0),0)</f>
        <v>0</v>
      </c>
      <c r="G48" s="87">
        <f t="shared" si="2"/>
        <v>0</v>
      </c>
      <c r="H48" s="87">
        <f t="shared" si="5"/>
        <v>0</v>
      </c>
      <c r="I48" s="87"/>
      <c r="J48" s="87"/>
      <c r="K48" s="87">
        <f t="shared" si="6"/>
        <v>2142.35</v>
      </c>
      <c r="L48" s="87">
        <f t="shared" si="7"/>
        <v>1.3200000000000003</v>
      </c>
      <c r="M48" s="87">
        <f t="shared" si="8"/>
        <v>26.260000000000005</v>
      </c>
      <c r="N48" s="87">
        <f t="shared" si="3"/>
        <v>0</v>
      </c>
      <c r="O48" s="87">
        <f t="shared" si="9"/>
        <v>0</v>
      </c>
      <c r="P48" s="87">
        <f t="shared" si="10"/>
        <v>0</v>
      </c>
      <c r="Q48" s="87">
        <f t="shared" si="11"/>
        <v>2117.41</v>
      </c>
      <c r="R48" s="87"/>
      <c r="S48" s="87"/>
      <c r="T48" s="87">
        <f t="shared" si="14"/>
        <v>0</v>
      </c>
      <c r="U48" s="87">
        <f t="shared" si="4"/>
        <v>0</v>
      </c>
      <c r="V48" s="88">
        <f t="shared" si="12"/>
        <v>0</v>
      </c>
      <c r="W48" s="89">
        <f t="shared" si="13"/>
        <v>0</v>
      </c>
    </row>
    <row r="49" spans="2:23" x14ac:dyDescent="0.35">
      <c r="B49" s="47">
        <f t="shared" si="0"/>
        <v>45066</v>
      </c>
      <c r="C49" s="48">
        <f t="shared" si="1"/>
        <v>45067</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5"/>
        <v>0</v>
      </c>
      <c r="I49" s="13"/>
      <c r="J49" s="13"/>
      <c r="K49" s="13">
        <f t="shared" si="6"/>
        <v>2143.67</v>
      </c>
      <c r="L49" s="13">
        <f t="shared" si="7"/>
        <v>1.3200000000000003</v>
      </c>
      <c r="M49" s="13">
        <f t="shared" si="8"/>
        <v>27.580000000000005</v>
      </c>
      <c r="N49" s="13">
        <f t="shared" si="3"/>
        <v>0</v>
      </c>
      <c r="O49" s="13">
        <f t="shared" si="9"/>
        <v>0</v>
      </c>
      <c r="P49" s="13">
        <f t="shared" si="10"/>
        <v>0</v>
      </c>
      <c r="Q49" s="13">
        <f t="shared" si="11"/>
        <v>2117.41</v>
      </c>
      <c r="R49" s="17"/>
      <c r="S49" s="17"/>
      <c r="T49" s="17">
        <f t="shared" si="14"/>
        <v>0</v>
      </c>
      <c r="U49" s="17">
        <f t="shared" si="4"/>
        <v>0</v>
      </c>
      <c r="V49" s="18">
        <f t="shared" si="12"/>
        <v>0</v>
      </c>
      <c r="W49" s="16">
        <f t="shared" si="13"/>
        <v>0</v>
      </c>
    </row>
    <row r="50" spans="2:23" x14ac:dyDescent="0.35">
      <c r="B50" s="47">
        <f t="shared" si="0"/>
        <v>45067</v>
      </c>
      <c r="C50" s="48">
        <f t="shared" si="1"/>
        <v>45068</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5"/>
        <v>0</v>
      </c>
      <c r="I50" s="13"/>
      <c r="J50" s="13"/>
      <c r="K50" s="13">
        <f t="shared" si="6"/>
        <v>2144.9899999999998</v>
      </c>
      <c r="L50" s="13">
        <f t="shared" si="7"/>
        <v>1.3200000000000003</v>
      </c>
      <c r="M50" s="13">
        <f t="shared" si="8"/>
        <v>28.900000000000006</v>
      </c>
      <c r="N50" s="13">
        <f t="shared" si="3"/>
        <v>0</v>
      </c>
      <c r="O50" s="13">
        <f t="shared" si="9"/>
        <v>0</v>
      </c>
      <c r="P50" s="13">
        <f t="shared" si="10"/>
        <v>0</v>
      </c>
      <c r="Q50" s="13">
        <f t="shared" si="11"/>
        <v>2117.41</v>
      </c>
      <c r="R50" s="17"/>
      <c r="S50" s="17"/>
      <c r="T50" s="17">
        <f t="shared" si="14"/>
        <v>0</v>
      </c>
      <c r="U50" s="17">
        <f t="shared" si="4"/>
        <v>0</v>
      </c>
      <c r="V50" s="18">
        <f t="shared" si="12"/>
        <v>0</v>
      </c>
      <c r="W50" s="16">
        <f t="shared" si="13"/>
        <v>0</v>
      </c>
    </row>
    <row r="51" spans="2:23" s="90" customFormat="1" x14ac:dyDescent="0.35">
      <c r="B51" s="84">
        <f t="shared" si="0"/>
        <v>45068</v>
      </c>
      <c r="C51" s="85">
        <f t="shared" si="1"/>
        <v>45069</v>
      </c>
      <c r="D51" s="86"/>
      <c r="E51" s="87">
        <f>IF(SUM(E$29:E50)=$I$24,0,IF((D51&lt;=$I$24-SUM(E$29:E50)),D51,$I$24-SUM(E$29:E50)))</f>
        <v>0</v>
      </c>
      <c r="F51" s="87">
        <f>IF($I$19&gt;0,IF(SUM(F$29:F50)&lt;$I$19,IF((D51-E51)&gt;0,IF($I$20=0,IF($I$19-SUM(F$29:F50)&gt;D51,D51,$I$19-SUM(F$29:F50)),E51),D51),0)+IF($I$20&gt;0,IF(D51-$I$20-SUM($H$29:H50)-IF($I$19=0,0,E51)&gt;0,IF(D51-$I$20-SUM($H$29:H50)-IF($I$19=0,0,E51)&gt;$I$19,$I$19-SUM(F$29:F50)-E51,D51-$I$20-SUM($H$29:H50)-IF($I$19=0,0,E51)),0),0),0)</f>
        <v>0</v>
      </c>
      <c r="G51" s="87">
        <f t="shared" si="2"/>
        <v>0</v>
      </c>
      <c r="H51" s="87">
        <f t="shared" si="5"/>
        <v>0</v>
      </c>
      <c r="I51" s="87">
        <v>1000</v>
      </c>
      <c r="J51" s="87">
        <v>4</v>
      </c>
      <c r="K51" s="87">
        <f t="shared" si="6"/>
        <v>2146.31</v>
      </c>
      <c r="L51" s="87">
        <f t="shared" si="7"/>
        <v>1.3200000000000003</v>
      </c>
      <c r="M51" s="87">
        <f t="shared" si="8"/>
        <v>30.220000000000006</v>
      </c>
      <c r="N51" s="87">
        <f t="shared" si="3"/>
        <v>1004</v>
      </c>
      <c r="O51" s="87">
        <f t="shared" si="9"/>
        <v>0.62</v>
      </c>
      <c r="P51" s="87">
        <f t="shared" si="10"/>
        <v>0.62</v>
      </c>
      <c r="Q51" s="87">
        <f t="shared" si="11"/>
        <v>3121.41</v>
      </c>
      <c r="R51" s="87"/>
      <c r="S51" s="87"/>
      <c r="T51" s="87">
        <f t="shared" si="14"/>
        <v>0</v>
      </c>
      <c r="U51" s="87">
        <f t="shared" si="4"/>
        <v>0</v>
      </c>
      <c r="V51" s="88">
        <f t="shared" si="12"/>
        <v>0</v>
      </c>
      <c r="W51" s="89">
        <f t="shared" si="13"/>
        <v>0</v>
      </c>
    </row>
    <row r="52" spans="2:23" x14ac:dyDescent="0.35">
      <c r="B52" s="47">
        <f t="shared" si="0"/>
        <v>45069</v>
      </c>
      <c r="C52" s="48">
        <f t="shared" si="1"/>
        <v>45070</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5"/>
        <v>0</v>
      </c>
      <c r="I52" s="13"/>
      <c r="J52" s="13"/>
      <c r="K52" s="13">
        <f t="shared" si="6"/>
        <v>2147.63</v>
      </c>
      <c r="L52" s="13">
        <f t="shared" si="7"/>
        <v>1.3200000000000003</v>
      </c>
      <c r="M52" s="13">
        <f t="shared" si="8"/>
        <v>31.540000000000006</v>
      </c>
      <c r="N52" s="13">
        <f t="shared" si="3"/>
        <v>1004.62</v>
      </c>
      <c r="O52" s="13">
        <f t="shared" si="9"/>
        <v>0.62</v>
      </c>
      <c r="P52" s="13">
        <f t="shared" si="10"/>
        <v>1.24</v>
      </c>
      <c r="Q52" s="13">
        <f t="shared" si="11"/>
        <v>3121.41</v>
      </c>
      <c r="R52" s="17"/>
      <c r="S52" s="17"/>
      <c r="T52" s="17">
        <f t="shared" si="14"/>
        <v>0</v>
      </c>
      <c r="U52" s="17">
        <f t="shared" si="4"/>
        <v>0</v>
      </c>
      <c r="V52" s="18">
        <f t="shared" si="12"/>
        <v>0</v>
      </c>
      <c r="W52" s="16">
        <f t="shared" si="13"/>
        <v>0</v>
      </c>
    </row>
    <row r="53" spans="2:23" s="90" customFormat="1" x14ac:dyDescent="0.35">
      <c r="B53" s="84">
        <f t="shared" si="0"/>
        <v>45070</v>
      </c>
      <c r="C53" s="85">
        <f t="shared" si="1"/>
        <v>45071</v>
      </c>
      <c r="D53" s="86"/>
      <c r="E53" s="87">
        <f>IF(SUM(E$29:E52)=$I$24,0,IF((D53&lt;=$I$24-SUM(E$29:E52)),D53,$I$24-SUM(E$29:E52)))</f>
        <v>0</v>
      </c>
      <c r="F53" s="87">
        <f>IF($I$19&gt;0,IF(SUM(F$29:F52)&lt;$I$19,IF((D53-E53)&gt;0,IF($I$20=0,IF($I$19-SUM(F$29:F52)&gt;D53,D53,$I$19-SUM(F$29:F52)),E53),D53),0)+IF($I$20&gt;0,IF(D53-$I$20-SUM($H$29:H52)-IF($I$19=0,0,E53)&gt;0,IF(D53-$I$20-SUM($H$29:H52)-IF($I$19=0,0,E53)&gt;$I$19,$I$19-SUM(F$29:F52)-E53,D53-$I$20-SUM($H$29:H52)-IF($I$19=0,0,E53)),0),0),0)</f>
        <v>0</v>
      </c>
      <c r="G53" s="87">
        <f t="shared" si="2"/>
        <v>0</v>
      </c>
      <c r="H53" s="87">
        <f t="shared" si="5"/>
        <v>0</v>
      </c>
      <c r="I53" s="87"/>
      <c r="J53" s="87"/>
      <c r="K53" s="87">
        <f t="shared" si="6"/>
        <v>2148.9499999999998</v>
      </c>
      <c r="L53" s="87">
        <f t="shared" si="7"/>
        <v>1.3200000000000003</v>
      </c>
      <c r="M53" s="87">
        <f t="shared" si="8"/>
        <v>32.860000000000007</v>
      </c>
      <c r="N53" s="87">
        <f t="shared" si="3"/>
        <v>1005.24</v>
      </c>
      <c r="O53" s="87">
        <f t="shared" si="9"/>
        <v>0.62000000000000011</v>
      </c>
      <c r="P53" s="87">
        <f t="shared" si="10"/>
        <v>1.86</v>
      </c>
      <c r="Q53" s="87">
        <f t="shared" si="11"/>
        <v>3121.41</v>
      </c>
      <c r="R53" s="87"/>
      <c r="S53" s="87"/>
      <c r="T53" s="87">
        <f t="shared" si="14"/>
        <v>0</v>
      </c>
      <c r="U53" s="87">
        <f t="shared" si="4"/>
        <v>0</v>
      </c>
      <c r="V53" s="88">
        <f t="shared" si="12"/>
        <v>0</v>
      </c>
      <c r="W53" s="89">
        <f t="shared" si="13"/>
        <v>0</v>
      </c>
    </row>
    <row r="54" spans="2:23" x14ac:dyDescent="0.35">
      <c r="B54" s="47">
        <f t="shared" si="0"/>
        <v>45071</v>
      </c>
      <c r="C54" s="48">
        <f t="shared" si="1"/>
        <v>45072</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5"/>
        <v>0</v>
      </c>
      <c r="I54" s="13"/>
      <c r="J54" s="13"/>
      <c r="K54" s="13">
        <f t="shared" si="6"/>
        <v>2150.27</v>
      </c>
      <c r="L54" s="13">
        <f t="shared" si="7"/>
        <v>1.3200000000000003</v>
      </c>
      <c r="M54" s="13">
        <f t="shared" si="8"/>
        <v>34.180000000000007</v>
      </c>
      <c r="N54" s="13">
        <f t="shared" si="3"/>
        <v>1005.86</v>
      </c>
      <c r="O54" s="13">
        <f t="shared" si="9"/>
        <v>0.61999999999999988</v>
      </c>
      <c r="P54" s="13">
        <f t="shared" si="10"/>
        <v>2.48</v>
      </c>
      <c r="Q54" s="13">
        <f t="shared" si="11"/>
        <v>3121.41</v>
      </c>
      <c r="R54" s="17"/>
      <c r="S54" s="17"/>
      <c r="T54" s="17">
        <f t="shared" si="14"/>
        <v>0</v>
      </c>
      <c r="U54" s="17">
        <f t="shared" si="4"/>
        <v>0</v>
      </c>
      <c r="V54" s="18">
        <f t="shared" si="12"/>
        <v>0</v>
      </c>
      <c r="W54" s="16">
        <f t="shared" si="13"/>
        <v>0</v>
      </c>
    </row>
    <row r="55" spans="2:23" s="99" customFormat="1" x14ac:dyDescent="0.35">
      <c r="B55" s="93">
        <f t="shared" si="0"/>
        <v>45072</v>
      </c>
      <c r="C55" s="94">
        <f t="shared" si="1"/>
        <v>45073</v>
      </c>
      <c r="D55" s="95"/>
      <c r="E55" s="96">
        <f>IF(SUM(E$29:E54)=$I$24,0,IF((D55&lt;=$I$24-SUM(E$29:E54)),D55,$I$24-SUM(E$29:E54)))</f>
        <v>0</v>
      </c>
      <c r="F55" s="96">
        <f>IF($I$19&gt;0,IF(SUM(F$29:F54)&lt;$I$19,IF((D55-E55)&gt;0,IF($I$20=0,IF($I$19-SUM(F$29:F54)&gt;D55,D55,$I$19-SUM(F$29:F54)),E55),D55),0)+IF($I$20&gt;0,IF(D55-$I$20-SUM($H$29:H54)-IF($I$19=0,0,E55)&gt;0,IF(D55-$I$20-SUM($H$29:H54)-IF($I$19=0,0,E55)&gt;$I$19,$I$19-SUM(F$29:F54)-E55,D55-$I$20-SUM($H$29:H54)-IF($I$19=0,0,E55)),0),0),0)</f>
        <v>0</v>
      </c>
      <c r="G55" s="96">
        <f t="shared" si="2"/>
        <v>0</v>
      </c>
      <c r="H55" s="96">
        <f t="shared" si="5"/>
        <v>0</v>
      </c>
      <c r="I55" s="96"/>
      <c r="J55" s="96"/>
      <c r="K55" s="96">
        <f t="shared" si="6"/>
        <v>2151.59</v>
      </c>
      <c r="L55" s="96">
        <f t="shared" si="7"/>
        <v>1.3299999999999983</v>
      </c>
      <c r="M55" s="96">
        <f t="shared" si="8"/>
        <v>35.510000000000005</v>
      </c>
      <c r="N55" s="96">
        <f t="shared" si="3"/>
        <v>1006.48</v>
      </c>
      <c r="O55" s="96">
        <f t="shared" si="9"/>
        <v>0.62000000000000011</v>
      </c>
      <c r="P55" s="96">
        <f t="shared" si="10"/>
        <v>3.1</v>
      </c>
      <c r="Q55" s="96">
        <f t="shared" si="11"/>
        <v>3121.41</v>
      </c>
      <c r="R55" s="96"/>
      <c r="S55" s="96"/>
      <c r="T55" s="96">
        <f t="shared" si="14"/>
        <v>0</v>
      </c>
      <c r="U55" s="96">
        <f t="shared" si="4"/>
        <v>0</v>
      </c>
      <c r="V55" s="97">
        <f t="shared" si="12"/>
        <v>0</v>
      </c>
      <c r="W55" s="98">
        <f t="shared" si="13"/>
        <v>0</v>
      </c>
    </row>
    <row r="56" spans="2:23" s="90" customFormat="1" x14ac:dyDescent="0.35">
      <c r="B56" s="84">
        <f t="shared" si="0"/>
        <v>45073</v>
      </c>
      <c r="C56" s="85">
        <f t="shared" si="1"/>
        <v>45074</v>
      </c>
      <c r="D56" s="86">
        <v>200</v>
      </c>
      <c r="E56" s="92">
        <f>IF(SUM(E$29:E55)=$I$24,0,IF((D56&lt;=$I$24-SUM(E$29:E55)),D56,$I$24-SUM(E$29:E55)))</f>
        <v>110.37</v>
      </c>
      <c r="F56" s="87">
        <f>IF($I$19&gt;0,IF(SUM(F$29:F55)&lt;$I$19,IF((D56-E56)&gt;0,IF($I$20=0,IF($I$19-SUM(F$29:F55)&gt;D56,D56,$I$19-SUM(F$29:F55)),E56),D56),0)+IF($I$20&gt;0,IF(D56-$I$20-SUM($H$29:H55)-IF($I$19=0,0,E56)&gt;0,IF(D56-$I$20-SUM($H$29:H55)-IF($I$19=0,0,E56)&gt;$I$19,$I$19-SUM(F$29:F55)-E56,D56-$I$20-SUM($H$29:H55)-IF($I$19=0,0,E56)),0),0),0)</f>
        <v>200</v>
      </c>
      <c r="G56" s="87">
        <f t="shared" si="2"/>
        <v>0</v>
      </c>
      <c r="H56" s="87">
        <f t="shared" si="5"/>
        <v>0</v>
      </c>
      <c r="I56" s="87"/>
      <c r="J56" s="87"/>
      <c r="K56" s="87">
        <f t="shared" si="6"/>
        <v>1952.92</v>
      </c>
      <c r="L56" s="87">
        <f t="shared" si="7"/>
        <v>1.2000000000000028</v>
      </c>
      <c r="M56" s="87">
        <f t="shared" si="8"/>
        <v>36.710000000000008</v>
      </c>
      <c r="N56" s="87">
        <f t="shared" si="3"/>
        <v>1007.1</v>
      </c>
      <c r="O56" s="87">
        <f t="shared" si="9"/>
        <v>0.62000000000000011</v>
      </c>
      <c r="P56" s="87">
        <f t="shared" si="10"/>
        <v>3.72</v>
      </c>
      <c r="Q56" s="87">
        <f t="shared" si="11"/>
        <v>2921.41</v>
      </c>
      <c r="R56" s="87"/>
      <c r="S56" s="87"/>
      <c r="T56" s="87">
        <f t="shared" si="14"/>
        <v>0</v>
      </c>
      <c r="U56" s="87">
        <f t="shared" si="4"/>
        <v>0</v>
      </c>
      <c r="V56" s="88">
        <f t="shared" si="12"/>
        <v>0</v>
      </c>
      <c r="W56" s="89">
        <f t="shared" si="13"/>
        <v>0</v>
      </c>
    </row>
    <row r="57" spans="2:23" x14ac:dyDescent="0.35">
      <c r="B57" s="47">
        <f t="shared" si="0"/>
        <v>45074</v>
      </c>
      <c r="C57" s="48">
        <f t="shared" si="1"/>
        <v>45075</v>
      </c>
      <c r="D57" s="33"/>
      <c r="E57" s="13">
        <f>IF(SUM(E$29:E56)=$I$24,0,IF((D57&lt;=$I$24-SUM(E$29:E56)),D57,$I$24-SUM(E$29:E56)))</f>
        <v>0</v>
      </c>
      <c r="F57" s="13">
        <f>IF($I$19&gt;0,IF(SUM(F$29:F56)&lt;$I$19,IF((D57-E57)&gt;0,IF($I$20=0,IF($I$19-SUM(F$29:F56)&gt;D57,D57,$I$19-SUM(F$29:F56)),E57),D57),0)+IF($I$20&gt;0,IF(D57-$I$20-SUM($H$29:H56)-IF($I$19=0,0,E57)&gt;0,IF(D57-$I$20-SUM($H$29:H56)-IF($I$19=0,0,E57)&gt;$I$19,$I$19-SUM(F$29:F56)-E57,D57-$I$20-SUM($H$29:H56)-IF($I$19=0,0,E57)),0),0),0)</f>
        <v>0</v>
      </c>
      <c r="G57" s="13">
        <f t="shared" si="2"/>
        <v>0</v>
      </c>
      <c r="H57" s="17">
        <f t="shared" si="5"/>
        <v>0</v>
      </c>
      <c r="I57" s="13"/>
      <c r="J57" s="13"/>
      <c r="K57" s="13">
        <f t="shared" si="6"/>
        <v>1954.12</v>
      </c>
      <c r="L57" s="13">
        <f t="shared" si="7"/>
        <v>1.2000000000000028</v>
      </c>
      <c r="M57" s="13">
        <f t="shared" si="8"/>
        <v>37.910000000000011</v>
      </c>
      <c r="N57" s="13">
        <f t="shared" si="3"/>
        <v>1007.72</v>
      </c>
      <c r="O57" s="13">
        <f t="shared" si="9"/>
        <v>0.61999999999999966</v>
      </c>
      <c r="P57" s="13">
        <f t="shared" si="10"/>
        <v>4.34</v>
      </c>
      <c r="Q57" s="13">
        <f t="shared" si="11"/>
        <v>2921.41</v>
      </c>
      <c r="R57" s="17"/>
      <c r="S57" s="17"/>
      <c r="T57" s="17">
        <f t="shared" si="14"/>
        <v>0</v>
      </c>
      <c r="U57" s="17">
        <f t="shared" si="4"/>
        <v>0</v>
      </c>
      <c r="V57" s="18">
        <f t="shared" si="12"/>
        <v>0</v>
      </c>
      <c r="W57" s="16">
        <f t="shared" si="13"/>
        <v>0</v>
      </c>
    </row>
    <row r="58" spans="2:23" s="11" customFormat="1" x14ac:dyDescent="0.35">
      <c r="B58" s="47">
        <f t="shared" si="0"/>
        <v>45075</v>
      </c>
      <c r="C58" s="48">
        <f t="shared" si="1"/>
        <v>45076</v>
      </c>
      <c r="D58" s="33"/>
      <c r="E58" s="13">
        <f>IF(SUM(E$29:E57)=$I$24,0,IF((D58&lt;=$I$24-SUM(E$29:E57)),D58,$I$24-SUM(E$29:E57)))</f>
        <v>0</v>
      </c>
      <c r="F58" s="13">
        <f>IF($I$19&gt;0,IF(SUM(F$29:F57)&lt;$I$19,IF((D58-E58)&gt;0,IF($I$20=0,IF($I$19-SUM(F$29:F57)&gt;D58,D58,$I$19-SUM(F$29:F57)),E58),D58),0)+IF($I$20&gt;0,IF(D58-$I$20-SUM($H$29:H57)-IF($I$19=0,0,E58)&gt;0,IF(D58-$I$20-SUM($H$29:H57)-IF($I$19=0,0,E58)&gt;$I$19,$I$19-SUM(F$29:F57)-E58,D58-$I$20-SUM($H$29:H57)-IF($I$19=0,0,E58)),0),0),0)</f>
        <v>0</v>
      </c>
      <c r="G58" s="13">
        <f t="shared" si="2"/>
        <v>0</v>
      </c>
      <c r="H58" s="17">
        <f t="shared" si="5"/>
        <v>0</v>
      </c>
      <c r="I58" s="13"/>
      <c r="J58" s="13"/>
      <c r="K58" s="13">
        <f t="shared" si="6"/>
        <v>1955.32</v>
      </c>
      <c r="L58" s="13">
        <f t="shared" si="7"/>
        <v>1.2000000000000028</v>
      </c>
      <c r="M58" s="13">
        <f t="shared" si="8"/>
        <v>39.110000000000014</v>
      </c>
      <c r="N58" s="13">
        <f t="shared" si="3"/>
        <v>1008.34</v>
      </c>
      <c r="O58" s="13">
        <f t="shared" si="9"/>
        <v>0.62000000000000011</v>
      </c>
      <c r="P58" s="13">
        <f t="shared" si="10"/>
        <v>4.96</v>
      </c>
      <c r="Q58" s="13">
        <f t="shared" si="11"/>
        <v>2921.41</v>
      </c>
      <c r="R58" s="17"/>
      <c r="S58" s="17"/>
      <c r="T58" s="17">
        <f t="shared" si="14"/>
        <v>0</v>
      </c>
      <c r="U58" s="17">
        <f t="shared" si="4"/>
        <v>0</v>
      </c>
      <c r="V58" s="18">
        <f t="shared" si="12"/>
        <v>0</v>
      </c>
      <c r="W58" s="16">
        <f t="shared" si="13"/>
        <v>0</v>
      </c>
    </row>
    <row r="59" spans="2:23" s="11" customFormat="1" ht="15" thickBot="1" x14ac:dyDescent="0.4">
      <c r="B59" s="47">
        <f t="shared" ref="B59" si="15">C59-1</f>
        <v>45076</v>
      </c>
      <c r="C59" s="48">
        <f t="shared" si="1"/>
        <v>45077</v>
      </c>
      <c r="D59" s="33"/>
      <c r="E59" s="13">
        <f>IF(SUM(E$29:E58)=$I$24,0,IF((D59&lt;=$I$24-SUM(E$29:E58)),D59,$I$24-SUM(E$29:E58)))</f>
        <v>0</v>
      </c>
      <c r="F59" s="13">
        <f>IF($I$19&gt;0,IF(SUM(F$29:F58)&lt;$I$19,IF((D59-E59)&gt;0,IF($I$20=0,IF($I$19-SUM(F$29:F58)&gt;D59,D59,$I$19-SUM(F$29:F58)),E59),D59),0)+IF($I$20&gt;0,IF(D59-$I$20-SUM($H$29:H58)-IF($I$19=0,0,E59)&gt;0,IF(D59-$I$20-SUM($H$29:H58)-IF($I$19=0,0,E59)&gt;$I$19,$I$19-SUM(F$29:F58)-E59,D59-$I$20-SUM($H$29:H58)-IF($I$19=0,0,E59)),0),0),0)</f>
        <v>0</v>
      </c>
      <c r="G59" s="13">
        <f t="shared" ref="G59" si="16">ROUND(D59-F59-H59,2)</f>
        <v>0</v>
      </c>
      <c r="H59" s="17">
        <f t="shared" ref="H59" si="17">IF((T58+U58-V58+R59+S59)&gt;0,IF($I$19=0,E59,0),0)+IF((T58+U58-V58+R59+S59)&gt;0,(IF((D59-F59)&gt;0,(IF((T58+U58-V58+R59+S59)&gt;(D59-F59),(D59-F59-IF($I$19=0,E59,0)),(T58+U58-V58+R59+S59-IF($I$19=0,E59,0)))),0)),0)</f>
        <v>0</v>
      </c>
      <c r="I59" s="13"/>
      <c r="J59" s="13">
        <v>40</v>
      </c>
      <c r="K59" s="13">
        <f t="shared" si="6"/>
        <v>1956.52</v>
      </c>
      <c r="L59" s="13">
        <f t="shared" ref="L59" si="18">M59-M58</f>
        <v>1.2100000000000009</v>
      </c>
      <c r="M59" s="13">
        <f t="shared" si="8"/>
        <v>40.320000000000014</v>
      </c>
      <c r="N59" s="13">
        <f t="shared" ref="N59" si="19">ROUND(N58+I59+J59+O58-G59,2)</f>
        <v>1048.96</v>
      </c>
      <c r="O59" s="13">
        <f t="shared" ref="O59" si="20">P59-P58</f>
        <v>0.65000000000000036</v>
      </c>
      <c r="P59" s="13">
        <f>ROUND(P58+N59*$F$22,2)</f>
        <v>5.61</v>
      </c>
      <c r="Q59" s="13">
        <f t="shared" ref="Q59" si="21">ROUND(N59+K59-M58-P58,2)</f>
        <v>2961.41</v>
      </c>
      <c r="R59" s="17"/>
      <c r="S59" s="17"/>
      <c r="T59" s="17">
        <f t="shared" ref="T59" si="22">T58+U58+R59+S59-H59</f>
        <v>0</v>
      </c>
      <c r="U59" s="17">
        <f t="shared" ref="U59" si="23">V59-V58</f>
        <v>0</v>
      </c>
      <c r="V59" s="18">
        <f t="shared" ref="V59" si="24">V58+T59*$F$23</f>
        <v>0</v>
      </c>
      <c r="W59" s="16">
        <f t="shared" ref="W59" si="25">IF(T59=0,0,W58+R59+S59-H59)</f>
        <v>0</v>
      </c>
    </row>
    <row r="60" spans="2:23" ht="15" thickBot="1" x14ac:dyDescent="0.4">
      <c r="B60" s="122" t="s">
        <v>49</v>
      </c>
      <c r="C60" s="123"/>
      <c r="D60" s="67">
        <f t="shared" ref="D60:L60" si="26">SUM(D29:D59)</f>
        <v>200</v>
      </c>
      <c r="E60" s="21">
        <f t="shared" si="26"/>
        <v>110.37</v>
      </c>
      <c r="F60" s="21">
        <f t="shared" si="26"/>
        <v>200</v>
      </c>
      <c r="G60" s="21">
        <f t="shared" si="26"/>
        <v>0</v>
      </c>
      <c r="H60" s="22">
        <f t="shared" si="26"/>
        <v>0</v>
      </c>
      <c r="I60" s="20">
        <f t="shared" si="26"/>
        <v>1000</v>
      </c>
      <c r="J60" s="21">
        <f t="shared" si="26"/>
        <v>44</v>
      </c>
      <c r="K60" s="21">
        <f t="shared" si="26"/>
        <v>65449.409999999982</v>
      </c>
      <c r="L60" s="74">
        <f t="shared" si="26"/>
        <v>40.320000000000014</v>
      </c>
      <c r="M60" s="20"/>
      <c r="N60" s="21">
        <f>SUM(N29:N59)</f>
        <v>9098.32</v>
      </c>
      <c r="O60" s="21">
        <f>SUM(O29:O59)</f>
        <v>5.61</v>
      </c>
      <c r="P60" s="20"/>
      <c r="Q60" s="20"/>
      <c r="R60" s="22">
        <f>SUM(R29:R59)</f>
        <v>0</v>
      </c>
      <c r="S60" s="22">
        <f>SUM(S29:S59)</f>
        <v>0</v>
      </c>
      <c r="T60" s="22">
        <f>SUM(T29:T59)</f>
        <v>0</v>
      </c>
      <c r="U60" s="22">
        <f>SUM(U29:U59)</f>
        <v>0</v>
      </c>
      <c r="V60" s="23"/>
      <c r="W60" s="23"/>
    </row>
    <row r="61" spans="2:23" ht="15" thickBot="1" x14ac:dyDescent="0.4">
      <c r="G61" s="61"/>
      <c r="J61" s="82" t="s">
        <v>71</v>
      </c>
      <c r="K61" s="82">
        <f>K60/$C$18</f>
        <v>2111.2712903225802</v>
      </c>
      <c r="M61" s="82" t="s">
        <v>69</v>
      </c>
      <c r="N61" s="82">
        <f>N60/$C$18</f>
        <v>293.4941935483871</v>
      </c>
      <c r="O61" s="61"/>
      <c r="S61" s="82" t="s">
        <v>65</v>
      </c>
      <c r="T61" s="82">
        <f>T60/$C$18</f>
        <v>0</v>
      </c>
    </row>
    <row r="62" spans="2:23" ht="15" thickBot="1" x14ac:dyDescent="0.4">
      <c r="H62" s="2"/>
      <c r="J62" s="82" t="s">
        <v>72</v>
      </c>
      <c r="K62" s="82">
        <f>ROUND(K61*$F$22*$C$18,2)</f>
        <v>40.33</v>
      </c>
      <c r="M62" s="82" t="s">
        <v>70</v>
      </c>
      <c r="N62" s="82">
        <f>IF(ROUND(N59,2)=0,0,N61*$F$22*$C$18)</f>
        <v>5.6060607342465758</v>
      </c>
      <c r="S62" s="82" t="s">
        <v>64</v>
      </c>
      <c r="T62" s="82">
        <f>T61*$F$23*$C$18</f>
        <v>0</v>
      </c>
    </row>
    <row r="63" spans="2:23" x14ac:dyDescent="0.35">
      <c r="M63" s="61"/>
      <c r="N63" s="61"/>
    </row>
    <row r="64" spans="2:23" ht="15" thickBot="1" x14ac:dyDescent="0.4"/>
    <row r="65" spans="11:19" ht="15" thickBot="1" x14ac:dyDescent="0.4">
      <c r="M65" s="82">
        <f>K62+N62</f>
        <v>45.936060734246574</v>
      </c>
      <c r="P65" s="61">
        <f>N62-N68</f>
        <v>2.5060607342465757</v>
      </c>
    </row>
    <row r="66" spans="11:19" ht="15" thickBot="1" x14ac:dyDescent="0.4">
      <c r="K66" s="61">
        <f>SUM(K29:K52)</f>
        <v>51179.719999999987</v>
      </c>
      <c r="N66" s="61">
        <f>SUM(N29:N55)</f>
        <v>5026.2</v>
      </c>
      <c r="P66" s="61">
        <f>SUM(O56:O59)</f>
        <v>2.5100000000000002</v>
      </c>
    </row>
    <row r="67" spans="11:19" ht="15" thickBot="1" x14ac:dyDescent="0.4">
      <c r="K67" s="82">
        <f>K66/$C$18</f>
        <v>1650.9587096774189</v>
      </c>
      <c r="N67" s="82">
        <f>N66/$C$18</f>
        <v>162.13548387096773</v>
      </c>
      <c r="O67" s="61">
        <f>SUM(O43:O55)</f>
        <v>3.1</v>
      </c>
    </row>
    <row r="68" spans="11:19" ht="15" thickBot="1" x14ac:dyDescent="0.4">
      <c r="K68" s="82">
        <f>ROUND(K67*$F$22*$C$18,2)</f>
        <v>31.54</v>
      </c>
      <c r="M68">
        <v>25.48</v>
      </c>
      <c r="N68" s="82">
        <f>ROUND(N67*$F$22*$C$18,2)</f>
        <v>3.1</v>
      </c>
      <c r="O68">
        <v>17.440000000000001</v>
      </c>
    </row>
    <row r="69" spans="11:19" x14ac:dyDescent="0.35">
      <c r="M69" s="61"/>
      <c r="O69" s="61">
        <f>SUM(O67,O68)</f>
        <v>20.540000000000003</v>
      </c>
    </row>
    <row r="70" spans="11:19" x14ac:dyDescent="0.35">
      <c r="M70" s="100">
        <f>K68+N68</f>
        <v>34.64</v>
      </c>
      <c r="S70" s="61">
        <f>N62+L60</f>
        <v>45.92606073424659</v>
      </c>
    </row>
    <row r="72" spans="11:19" x14ac:dyDescent="0.35">
      <c r="M72" s="61">
        <f>M65-M68</f>
        <v>20.456060734246574</v>
      </c>
    </row>
    <row r="74" spans="11:19" x14ac:dyDescent="0.35">
      <c r="N74" s="61">
        <f>(K68+N68)-(SUM(L56:L59)+SUM(O56:O59))</f>
        <v>27.319999999999993</v>
      </c>
    </row>
    <row r="75" spans="11:19" x14ac:dyDescent="0.35">
      <c r="M75" s="61">
        <f>M55+N68</f>
        <v>38.610000000000007</v>
      </c>
    </row>
    <row r="79" spans="11:19" x14ac:dyDescent="0.35">
      <c r="M79" s="61">
        <f>K29-D48</f>
        <v>2117.41</v>
      </c>
    </row>
    <row r="80" spans="11:19" x14ac:dyDescent="0.35">
      <c r="M80">
        <f>M79</f>
        <v>2117.41</v>
      </c>
    </row>
  </sheetData>
  <mergeCells count="13">
    <mergeCell ref="B60:C60"/>
    <mergeCell ref="H18:I18"/>
    <mergeCell ref="B21:C21"/>
    <mergeCell ref="E21:F21"/>
    <mergeCell ref="D27:H27"/>
    <mergeCell ref="I27:Q27"/>
    <mergeCell ref="R27:W27"/>
    <mergeCell ref="E2:F2"/>
    <mergeCell ref="H6:I6"/>
    <mergeCell ref="H10:J10"/>
    <mergeCell ref="J11:J12"/>
    <mergeCell ref="K11:K12"/>
    <mergeCell ref="H14:I14"/>
  </mergeCells>
  <pageMargins left="0.7" right="0.7" top="0.75" bottom="0.75" header="0.3" footer="0.3"/>
  <pageSetup paperSize="9" orientation="portrait" horizontalDpi="4294967293" verticalDpi="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9B9E5-D5FD-4806-8C24-8E47D7FC5879}">
  <dimension ref="B1:W62"/>
  <sheetViews>
    <sheetView topLeftCell="G50" zoomScale="66" zoomScaleNormal="66" workbookViewId="0">
      <selection activeCell="I31" sqref="I31:I56"/>
    </sheetView>
  </sheetViews>
  <sheetFormatPr defaultRowHeight="14.5" x14ac:dyDescent="0.35"/>
  <cols>
    <col min="2" max="2" width="36.7265625" style="1" customWidth="1"/>
    <col min="3" max="3" width="28.90625" style="2" customWidth="1"/>
    <col min="4" max="4" width="14.1796875" customWidth="1"/>
    <col min="5" max="5" width="24.36328125" bestFit="1" customWidth="1"/>
    <col min="6" max="6" width="22.6328125" customWidth="1"/>
    <col min="7" max="7" width="18.54296875" customWidth="1"/>
    <col min="8" max="8" width="25.453125" style="1" customWidth="1"/>
    <col min="9" max="9" width="17.54296875" customWidth="1"/>
    <col min="10" max="10" width="28.26953125" customWidth="1"/>
    <col min="11" max="11" width="14.453125" customWidth="1"/>
    <col min="12" max="12" width="10.36328125" bestFit="1" customWidth="1"/>
    <col min="13" max="13" width="27.1796875" bestFit="1" customWidth="1"/>
    <col min="14" max="14" width="13.1796875" customWidth="1"/>
    <col min="15" max="15" width="11.6328125" customWidth="1"/>
    <col min="16" max="16" width="13.1796875" bestFit="1" customWidth="1"/>
    <col min="17" max="17" width="19.26953125" bestFit="1" customWidth="1"/>
    <col min="18" max="18" width="9.1796875" bestFit="1" customWidth="1"/>
    <col min="19" max="19" width="19.26953125" bestFit="1" customWidth="1"/>
    <col min="20" max="20" width="10.1796875" bestFit="1" customWidth="1"/>
    <col min="21" max="21" width="8.7265625" customWidth="1"/>
    <col min="22" max="22" width="8.54296875" customWidth="1"/>
    <col min="23" max="23" width="13" customWidth="1"/>
  </cols>
  <sheetData>
    <row r="1" spans="2:12" ht="15" thickBot="1" x14ac:dyDescent="0.4"/>
    <row r="2" spans="2:12" ht="15" thickBot="1" x14ac:dyDescent="0.4">
      <c r="B2" s="27" t="s">
        <v>23</v>
      </c>
      <c r="C2" s="36"/>
      <c r="E2" s="116" t="s">
        <v>50</v>
      </c>
      <c r="F2" s="117"/>
    </row>
    <row r="3" spans="2:12" ht="15" thickBot="1" x14ac:dyDescent="0.4">
      <c r="B3" s="28" t="s">
        <v>1</v>
      </c>
      <c r="C3" s="37">
        <v>25</v>
      </c>
      <c r="E3" s="45" t="s">
        <v>24</v>
      </c>
      <c r="F3" s="46">
        <f>C17</f>
        <v>45107</v>
      </c>
    </row>
    <row r="4" spans="2:12" ht="15" thickBot="1" x14ac:dyDescent="0.4">
      <c r="B4"/>
      <c r="C4"/>
      <c r="E4" s="62" t="s">
        <v>25</v>
      </c>
      <c r="F4" s="62">
        <f>'May Statement'!F11</f>
        <v>844</v>
      </c>
    </row>
    <row r="5" spans="2:12" ht="15" thickBot="1" x14ac:dyDescent="0.4">
      <c r="B5" s="29" t="s">
        <v>5</v>
      </c>
      <c r="C5" s="38">
        <v>45017</v>
      </c>
      <c r="E5" s="32" t="s">
        <v>10</v>
      </c>
      <c r="F5" s="33">
        <f>SUM(I11:I12)</f>
        <v>0</v>
      </c>
    </row>
    <row r="6" spans="2:12" x14ac:dyDescent="0.35">
      <c r="B6" s="30" t="s">
        <v>8</v>
      </c>
      <c r="C6" s="39">
        <v>45046</v>
      </c>
      <c r="E6" s="34" t="s">
        <v>26</v>
      </c>
      <c r="F6" s="35">
        <f>I59</f>
        <v>0</v>
      </c>
      <c r="H6" s="103" t="s">
        <v>40</v>
      </c>
      <c r="I6" s="104"/>
    </row>
    <row r="7" spans="2:12" ht="29" x14ac:dyDescent="0.35">
      <c r="B7" s="30" t="s">
        <v>6</v>
      </c>
      <c r="C7" s="40">
        <v>30</v>
      </c>
      <c r="E7" s="34" t="s">
        <v>27</v>
      </c>
      <c r="F7" s="35">
        <f>R59</f>
        <v>0</v>
      </c>
      <c r="H7" s="7" t="s">
        <v>37</v>
      </c>
      <c r="I7" s="8">
        <f>J59</f>
        <v>0</v>
      </c>
      <c r="L7" s="61"/>
    </row>
    <row r="8" spans="2:12" ht="29.5" thickBot="1" x14ac:dyDescent="0.4">
      <c r="B8" s="31" t="s">
        <v>7</v>
      </c>
      <c r="C8" s="41">
        <f>C6+C3</f>
        <v>45071</v>
      </c>
      <c r="E8" s="34" t="s">
        <v>28</v>
      </c>
      <c r="F8" s="35">
        <f>SUM(I7:I8)</f>
        <v>0</v>
      </c>
      <c r="H8" s="49" t="s">
        <v>38</v>
      </c>
      <c r="I8" s="50">
        <f>S59</f>
        <v>0</v>
      </c>
      <c r="L8" s="61"/>
    </row>
    <row r="9" spans="2:12" ht="29.5" customHeight="1" thickBot="1" x14ac:dyDescent="0.4">
      <c r="B9"/>
      <c r="C9" s="3"/>
      <c r="E9" s="34" t="s">
        <v>29</v>
      </c>
      <c r="F9" s="35">
        <f>SUM(I15:I16)</f>
        <v>224.74120313614563</v>
      </c>
      <c r="L9" s="61"/>
    </row>
    <row r="10" spans="2:12" ht="15" thickBot="1" x14ac:dyDescent="0.4">
      <c r="B10" s="29" t="s">
        <v>12</v>
      </c>
      <c r="C10" s="38">
        <v>45047</v>
      </c>
      <c r="E10" s="4"/>
      <c r="F10" s="6"/>
      <c r="H10" s="125" t="s">
        <v>41</v>
      </c>
      <c r="I10" s="126"/>
      <c r="J10" s="127"/>
    </row>
    <row r="11" spans="2:12" ht="14.5" customHeight="1" x14ac:dyDescent="0.35">
      <c r="B11" s="30" t="s">
        <v>13</v>
      </c>
      <c r="C11" s="39">
        <f>C10+C12-1</f>
        <v>45077</v>
      </c>
      <c r="E11" s="55" t="s">
        <v>30</v>
      </c>
      <c r="F11" s="56">
        <f>F4+F6+F7+F8+F9-F5</f>
        <v>1068.7412031361457</v>
      </c>
      <c r="H11" s="72" t="s">
        <v>42</v>
      </c>
      <c r="I11" s="73">
        <f>SUM(F59:G59)</f>
        <v>0</v>
      </c>
      <c r="J11" s="114" t="s">
        <v>73</v>
      </c>
      <c r="K11" s="124"/>
    </row>
    <row r="12" spans="2:12" ht="15" thickBot="1" x14ac:dyDescent="0.4">
      <c r="B12" s="30" t="s">
        <v>14</v>
      </c>
      <c r="C12" s="40">
        <v>31</v>
      </c>
      <c r="E12" s="4"/>
      <c r="F12" s="6"/>
      <c r="H12" s="49" t="s">
        <v>43</v>
      </c>
      <c r="I12" s="50">
        <f>H59</f>
        <v>0</v>
      </c>
      <c r="J12" s="115"/>
      <c r="K12" s="124"/>
    </row>
    <row r="13" spans="2:12" ht="15" thickBot="1" x14ac:dyDescent="0.4">
      <c r="B13" s="31" t="s">
        <v>15</v>
      </c>
      <c r="C13" s="41">
        <v>45102</v>
      </c>
      <c r="E13" s="53" t="s">
        <v>31</v>
      </c>
      <c r="F13" s="54">
        <v>18000</v>
      </c>
    </row>
    <row r="14" spans="2:12" x14ac:dyDescent="0.35">
      <c r="E14" s="51" t="s">
        <v>32</v>
      </c>
      <c r="F14" s="52">
        <f>F13-F11</f>
        <v>16931.258796863855</v>
      </c>
      <c r="H14" s="103" t="s">
        <v>44</v>
      </c>
      <c r="I14" s="104"/>
    </row>
    <row r="15" spans="2:12" ht="29.5" thickBot="1" x14ac:dyDescent="0.4">
      <c r="B15"/>
      <c r="C15" s="3"/>
      <c r="E15" s="53" t="s">
        <v>33</v>
      </c>
      <c r="F15" s="54">
        <v>1200</v>
      </c>
      <c r="H15" s="7" t="s">
        <v>45</v>
      </c>
      <c r="I15" s="8">
        <f>K61</f>
        <v>224.74120313614563</v>
      </c>
    </row>
    <row r="16" spans="2:12" ht="29.5" thickBot="1" x14ac:dyDescent="0.4">
      <c r="B16" s="29" t="s">
        <v>3</v>
      </c>
      <c r="C16" s="38">
        <f>C10+C12</f>
        <v>45078</v>
      </c>
      <c r="E16" s="51" t="s">
        <v>34</v>
      </c>
      <c r="F16" s="52">
        <f>F15-F7-I16</f>
        <v>1200</v>
      </c>
      <c r="H16" s="49" t="s">
        <v>43</v>
      </c>
      <c r="I16" s="50">
        <f>T61</f>
        <v>0</v>
      </c>
    </row>
    <row r="17" spans="2:23" ht="15" thickBot="1" x14ac:dyDescent="0.4">
      <c r="B17" s="30" t="s">
        <v>9</v>
      </c>
      <c r="C17" s="39">
        <f>C16+C18-1</f>
        <v>45107</v>
      </c>
      <c r="E17" s="42" t="s">
        <v>0</v>
      </c>
      <c r="F17" s="39">
        <f>C17</f>
        <v>45107</v>
      </c>
    </row>
    <row r="18" spans="2:23" ht="15" thickBot="1" x14ac:dyDescent="0.4">
      <c r="B18" s="30" t="s">
        <v>4</v>
      </c>
      <c r="C18" s="40">
        <v>30</v>
      </c>
      <c r="E18" s="43" t="s">
        <v>2</v>
      </c>
      <c r="F18" s="44">
        <f>C18</f>
        <v>30</v>
      </c>
      <c r="H18" s="103" t="s">
        <v>51</v>
      </c>
      <c r="I18" s="104"/>
    </row>
    <row r="19" spans="2:23" ht="15" thickBot="1" x14ac:dyDescent="0.4">
      <c r="B19" s="31" t="s">
        <v>16</v>
      </c>
      <c r="C19" s="41">
        <f>C17+C3</f>
        <v>45132</v>
      </c>
      <c r="H19" s="7" t="s">
        <v>42</v>
      </c>
      <c r="I19" s="8">
        <f>'May Statement'!I19+'May Statement'!F6+'May Statement'!I7+'May Statement'!I15-'May Statement'!I11</f>
        <v>2951.4716571506851</v>
      </c>
    </row>
    <row r="20" spans="2:23" ht="15" thickBot="1" x14ac:dyDescent="0.4">
      <c r="H20" s="49" t="s">
        <v>43</v>
      </c>
      <c r="I20" s="50">
        <f>'May Statement'!I20+'May Statement'!F7+'May Statement'!I8+'May Statement'!I16-'May Statement'!I12</f>
        <v>0</v>
      </c>
      <c r="J20" s="5"/>
    </row>
    <row r="21" spans="2:23" x14ac:dyDescent="0.35">
      <c r="B21" s="103" t="s">
        <v>17</v>
      </c>
      <c r="C21" s="104"/>
      <c r="E21" s="103" t="s">
        <v>22</v>
      </c>
      <c r="F21" s="104"/>
      <c r="I21" s="62">
        <f>SUM(I19:I20)</f>
        <v>2951.4716571506851</v>
      </c>
      <c r="J21" s="5"/>
    </row>
    <row r="22" spans="2:23" x14ac:dyDescent="0.35">
      <c r="B22" s="7" t="s">
        <v>18</v>
      </c>
      <c r="C22" s="57">
        <v>0.22489999999999999</v>
      </c>
      <c r="E22" s="7" t="s">
        <v>18</v>
      </c>
      <c r="F22" s="59">
        <f>C22/365</f>
        <v>6.1616438356164381E-4</v>
      </c>
      <c r="M22" s="61"/>
    </row>
    <row r="23" spans="2:23" ht="15" thickBot="1" x14ac:dyDescent="0.4">
      <c r="B23" s="49" t="s">
        <v>19</v>
      </c>
      <c r="C23" s="58">
        <v>0.2999</v>
      </c>
      <c r="E23" s="49" t="s">
        <v>19</v>
      </c>
      <c r="F23" s="60">
        <f>C23/365</f>
        <v>8.216438356164384E-4</v>
      </c>
      <c r="J23" s="61"/>
    </row>
    <row r="24" spans="2:23" ht="15" thickBot="1" x14ac:dyDescent="0.4">
      <c r="C24" s="9"/>
      <c r="E24" s="1"/>
      <c r="F24" s="10"/>
      <c r="H24" s="63" t="s">
        <v>56</v>
      </c>
      <c r="I24" s="64">
        <v>35</v>
      </c>
      <c r="M24" s="61"/>
    </row>
    <row r="25" spans="2:23" x14ac:dyDescent="0.35">
      <c r="C25" s="9"/>
      <c r="E25" s="1"/>
      <c r="F25" s="10"/>
    </row>
    <row r="26" spans="2:23" ht="15" thickBot="1" x14ac:dyDescent="0.4">
      <c r="C26" s="9"/>
      <c r="E26" s="1"/>
      <c r="F26" s="10"/>
    </row>
    <row r="27" spans="2:23" ht="15" customHeight="1" thickBot="1" x14ac:dyDescent="0.4">
      <c r="B27" s="70"/>
      <c r="C27" s="71"/>
      <c r="D27" s="121" t="s">
        <v>10</v>
      </c>
      <c r="E27" s="121"/>
      <c r="F27" s="121"/>
      <c r="G27" s="121"/>
      <c r="H27" s="121"/>
      <c r="I27" s="120" t="s">
        <v>47</v>
      </c>
      <c r="J27" s="120"/>
      <c r="K27" s="120"/>
      <c r="L27" s="120"/>
      <c r="M27" s="120"/>
      <c r="N27" s="120"/>
      <c r="O27" s="120"/>
      <c r="P27" s="120"/>
      <c r="Q27" s="120"/>
      <c r="R27" s="118" t="s">
        <v>48</v>
      </c>
      <c r="S27" s="118"/>
      <c r="T27" s="118"/>
      <c r="U27" s="118"/>
      <c r="V27" s="118"/>
      <c r="W27" s="119"/>
    </row>
    <row r="28" spans="2:23" s="1" customFormat="1" ht="116.5" thickBot="1" x14ac:dyDescent="0.4">
      <c r="B28" s="68" t="s">
        <v>52</v>
      </c>
      <c r="C28" s="68" t="s">
        <v>53</v>
      </c>
      <c r="D28" s="69" t="s">
        <v>57</v>
      </c>
      <c r="E28" s="69" t="s">
        <v>67</v>
      </c>
      <c r="F28" s="69" t="s">
        <v>66</v>
      </c>
      <c r="G28" s="69" t="s">
        <v>68</v>
      </c>
      <c r="H28" s="69"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3" x14ac:dyDescent="0.35">
      <c r="B29" s="47">
        <f>C29-1</f>
        <v>45077</v>
      </c>
      <c r="C29" s="47">
        <f>C16</f>
        <v>45078</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c r="K29" s="13">
        <f>IF(SUM($F$29:$F$53)&gt;=$I$19,0,$I$19+'May Statement'!N60-$F$29)</f>
        <v>12049.791657150685</v>
      </c>
      <c r="L29" s="12">
        <f>M29</f>
        <v>7.4246524484744905</v>
      </c>
      <c r="M29" s="12">
        <f>K29*$F$22</f>
        <v>7.4246524484744905</v>
      </c>
      <c r="N29" s="12">
        <f>I29+J29-G29</f>
        <v>0</v>
      </c>
      <c r="O29" s="12">
        <f>P29</f>
        <v>0</v>
      </c>
      <c r="P29" s="12">
        <f>N29*$F$22</f>
        <v>0</v>
      </c>
      <c r="Q29" s="12">
        <f>K29+N29</f>
        <v>12049.791657150685</v>
      </c>
      <c r="R29" s="15"/>
      <c r="S29" s="15"/>
      <c r="T29" s="15">
        <f>$I$20+R29+S29-H29</f>
        <v>0</v>
      </c>
      <c r="U29" s="15">
        <f>V29</f>
        <v>0</v>
      </c>
      <c r="V29" s="16">
        <f>T29*$F$23</f>
        <v>0</v>
      </c>
      <c r="W29" s="16">
        <f>IF(T29=0,0,$I$20+R29+S29-H29)</f>
        <v>0</v>
      </c>
    </row>
    <row r="30" spans="2:23" x14ac:dyDescent="0.35">
      <c r="B30" s="47">
        <f t="shared" ref="B30:B57" si="0">C30-1</f>
        <v>45078</v>
      </c>
      <c r="C30" s="48">
        <f t="shared" ref="C30:C58" si="1">C29+1</f>
        <v>45079</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7" si="2">ROUND(D30-F30-H30,2)</f>
        <v>0</v>
      </c>
      <c r="H30" s="17">
        <f>IF((T29+U29-V29+R30+S30)&gt;0,IF($I$19=0,E30,0),0)+IF((T29+U29-V29+R30+S30)&gt;0,(IF((D30-F30)&gt;0,(IF((T29+U29-V29+R30+S30)&gt;(D30-F30),(D30-F30-IF($I$19=0,E30,0)),(T29+U29-V29+R30+S30-IF($I$19=0,E30,0)))),0)),0)</f>
        <v>0</v>
      </c>
      <c r="I30" s="13"/>
      <c r="J30" s="13"/>
      <c r="K30" s="13">
        <f>IF(SUM($F$29:$F$53)&gt;=$I$19,0,ROUND(K29+L29-F30,2))</f>
        <v>12057.22</v>
      </c>
      <c r="L30" s="13">
        <f>M30-M29</f>
        <v>7.4292295287671228</v>
      </c>
      <c r="M30" s="13">
        <f>IF(K30=0,0,M29+K30*$F$22)</f>
        <v>14.853881977241613</v>
      </c>
      <c r="N30" s="13">
        <f t="shared" ref="N30:N57" si="3">ROUND(N29+I30+J30+O29-G30,2)</f>
        <v>0</v>
      </c>
      <c r="O30" s="13">
        <f>P30-P29</f>
        <v>0</v>
      </c>
      <c r="P30" s="13">
        <f>ROUND(P29+N30*$F$22,2)</f>
        <v>0</v>
      </c>
      <c r="Q30" s="13">
        <f>ROUND(N30+K30-M29-P29,2)</f>
        <v>12049.8</v>
      </c>
      <c r="R30" s="17"/>
      <c r="S30" s="17"/>
      <c r="T30" s="17">
        <f>T29+U29+R30+S30-H30</f>
        <v>0</v>
      </c>
      <c r="U30" s="17">
        <f t="shared" ref="U30:U57" si="4">V30-V29</f>
        <v>0</v>
      </c>
      <c r="V30" s="18">
        <f>V29+T30*$F$23</f>
        <v>0</v>
      </c>
      <c r="W30" s="16">
        <f>IF(T30=0,0,W29+R30+S30-H30)</f>
        <v>0</v>
      </c>
    </row>
    <row r="31" spans="2:23" x14ac:dyDescent="0.35">
      <c r="B31" s="47">
        <f t="shared" si="0"/>
        <v>45079</v>
      </c>
      <c r="C31" s="48">
        <f t="shared" si="1"/>
        <v>45080</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7" si="5">IF((T30+U30-V30+R31+S31)&gt;0,IF($I$19=0,E31,0),0)+IF((T30+U30-V30+R31+S31)&gt;0,(IF((D31-F31)&gt;0,(IF((T30+U30-V30+R31+S31)&gt;(D31-F31),(D31-F31-IF($I$19=0,E31,0)),(T30+U30-V30+R31+S31-IF($I$19=0,E31,0)))),0)),0)</f>
        <v>0</v>
      </c>
      <c r="I31" s="13"/>
      <c r="J31" s="13"/>
      <c r="K31" s="13">
        <f t="shared" ref="K31:K58" si="6">IF(SUM($F$29:$F$53)&gt;=$I$19,0,ROUND(K30+L30-F31,2))</f>
        <v>12064.65</v>
      </c>
      <c r="L31" s="13">
        <f t="shared" ref="L31:L57" si="7">M31-M30</f>
        <v>7.433807630136986</v>
      </c>
      <c r="M31" s="13">
        <f t="shared" ref="M31:M57" si="8">IF(K31=0,0,M30+K31*$F$22)</f>
        <v>22.287689607378599</v>
      </c>
      <c r="N31" s="13">
        <f t="shared" si="3"/>
        <v>0</v>
      </c>
      <c r="O31" s="13">
        <f t="shared" ref="O31:O57" si="9">P31-P30</f>
        <v>0</v>
      </c>
      <c r="P31" s="13">
        <f t="shared" ref="P31:P56" si="10">ROUND(P30+N31*$F$22,2)</f>
        <v>0</v>
      </c>
      <c r="Q31" s="13">
        <f t="shared" ref="Q31:Q57" si="11">ROUND(N31+K31-M30-P30,2)</f>
        <v>12049.8</v>
      </c>
      <c r="R31" s="17"/>
      <c r="S31" s="17"/>
      <c r="T31" s="17">
        <f>T30+U30+R31+S31-H31</f>
        <v>0</v>
      </c>
      <c r="U31" s="17">
        <f t="shared" si="4"/>
        <v>0</v>
      </c>
      <c r="V31" s="18">
        <f t="shared" ref="V31:V57" si="12">V30+T31*$F$23</f>
        <v>0</v>
      </c>
      <c r="W31" s="16">
        <f t="shared" ref="W31:W57" si="13">IF(T31=0,0,W30+R31+S31-H31)</f>
        <v>0</v>
      </c>
    </row>
    <row r="32" spans="2:23" x14ac:dyDescent="0.35">
      <c r="B32" s="47">
        <f t="shared" si="0"/>
        <v>45080</v>
      </c>
      <c r="C32" s="48">
        <f t="shared" si="1"/>
        <v>45081</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5"/>
        <v>0</v>
      </c>
      <c r="I32" s="13"/>
      <c r="J32" s="13"/>
      <c r="K32" s="13">
        <f t="shared" si="6"/>
        <v>12072.08</v>
      </c>
      <c r="L32" s="13">
        <f t="shared" si="7"/>
        <v>7.4383857315068482</v>
      </c>
      <c r="M32" s="13">
        <f t="shared" si="8"/>
        <v>29.726075338885448</v>
      </c>
      <c r="N32" s="13">
        <f t="shared" si="3"/>
        <v>0</v>
      </c>
      <c r="O32" s="13">
        <f t="shared" si="9"/>
        <v>0</v>
      </c>
      <c r="P32" s="13">
        <f t="shared" si="10"/>
        <v>0</v>
      </c>
      <c r="Q32" s="13">
        <f t="shared" si="11"/>
        <v>12049.79</v>
      </c>
      <c r="R32" s="17"/>
      <c r="S32" s="17"/>
      <c r="T32" s="17">
        <f>T31+U31+R32+S32-H32</f>
        <v>0</v>
      </c>
      <c r="U32" s="17">
        <f t="shared" si="4"/>
        <v>0</v>
      </c>
      <c r="V32" s="18">
        <f t="shared" si="12"/>
        <v>0</v>
      </c>
      <c r="W32" s="16">
        <f t="shared" si="13"/>
        <v>0</v>
      </c>
    </row>
    <row r="33" spans="2:23" x14ac:dyDescent="0.35">
      <c r="B33" s="47">
        <f t="shared" si="0"/>
        <v>45081</v>
      </c>
      <c r="C33" s="48">
        <f t="shared" si="1"/>
        <v>45082</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5"/>
        <v>0</v>
      </c>
      <c r="I33" s="13"/>
      <c r="J33" s="13"/>
      <c r="K33" s="13">
        <f t="shared" si="6"/>
        <v>12079.52</v>
      </c>
      <c r="L33" s="13">
        <f t="shared" si="7"/>
        <v>7.4429699945205492</v>
      </c>
      <c r="M33" s="13">
        <f t="shared" si="8"/>
        <v>37.169045333405997</v>
      </c>
      <c r="N33" s="13">
        <f t="shared" si="3"/>
        <v>0</v>
      </c>
      <c r="O33" s="13">
        <f t="shared" si="9"/>
        <v>0</v>
      </c>
      <c r="P33" s="13">
        <f t="shared" si="10"/>
        <v>0</v>
      </c>
      <c r="Q33" s="13">
        <f t="shared" si="11"/>
        <v>12049.79</v>
      </c>
      <c r="R33" s="17"/>
      <c r="S33" s="17"/>
      <c r="T33" s="17">
        <f t="shared" ref="T33:T57" si="14">T32+U32+R33+S33-H33</f>
        <v>0</v>
      </c>
      <c r="U33" s="17">
        <f t="shared" si="4"/>
        <v>0</v>
      </c>
      <c r="V33" s="18">
        <f t="shared" si="12"/>
        <v>0</v>
      </c>
      <c r="W33" s="16">
        <f t="shared" si="13"/>
        <v>0</v>
      </c>
    </row>
    <row r="34" spans="2:23" x14ac:dyDescent="0.35">
      <c r="B34" s="47">
        <f t="shared" si="0"/>
        <v>45082</v>
      </c>
      <c r="C34" s="48">
        <f t="shared" si="1"/>
        <v>45083</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5"/>
        <v>0</v>
      </c>
      <c r="I34" s="13"/>
      <c r="J34" s="13"/>
      <c r="K34" s="13">
        <f t="shared" si="6"/>
        <v>12086.96</v>
      </c>
      <c r="L34" s="13">
        <f t="shared" si="7"/>
        <v>7.447554257534243</v>
      </c>
      <c r="M34" s="13">
        <f t="shared" si="8"/>
        <v>44.61659959094024</v>
      </c>
      <c r="N34" s="13">
        <f t="shared" si="3"/>
        <v>0</v>
      </c>
      <c r="O34" s="13">
        <f t="shared" si="9"/>
        <v>0</v>
      </c>
      <c r="P34" s="13">
        <f t="shared" si="10"/>
        <v>0</v>
      </c>
      <c r="Q34" s="13">
        <f t="shared" si="11"/>
        <v>12049.79</v>
      </c>
      <c r="R34" s="17"/>
      <c r="S34" s="17"/>
      <c r="T34" s="17">
        <f t="shared" si="14"/>
        <v>0</v>
      </c>
      <c r="U34" s="17">
        <f t="shared" si="4"/>
        <v>0</v>
      </c>
      <c r="V34" s="18">
        <f t="shared" si="12"/>
        <v>0</v>
      </c>
      <c r="W34" s="16">
        <f t="shared" si="13"/>
        <v>0</v>
      </c>
    </row>
    <row r="35" spans="2:23" x14ac:dyDescent="0.35">
      <c r="B35" s="47">
        <f t="shared" si="0"/>
        <v>45083</v>
      </c>
      <c r="C35" s="48">
        <f t="shared" si="1"/>
        <v>45084</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5"/>
        <v>0</v>
      </c>
      <c r="I35" s="13"/>
      <c r="J35" s="13"/>
      <c r="K35" s="13">
        <f t="shared" si="6"/>
        <v>12094.41</v>
      </c>
      <c r="L35" s="13">
        <f t="shared" si="7"/>
        <v>7.4521446821917792</v>
      </c>
      <c r="M35" s="13">
        <f t="shared" si="8"/>
        <v>52.068744273132019</v>
      </c>
      <c r="N35" s="13">
        <f t="shared" si="3"/>
        <v>0</v>
      </c>
      <c r="O35" s="13">
        <f t="shared" si="9"/>
        <v>0</v>
      </c>
      <c r="P35" s="13">
        <f t="shared" si="10"/>
        <v>0</v>
      </c>
      <c r="Q35" s="13">
        <f t="shared" si="11"/>
        <v>12049.79</v>
      </c>
      <c r="R35" s="17"/>
      <c r="S35" s="17"/>
      <c r="T35" s="17">
        <f>T34+U34+R35+S35-H35</f>
        <v>0</v>
      </c>
      <c r="U35" s="17">
        <f t="shared" si="4"/>
        <v>0</v>
      </c>
      <c r="V35" s="18">
        <f t="shared" si="12"/>
        <v>0</v>
      </c>
      <c r="W35" s="16">
        <f t="shared" si="13"/>
        <v>0</v>
      </c>
    </row>
    <row r="36" spans="2:23" x14ac:dyDescent="0.35">
      <c r="B36" s="47">
        <f t="shared" si="0"/>
        <v>45084</v>
      </c>
      <c r="C36" s="48">
        <f t="shared" si="1"/>
        <v>45085</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5"/>
        <v>0</v>
      </c>
      <c r="I36" s="13"/>
      <c r="J36" s="13"/>
      <c r="K36" s="13">
        <f t="shared" si="6"/>
        <v>12101.86</v>
      </c>
      <c r="L36" s="13">
        <f t="shared" si="7"/>
        <v>7.4567351068493153</v>
      </c>
      <c r="M36" s="13">
        <f t="shared" si="8"/>
        <v>59.525479379981334</v>
      </c>
      <c r="N36" s="13">
        <f t="shared" si="3"/>
        <v>0</v>
      </c>
      <c r="O36" s="13">
        <f t="shared" si="9"/>
        <v>0</v>
      </c>
      <c r="P36" s="13">
        <f t="shared" si="10"/>
        <v>0</v>
      </c>
      <c r="Q36" s="13">
        <f t="shared" si="11"/>
        <v>12049.79</v>
      </c>
      <c r="R36" s="17"/>
      <c r="S36" s="17"/>
      <c r="T36" s="17">
        <f t="shared" si="14"/>
        <v>0</v>
      </c>
      <c r="U36" s="17">
        <f t="shared" si="4"/>
        <v>0</v>
      </c>
      <c r="V36" s="18">
        <f t="shared" si="12"/>
        <v>0</v>
      </c>
      <c r="W36" s="16">
        <f t="shared" si="13"/>
        <v>0</v>
      </c>
    </row>
    <row r="37" spans="2:23" x14ac:dyDescent="0.35">
      <c r="B37" s="47">
        <f t="shared" si="0"/>
        <v>45085</v>
      </c>
      <c r="C37" s="48">
        <f t="shared" si="1"/>
        <v>45086</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5"/>
        <v>0</v>
      </c>
      <c r="I37" s="13"/>
      <c r="J37" s="13"/>
      <c r="K37" s="13">
        <f t="shared" si="6"/>
        <v>12109.32</v>
      </c>
      <c r="L37" s="13">
        <f t="shared" si="7"/>
        <v>7.461331693150683</v>
      </c>
      <c r="M37" s="13">
        <f t="shared" si="8"/>
        <v>66.986811073132017</v>
      </c>
      <c r="N37" s="13">
        <f t="shared" si="3"/>
        <v>0</v>
      </c>
      <c r="O37" s="13">
        <f t="shared" si="9"/>
        <v>0</v>
      </c>
      <c r="P37" s="13">
        <f t="shared" si="10"/>
        <v>0</v>
      </c>
      <c r="Q37" s="13">
        <f t="shared" si="11"/>
        <v>12049.79</v>
      </c>
      <c r="R37" s="17"/>
      <c r="S37" s="17"/>
      <c r="T37" s="17">
        <f t="shared" si="14"/>
        <v>0</v>
      </c>
      <c r="U37" s="17">
        <f t="shared" si="4"/>
        <v>0</v>
      </c>
      <c r="V37" s="18">
        <f t="shared" si="12"/>
        <v>0</v>
      </c>
      <c r="W37" s="16">
        <f t="shared" si="13"/>
        <v>0</v>
      </c>
    </row>
    <row r="38" spans="2:23" x14ac:dyDescent="0.35">
      <c r="B38" s="47">
        <f t="shared" si="0"/>
        <v>45086</v>
      </c>
      <c r="C38" s="48">
        <f t="shared" si="1"/>
        <v>45087</v>
      </c>
      <c r="D38" s="33"/>
      <c r="E38" s="13">
        <f>IF(SUM(E$29:E37)=$I$24,0,IF((D38&lt;=$I$24-SUM(E$29:E37)),D38,$I$24-SUM(E$29:E37)))</f>
        <v>0</v>
      </c>
      <c r="F38" s="13">
        <f>IF($I$19&gt;0,IF(SUM(F$29:F37)&lt;$I$19,IF((D38-E38)&gt;0,IF($I$20=0,IF($I$19-SUM(F$29:F37)&gt;D38,D38,$I$19-SUM(F$29:F37)),E38),D38),0)+IF($I$20&gt;0,IF(D38-$I$20-SUM($H$29:H37)-IF($I$19=0,0,E38)&gt;0,IF(D38-$I$20-SUM($H$29:H37)-IF($I$19=0,0,E38)&gt;$I$19,$I$19-SUM(F$29:F37)-E38,D38-$I$20-SUM($H$29:H37)-IF($I$19=0,0,E38)),0),0),0)</f>
        <v>0</v>
      </c>
      <c r="G38" s="13">
        <f t="shared" si="2"/>
        <v>0</v>
      </c>
      <c r="H38" s="17">
        <f t="shared" si="5"/>
        <v>0</v>
      </c>
      <c r="I38" s="13"/>
      <c r="J38" s="13"/>
      <c r="K38" s="13">
        <f t="shared" si="6"/>
        <v>12116.78</v>
      </c>
      <c r="L38" s="13">
        <f t="shared" si="7"/>
        <v>7.4659282794520578</v>
      </c>
      <c r="M38" s="13">
        <f t="shared" si="8"/>
        <v>74.452739352584075</v>
      </c>
      <c r="N38" s="13">
        <f t="shared" si="3"/>
        <v>0</v>
      </c>
      <c r="O38" s="13">
        <f t="shared" si="9"/>
        <v>0</v>
      </c>
      <c r="P38" s="13">
        <f t="shared" si="10"/>
        <v>0</v>
      </c>
      <c r="Q38" s="13">
        <f t="shared" si="11"/>
        <v>12049.79</v>
      </c>
      <c r="R38" s="17"/>
      <c r="S38" s="17"/>
      <c r="T38" s="17">
        <f t="shared" si="14"/>
        <v>0</v>
      </c>
      <c r="U38" s="17">
        <f t="shared" si="4"/>
        <v>0</v>
      </c>
      <c r="V38" s="18">
        <f t="shared" si="12"/>
        <v>0</v>
      </c>
      <c r="W38" s="16">
        <f t="shared" si="13"/>
        <v>0</v>
      </c>
    </row>
    <row r="39" spans="2:23" x14ac:dyDescent="0.35">
      <c r="B39" s="47">
        <f t="shared" si="0"/>
        <v>45087</v>
      </c>
      <c r="C39" s="48">
        <f t="shared" si="1"/>
        <v>45088</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5"/>
        <v>0</v>
      </c>
      <c r="I39" s="13"/>
      <c r="J39" s="13"/>
      <c r="K39" s="13">
        <f t="shared" si="6"/>
        <v>12124.25</v>
      </c>
      <c r="L39" s="13">
        <f t="shared" si="7"/>
        <v>7.4705310273972572</v>
      </c>
      <c r="M39" s="13">
        <f t="shared" si="8"/>
        <v>81.923270379981332</v>
      </c>
      <c r="N39" s="13">
        <f t="shared" si="3"/>
        <v>0</v>
      </c>
      <c r="O39" s="13">
        <f>P39-P38</f>
        <v>0</v>
      </c>
      <c r="P39" s="13">
        <f t="shared" si="10"/>
        <v>0</v>
      </c>
      <c r="Q39" s="13">
        <f t="shared" si="11"/>
        <v>12049.8</v>
      </c>
      <c r="R39" s="17"/>
      <c r="S39" s="17"/>
      <c r="T39" s="17">
        <f t="shared" si="14"/>
        <v>0</v>
      </c>
      <c r="U39" s="17">
        <f t="shared" si="4"/>
        <v>0</v>
      </c>
      <c r="V39" s="18">
        <f t="shared" si="12"/>
        <v>0</v>
      </c>
      <c r="W39" s="16">
        <f t="shared" si="13"/>
        <v>0</v>
      </c>
    </row>
    <row r="40" spans="2:23" x14ac:dyDescent="0.35">
      <c r="B40" s="47">
        <f t="shared" si="0"/>
        <v>45088</v>
      </c>
      <c r="C40" s="48">
        <f t="shared" si="1"/>
        <v>45089</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5"/>
        <v>0</v>
      </c>
      <c r="I40" s="13"/>
      <c r="J40" s="13"/>
      <c r="K40" s="13">
        <f t="shared" si="6"/>
        <v>12131.72</v>
      </c>
      <c r="L40" s="13">
        <f t="shared" si="7"/>
        <v>7.4751337753424707</v>
      </c>
      <c r="M40" s="13">
        <f t="shared" si="8"/>
        <v>89.398404155323803</v>
      </c>
      <c r="N40" s="13">
        <f t="shared" si="3"/>
        <v>0</v>
      </c>
      <c r="O40" s="13">
        <f t="shared" si="9"/>
        <v>0</v>
      </c>
      <c r="P40" s="13">
        <f t="shared" si="10"/>
        <v>0</v>
      </c>
      <c r="Q40" s="13">
        <f t="shared" si="11"/>
        <v>12049.8</v>
      </c>
      <c r="R40" s="17"/>
      <c r="S40" s="17"/>
      <c r="T40" s="17">
        <f t="shared" si="14"/>
        <v>0</v>
      </c>
      <c r="U40" s="17">
        <f t="shared" si="4"/>
        <v>0</v>
      </c>
      <c r="V40" s="18">
        <f t="shared" si="12"/>
        <v>0</v>
      </c>
      <c r="W40" s="16">
        <f t="shared" si="13"/>
        <v>0</v>
      </c>
    </row>
    <row r="41" spans="2:23" x14ac:dyDescent="0.35">
      <c r="B41" s="47">
        <f t="shared" si="0"/>
        <v>45089</v>
      </c>
      <c r="C41" s="48">
        <f t="shared" si="1"/>
        <v>45090</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5"/>
        <v>0</v>
      </c>
      <c r="I41" s="13"/>
      <c r="J41" s="13"/>
      <c r="K41" s="13">
        <f t="shared" si="6"/>
        <v>12139.2</v>
      </c>
      <c r="L41" s="13">
        <f t="shared" si="7"/>
        <v>7.4797426849315087</v>
      </c>
      <c r="M41" s="13">
        <f t="shared" si="8"/>
        <v>96.878146840255312</v>
      </c>
      <c r="N41" s="13">
        <f t="shared" si="3"/>
        <v>0</v>
      </c>
      <c r="O41" s="13">
        <f t="shared" si="9"/>
        <v>0</v>
      </c>
      <c r="P41" s="13">
        <f t="shared" si="10"/>
        <v>0</v>
      </c>
      <c r="Q41" s="13">
        <f t="shared" si="11"/>
        <v>12049.8</v>
      </c>
      <c r="R41" s="17"/>
      <c r="S41" s="17"/>
      <c r="T41" s="17">
        <f t="shared" si="14"/>
        <v>0</v>
      </c>
      <c r="U41" s="17">
        <f t="shared" si="4"/>
        <v>0</v>
      </c>
      <c r="V41" s="18">
        <f t="shared" si="12"/>
        <v>0</v>
      </c>
      <c r="W41" s="16">
        <f t="shared" si="13"/>
        <v>0</v>
      </c>
    </row>
    <row r="42" spans="2:23" x14ac:dyDescent="0.35">
      <c r="B42" s="47">
        <f>C42-2</f>
        <v>45089</v>
      </c>
      <c r="C42" s="48">
        <f t="shared" si="1"/>
        <v>45091</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5"/>
        <v>0</v>
      </c>
      <c r="I42" s="13"/>
      <c r="J42" s="13"/>
      <c r="K42" s="13">
        <f t="shared" si="6"/>
        <v>12146.68</v>
      </c>
      <c r="L42" s="13">
        <f t="shared" si="7"/>
        <v>7.4843515945205468</v>
      </c>
      <c r="M42" s="13">
        <f t="shared" si="8"/>
        <v>104.36249843477586</v>
      </c>
      <c r="N42" s="13">
        <f t="shared" si="3"/>
        <v>0</v>
      </c>
      <c r="O42" s="13">
        <f t="shared" si="9"/>
        <v>0</v>
      </c>
      <c r="P42" s="13">
        <f t="shared" si="10"/>
        <v>0</v>
      </c>
      <c r="Q42" s="13">
        <f t="shared" si="11"/>
        <v>12049.8</v>
      </c>
      <c r="R42" s="17"/>
      <c r="S42" s="17"/>
      <c r="T42" s="17">
        <f>T41+U41+R42+S42-H42</f>
        <v>0</v>
      </c>
      <c r="U42" s="17">
        <f>V42-V41</f>
        <v>0</v>
      </c>
      <c r="V42" s="18">
        <f t="shared" si="12"/>
        <v>0</v>
      </c>
      <c r="W42" s="16">
        <f t="shared" si="13"/>
        <v>0</v>
      </c>
    </row>
    <row r="43" spans="2:23" x14ac:dyDescent="0.35">
      <c r="B43" s="47">
        <f t="shared" si="0"/>
        <v>45091</v>
      </c>
      <c r="C43" s="48">
        <f t="shared" si="1"/>
        <v>45092</v>
      </c>
      <c r="D43" s="33"/>
      <c r="E43" s="13">
        <f>IF(SUM(E$29:E42)=$I$24,0,IF((D43&lt;=$I$24-SUM(E$29:E42)),D43,$I$24-SUM(E$29:E42)))</f>
        <v>0</v>
      </c>
      <c r="F43" s="13">
        <f>IF($I$19&gt;0,IF(SUM(F$29:F42)&lt;$I$19,IF((D43-E43)&gt;0,IF($I$20=0,IF($I$19-SUM(F$29:F42)&gt;D43,D43,$I$19-SUM(F$29:F42)),E43),D43),0)+IF($I$20&gt;0,IF(D43-$I$20-SUM($H$29:H42)-IF($I$19=0,0,E43)&gt;0,IF(D43-$I$20-SUM($H$29:H42)-IF($I$19=0,0,E43)&gt;$I$19,$I$19-SUM(F$29:F42)-E43,D43-$I$20-SUM($H$29:H42)-IF($I$19=0,0,E43)),0),0),0)</f>
        <v>0</v>
      </c>
      <c r="G43" s="13">
        <f t="shared" si="2"/>
        <v>0</v>
      </c>
      <c r="H43" s="17">
        <f t="shared" si="5"/>
        <v>0</v>
      </c>
      <c r="I43" s="13"/>
      <c r="J43" s="13"/>
      <c r="K43" s="13">
        <f t="shared" si="6"/>
        <v>12154.16</v>
      </c>
      <c r="L43" s="13">
        <f t="shared" si="7"/>
        <v>7.4889605041095848</v>
      </c>
      <c r="M43" s="13">
        <f t="shared" si="8"/>
        <v>111.85145893888544</v>
      </c>
      <c r="N43" s="13">
        <f t="shared" si="3"/>
        <v>0</v>
      </c>
      <c r="O43" s="13">
        <f t="shared" si="9"/>
        <v>0</v>
      </c>
      <c r="P43" s="13">
        <f t="shared" si="10"/>
        <v>0</v>
      </c>
      <c r="Q43" s="13">
        <f t="shared" si="11"/>
        <v>12049.8</v>
      </c>
      <c r="R43" s="17"/>
      <c r="S43" s="17"/>
      <c r="T43" s="17">
        <f>T42+U42+R43+S43-H43</f>
        <v>0</v>
      </c>
      <c r="U43" s="17">
        <f t="shared" si="4"/>
        <v>0</v>
      </c>
      <c r="V43" s="18">
        <f t="shared" si="12"/>
        <v>0</v>
      </c>
      <c r="W43" s="16">
        <f t="shared" si="13"/>
        <v>0</v>
      </c>
    </row>
    <row r="44" spans="2:23" x14ac:dyDescent="0.35">
      <c r="B44" s="47">
        <f t="shared" si="0"/>
        <v>45092</v>
      </c>
      <c r="C44" s="48">
        <f t="shared" si="1"/>
        <v>45093</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5"/>
        <v>0</v>
      </c>
      <c r="I44" s="13"/>
      <c r="J44" s="13"/>
      <c r="K44" s="13">
        <f t="shared" si="6"/>
        <v>12161.65</v>
      </c>
      <c r="L44" s="13">
        <f t="shared" si="7"/>
        <v>7.4935755753424615</v>
      </c>
      <c r="M44" s="13">
        <f t="shared" si="8"/>
        <v>119.3450345142279</v>
      </c>
      <c r="N44" s="13">
        <f t="shared" si="3"/>
        <v>0</v>
      </c>
      <c r="O44" s="13">
        <f t="shared" si="9"/>
        <v>0</v>
      </c>
      <c r="P44" s="13">
        <f t="shared" si="10"/>
        <v>0</v>
      </c>
      <c r="Q44" s="13">
        <f t="shared" si="11"/>
        <v>12049.8</v>
      </c>
      <c r="R44" s="17"/>
      <c r="S44" s="17"/>
      <c r="T44" s="17">
        <f t="shared" si="14"/>
        <v>0</v>
      </c>
      <c r="U44" s="17">
        <f t="shared" si="4"/>
        <v>0</v>
      </c>
      <c r="V44" s="18">
        <f t="shared" si="12"/>
        <v>0</v>
      </c>
      <c r="W44" s="16">
        <f t="shared" si="13"/>
        <v>0</v>
      </c>
    </row>
    <row r="45" spans="2:23" x14ac:dyDescent="0.35">
      <c r="B45" s="47">
        <f t="shared" si="0"/>
        <v>45093</v>
      </c>
      <c r="C45" s="48">
        <f t="shared" si="1"/>
        <v>45094</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5"/>
        <v>0</v>
      </c>
      <c r="I45" s="13"/>
      <c r="J45" s="13"/>
      <c r="K45" s="13">
        <f t="shared" si="6"/>
        <v>12169.14</v>
      </c>
      <c r="L45" s="13">
        <f t="shared" si="7"/>
        <v>7.4981906465753383</v>
      </c>
      <c r="M45" s="13">
        <f t="shared" si="8"/>
        <v>126.84322516080324</v>
      </c>
      <c r="N45" s="13">
        <f t="shared" si="3"/>
        <v>0</v>
      </c>
      <c r="O45" s="13">
        <f t="shared" si="9"/>
        <v>0</v>
      </c>
      <c r="P45" s="13">
        <f t="shared" si="10"/>
        <v>0</v>
      </c>
      <c r="Q45" s="13">
        <f t="shared" si="11"/>
        <v>12049.79</v>
      </c>
      <c r="R45" s="17"/>
      <c r="S45" s="17"/>
      <c r="T45" s="17">
        <f t="shared" si="14"/>
        <v>0</v>
      </c>
      <c r="U45" s="17">
        <f t="shared" si="4"/>
        <v>0</v>
      </c>
      <c r="V45" s="18">
        <f t="shared" si="12"/>
        <v>0</v>
      </c>
      <c r="W45" s="16">
        <f>IF(T45=0,0,W44+R45+S45-H45)</f>
        <v>0</v>
      </c>
    </row>
    <row r="46" spans="2:23" x14ac:dyDescent="0.35">
      <c r="B46" s="47">
        <f t="shared" si="0"/>
        <v>45094</v>
      </c>
      <c r="C46" s="48">
        <f t="shared" si="1"/>
        <v>45095</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5"/>
        <v>0</v>
      </c>
      <c r="I46" s="13"/>
      <c r="J46" s="13"/>
      <c r="K46" s="13">
        <f t="shared" si="6"/>
        <v>12176.64</v>
      </c>
      <c r="L46" s="13">
        <f t="shared" si="7"/>
        <v>7.5028118794520395</v>
      </c>
      <c r="M46" s="13">
        <f t="shared" si="8"/>
        <v>134.34603704025528</v>
      </c>
      <c r="N46" s="13">
        <f t="shared" si="3"/>
        <v>0</v>
      </c>
      <c r="O46" s="13">
        <f t="shared" si="9"/>
        <v>0</v>
      </c>
      <c r="P46" s="13">
        <f t="shared" si="10"/>
        <v>0</v>
      </c>
      <c r="Q46" s="13">
        <f t="shared" si="11"/>
        <v>12049.8</v>
      </c>
      <c r="R46" s="17"/>
      <c r="S46" s="17"/>
      <c r="T46" s="17">
        <f t="shared" si="14"/>
        <v>0</v>
      </c>
      <c r="U46" s="17">
        <f t="shared" si="4"/>
        <v>0</v>
      </c>
      <c r="V46" s="18">
        <f t="shared" si="12"/>
        <v>0</v>
      </c>
      <c r="W46" s="16">
        <f>IF(T46=0,0,W45+R46+S46-H46)</f>
        <v>0</v>
      </c>
    </row>
    <row r="47" spans="2:23" x14ac:dyDescent="0.35">
      <c r="B47" s="47">
        <f t="shared" si="0"/>
        <v>45095</v>
      </c>
      <c r="C47" s="48">
        <f t="shared" si="1"/>
        <v>45096</v>
      </c>
      <c r="D47" s="33"/>
      <c r="E47" s="13">
        <f>IF(SUM(E$29:E46)=$I$24,0,IF((D47&lt;=$I$24-SUM(E$29:E46)),D47,$I$24-SUM(E$29:E46)))</f>
        <v>0</v>
      </c>
      <c r="F47" s="13">
        <f>IF($I$19&gt;0,IF(SUM(F$29:F46)&lt;$I$19,IF((D47-E47)&gt;0,IF($I$20=0,IF($I$19-SUM(F$29:F46)&gt;D47,D47,$I$19-SUM(F$29:F46)),E47),D47),0)+IF($I$20&gt;0,IF(D47-$I$20-SUM($H$29:H46)-IF($I$19=0,0,E47)&gt;0,IF(D47-$I$20-SUM($H$29:H46)-IF($I$19=0,0,E47)&gt;$I$19,$I$19-SUM(F$29:F46)-E47,D47-$I$20-SUM($H$29:H46)-IF($I$19=0,0,E47)),0),0),0)</f>
        <v>0</v>
      </c>
      <c r="G47" s="13">
        <f t="shared" si="2"/>
        <v>0</v>
      </c>
      <c r="H47" s="17">
        <f t="shared" si="5"/>
        <v>0</v>
      </c>
      <c r="I47" s="13"/>
      <c r="J47" s="13"/>
      <c r="K47" s="13">
        <f t="shared" si="6"/>
        <v>12184.14</v>
      </c>
      <c r="L47" s="13">
        <f t="shared" si="7"/>
        <v>7.507433112328755</v>
      </c>
      <c r="M47" s="13">
        <f t="shared" si="8"/>
        <v>141.85347015258404</v>
      </c>
      <c r="N47" s="13">
        <f t="shared" si="3"/>
        <v>0</v>
      </c>
      <c r="O47" s="13">
        <f t="shared" si="9"/>
        <v>0</v>
      </c>
      <c r="P47" s="13">
        <f t="shared" si="10"/>
        <v>0</v>
      </c>
      <c r="Q47" s="13">
        <f t="shared" si="11"/>
        <v>12049.79</v>
      </c>
      <c r="R47" s="17"/>
      <c r="S47" s="17"/>
      <c r="T47" s="17">
        <f t="shared" si="14"/>
        <v>0</v>
      </c>
      <c r="U47" s="17">
        <f t="shared" si="4"/>
        <v>0</v>
      </c>
      <c r="V47" s="18">
        <f t="shared" si="12"/>
        <v>0</v>
      </c>
      <c r="W47" s="16">
        <f t="shared" si="13"/>
        <v>0</v>
      </c>
    </row>
    <row r="48" spans="2:23" x14ac:dyDescent="0.35">
      <c r="B48" s="47">
        <f t="shared" si="0"/>
        <v>45096</v>
      </c>
      <c r="C48" s="48">
        <f t="shared" si="1"/>
        <v>45097</v>
      </c>
      <c r="D48" s="33"/>
      <c r="E48" s="13">
        <f>IF(SUM(E$29:E47)=$I$24,0,IF((D48&lt;=$I$24-SUM(E$29:E47)),D48,$I$24-SUM(E$29:E47)))</f>
        <v>0</v>
      </c>
      <c r="F48" s="13">
        <f>IF($I$19&gt;0,IF(SUM(F$29:F47)&lt;$I$19,IF((D48-E48)&gt;0,IF($I$20=0,IF($I$19-SUM(F$29:F47)&gt;D48,D48,$I$19-SUM(F$29:F47)),E48),D48),0)+IF($I$20&gt;0,IF(D48-$I$20-SUM($H$29:H47)-IF($I$19=0,0,E48)&gt;0,IF(D48-$I$20-SUM($H$29:H47)-IF($I$19=0,0,E48)&gt;$I$19,$I$19-SUM(F$29:F47)-E48,D48-$I$20-SUM($H$29:H47)-IF($I$19=0,0,E48)),0),0),0)</f>
        <v>0</v>
      </c>
      <c r="G48" s="13">
        <f t="shared" si="2"/>
        <v>0</v>
      </c>
      <c r="H48" s="17">
        <f t="shared" si="5"/>
        <v>0</v>
      </c>
      <c r="I48" s="13"/>
      <c r="J48" s="13"/>
      <c r="K48" s="13">
        <f t="shared" si="6"/>
        <v>12191.65</v>
      </c>
      <c r="L48" s="13">
        <f t="shared" si="7"/>
        <v>7.5120605068493091</v>
      </c>
      <c r="M48" s="13">
        <f t="shared" si="8"/>
        <v>149.36553065943335</v>
      </c>
      <c r="N48" s="13">
        <f t="shared" si="3"/>
        <v>0</v>
      </c>
      <c r="O48" s="13">
        <f t="shared" si="9"/>
        <v>0</v>
      </c>
      <c r="P48" s="13">
        <f t="shared" si="10"/>
        <v>0</v>
      </c>
      <c r="Q48" s="13">
        <f t="shared" si="11"/>
        <v>12049.8</v>
      </c>
      <c r="R48" s="17"/>
      <c r="S48" s="17"/>
      <c r="T48" s="17">
        <f t="shared" si="14"/>
        <v>0</v>
      </c>
      <c r="U48" s="17">
        <f t="shared" si="4"/>
        <v>0</v>
      </c>
      <c r="V48" s="18">
        <f t="shared" si="12"/>
        <v>0</v>
      </c>
      <c r="W48" s="16">
        <f t="shared" si="13"/>
        <v>0</v>
      </c>
    </row>
    <row r="49" spans="2:23" x14ac:dyDescent="0.35">
      <c r="B49" s="47">
        <f t="shared" si="0"/>
        <v>45097</v>
      </c>
      <c r="C49" s="48">
        <f t="shared" si="1"/>
        <v>45098</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5"/>
        <v>0</v>
      </c>
      <c r="I49" s="13"/>
      <c r="J49" s="13"/>
      <c r="K49" s="13">
        <f t="shared" si="6"/>
        <v>12199.16</v>
      </c>
      <c r="L49" s="13">
        <f t="shared" si="7"/>
        <v>7.5166879013698633</v>
      </c>
      <c r="M49" s="13">
        <f t="shared" si="8"/>
        <v>156.88221856080321</v>
      </c>
      <c r="N49" s="13">
        <f t="shared" si="3"/>
        <v>0</v>
      </c>
      <c r="O49" s="13">
        <f t="shared" si="9"/>
        <v>0</v>
      </c>
      <c r="P49" s="13">
        <f t="shared" si="10"/>
        <v>0</v>
      </c>
      <c r="Q49" s="13">
        <f t="shared" si="11"/>
        <v>12049.79</v>
      </c>
      <c r="R49" s="17"/>
      <c r="S49" s="17"/>
      <c r="T49" s="17">
        <f t="shared" si="14"/>
        <v>0</v>
      </c>
      <c r="U49" s="17">
        <f t="shared" si="4"/>
        <v>0</v>
      </c>
      <c r="V49" s="18">
        <f t="shared" si="12"/>
        <v>0</v>
      </c>
      <c r="W49" s="16">
        <f t="shared" si="13"/>
        <v>0</v>
      </c>
    </row>
    <row r="50" spans="2:23" x14ac:dyDescent="0.35">
      <c r="B50" s="47">
        <f t="shared" si="0"/>
        <v>45098</v>
      </c>
      <c r="C50" s="48">
        <f t="shared" si="1"/>
        <v>45099</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5"/>
        <v>0</v>
      </c>
      <c r="I50" s="13"/>
      <c r="J50" s="13"/>
      <c r="K50" s="13">
        <f t="shared" si="6"/>
        <v>12206.68</v>
      </c>
      <c r="L50" s="13">
        <f t="shared" si="7"/>
        <v>7.521321457534242</v>
      </c>
      <c r="M50" s="13">
        <f t="shared" si="8"/>
        <v>164.40354001833745</v>
      </c>
      <c r="N50" s="13">
        <f t="shared" si="3"/>
        <v>0</v>
      </c>
      <c r="O50" s="13">
        <f t="shared" si="9"/>
        <v>0</v>
      </c>
      <c r="P50" s="13">
        <f t="shared" si="10"/>
        <v>0</v>
      </c>
      <c r="Q50" s="13">
        <f t="shared" si="11"/>
        <v>12049.8</v>
      </c>
      <c r="R50" s="17"/>
      <c r="S50" s="17"/>
      <c r="T50" s="17">
        <f t="shared" si="14"/>
        <v>0</v>
      </c>
      <c r="U50" s="17">
        <f t="shared" si="4"/>
        <v>0</v>
      </c>
      <c r="V50" s="18">
        <f t="shared" si="12"/>
        <v>0</v>
      </c>
      <c r="W50" s="16">
        <f t="shared" si="13"/>
        <v>0</v>
      </c>
    </row>
    <row r="51" spans="2:23" x14ac:dyDescent="0.35">
      <c r="B51" s="47">
        <f t="shared" si="0"/>
        <v>45099</v>
      </c>
      <c r="C51" s="48">
        <f t="shared" si="1"/>
        <v>45100</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5"/>
        <v>0</v>
      </c>
      <c r="I51" s="13"/>
      <c r="J51" s="13"/>
      <c r="K51" s="13">
        <f>IF(SUM($F$29:$F$53)&gt;=$I$19,0,ROUND(K50+L50-F51,2))</f>
        <v>12214.2</v>
      </c>
      <c r="L51" s="13">
        <f t="shared" si="7"/>
        <v>7.5259550136986206</v>
      </c>
      <c r="M51" s="13">
        <f t="shared" si="8"/>
        <v>171.92949503203607</v>
      </c>
      <c r="N51" s="13">
        <f t="shared" si="3"/>
        <v>0</v>
      </c>
      <c r="O51" s="13">
        <f t="shared" si="9"/>
        <v>0</v>
      </c>
      <c r="P51" s="13">
        <f t="shared" si="10"/>
        <v>0</v>
      </c>
      <c r="Q51" s="13">
        <f t="shared" si="11"/>
        <v>12049.8</v>
      </c>
      <c r="R51" s="17"/>
      <c r="S51" s="17"/>
      <c r="T51" s="17">
        <f t="shared" si="14"/>
        <v>0</v>
      </c>
      <c r="U51" s="17">
        <f t="shared" si="4"/>
        <v>0</v>
      </c>
      <c r="V51" s="18">
        <f t="shared" si="12"/>
        <v>0</v>
      </c>
      <c r="W51" s="16">
        <f t="shared" si="13"/>
        <v>0</v>
      </c>
    </row>
    <row r="52" spans="2:23" x14ac:dyDescent="0.35">
      <c r="B52" s="47">
        <f t="shared" si="0"/>
        <v>45100</v>
      </c>
      <c r="C52" s="48">
        <f t="shared" si="1"/>
        <v>45101</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5"/>
        <v>0</v>
      </c>
      <c r="I52" s="13"/>
      <c r="J52" s="13"/>
      <c r="K52" s="13">
        <f t="shared" si="6"/>
        <v>12221.73</v>
      </c>
      <c r="L52" s="13">
        <f t="shared" si="7"/>
        <v>7.5305947315068522</v>
      </c>
      <c r="M52" s="13">
        <f t="shared" si="8"/>
        <v>179.46008976354292</v>
      </c>
      <c r="N52" s="13">
        <f>ROUND(N51+I52+J52+O51-G52,2)</f>
        <v>0</v>
      </c>
      <c r="O52" s="13">
        <f t="shared" si="9"/>
        <v>0</v>
      </c>
      <c r="P52" s="13">
        <f t="shared" si="10"/>
        <v>0</v>
      </c>
      <c r="Q52" s="13">
        <f t="shared" si="11"/>
        <v>12049.8</v>
      </c>
      <c r="R52" s="17"/>
      <c r="S52" s="17"/>
      <c r="T52" s="17">
        <f t="shared" si="14"/>
        <v>0</v>
      </c>
      <c r="U52" s="17">
        <f t="shared" si="4"/>
        <v>0</v>
      </c>
      <c r="V52" s="18">
        <f t="shared" si="12"/>
        <v>0</v>
      </c>
      <c r="W52" s="16">
        <f t="shared" si="13"/>
        <v>0</v>
      </c>
    </row>
    <row r="53" spans="2:23" x14ac:dyDescent="0.35">
      <c r="B53" s="47">
        <f t="shared" si="0"/>
        <v>45101</v>
      </c>
      <c r="C53" s="48">
        <f t="shared" si="1"/>
        <v>45102</v>
      </c>
      <c r="D53" s="33"/>
      <c r="E53" s="13">
        <f>IF(SUM(E$29:E52)=$I$24,0,IF((D53&lt;=$I$24-SUM(E$29:E52)),D53,$I$24-SUM(E$29:E52)))</f>
        <v>0</v>
      </c>
      <c r="F53" s="13">
        <f>IF($I$19&gt;0,IF(SUM(F$29:F52)&lt;$I$19,IF((D53-E53)&gt;0,IF($I$20=0,IF($I$19-SUM(F$29:F52)&gt;D53,D53,$I$19-SUM(F$29:F52)),E53),D53),0)+IF($I$20&gt;0,IF(D53-$I$20-SUM($H$29:H52)-IF($I$19=0,0,E53)&gt;0,IF(D53-$I$20-SUM($H$29:H52)-IF($I$19=0,0,E53)&gt;$I$19,$I$19-SUM(F$29:F52)-E53,D53-$I$20-SUM($H$29:H52)-IF($I$19=0,0,E53)),0),0),0)</f>
        <v>0</v>
      </c>
      <c r="G53" s="13">
        <f t="shared" si="2"/>
        <v>0</v>
      </c>
      <c r="H53" s="17">
        <f t="shared" si="5"/>
        <v>0</v>
      </c>
      <c r="I53" s="13"/>
      <c r="J53" s="13"/>
      <c r="K53" s="13">
        <f t="shared" si="6"/>
        <v>12229.26</v>
      </c>
      <c r="L53" s="13">
        <f t="shared" si="7"/>
        <v>7.5352344493150554</v>
      </c>
      <c r="M53" s="13">
        <f t="shared" si="8"/>
        <v>186.99532421285798</v>
      </c>
      <c r="N53" s="13">
        <f t="shared" si="3"/>
        <v>0</v>
      </c>
      <c r="O53" s="13">
        <f t="shared" si="9"/>
        <v>0</v>
      </c>
      <c r="P53" s="13">
        <f t="shared" si="10"/>
        <v>0</v>
      </c>
      <c r="Q53" s="13">
        <f t="shared" si="11"/>
        <v>12049.8</v>
      </c>
      <c r="R53" s="17"/>
      <c r="S53" s="17"/>
      <c r="T53" s="17">
        <f t="shared" si="14"/>
        <v>0</v>
      </c>
      <c r="U53" s="17">
        <f t="shared" si="4"/>
        <v>0</v>
      </c>
      <c r="V53" s="18">
        <f t="shared" si="12"/>
        <v>0</v>
      </c>
      <c r="W53" s="16">
        <f t="shared" si="13"/>
        <v>0</v>
      </c>
    </row>
    <row r="54" spans="2:23" x14ac:dyDescent="0.35">
      <c r="B54" s="47">
        <f t="shared" si="0"/>
        <v>45102</v>
      </c>
      <c r="C54" s="48">
        <f t="shared" si="1"/>
        <v>45103</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5"/>
        <v>0</v>
      </c>
      <c r="I54" s="13"/>
      <c r="J54" s="13"/>
      <c r="K54" s="13">
        <f t="shared" si="6"/>
        <v>12236.8</v>
      </c>
      <c r="L54" s="13">
        <f t="shared" si="7"/>
        <v>7.5398803287671115</v>
      </c>
      <c r="M54" s="13">
        <f t="shared" si="8"/>
        <v>194.53520454162509</v>
      </c>
      <c r="N54" s="13">
        <f t="shared" si="3"/>
        <v>0</v>
      </c>
      <c r="O54" s="13">
        <f t="shared" si="9"/>
        <v>0</v>
      </c>
      <c r="P54" s="13">
        <f>ROUND(P53+N54*$F$22,2)</f>
        <v>0</v>
      </c>
      <c r="Q54" s="13">
        <f t="shared" si="11"/>
        <v>12049.8</v>
      </c>
      <c r="R54" s="17"/>
      <c r="S54" s="17"/>
      <c r="T54" s="17">
        <f t="shared" si="14"/>
        <v>0</v>
      </c>
      <c r="U54" s="17">
        <f t="shared" si="4"/>
        <v>0</v>
      </c>
      <c r="V54" s="18">
        <f t="shared" si="12"/>
        <v>0</v>
      </c>
      <c r="W54" s="16">
        <f t="shared" si="13"/>
        <v>0</v>
      </c>
    </row>
    <row r="55" spans="2:23" x14ac:dyDescent="0.35">
      <c r="B55" s="47">
        <f t="shared" si="0"/>
        <v>45103</v>
      </c>
      <c r="C55" s="48">
        <f t="shared" si="1"/>
        <v>45104</v>
      </c>
      <c r="D55" s="33"/>
      <c r="E55" s="13">
        <f>IF(SUM(E$29:E54)=$I$24,0,IF((D55&lt;=$I$24-SUM(E$29:E54)),D55,$I$24-SUM(E$29:E54)))</f>
        <v>0</v>
      </c>
      <c r="F55" s="13">
        <f>IF($I$19&gt;0,IF(SUM(F$29:F54)&lt;$I$19,IF((D55-E55)&gt;0,IF($I$20=0,IF($I$19-SUM(F$29:F54)&gt;D55,D55,$I$19-SUM(F$29:F54)),E55),D55),0)+IF($I$20&gt;0,IF(D55-$I$20-SUM($H$29:H54)-IF($I$19=0,0,E55)&gt;0,IF(D55-$I$20-SUM($H$29:H54)-IF($I$19=0,0,E55)&gt;$I$19,$I$19-SUM(F$29:F54)-E55,D55-$I$20-SUM($H$29:H54)-IF($I$19=0,0,E55)),0),0),0)</f>
        <v>0</v>
      </c>
      <c r="G55" s="13">
        <f t="shared" si="2"/>
        <v>0</v>
      </c>
      <c r="H55" s="17">
        <f t="shared" si="5"/>
        <v>0</v>
      </c>
      <c r="I55" s="13"/>
      <c r="J55" s="13"/>
      <c r="K55" s="13">
        <f t="shared" si="6"/>
        <v>12244.34</v>
      </c>
      <c r="L55" s="13">
        <f t="shared" si="7"/>
        <v>7.5445262082191675</v>
      </c>
      <c r="M55" s="13">
        <f t="shared" si="8"/>
        <v>202.07973074984426</v>
      </c>
      <c r="N55" s="13">
        <f t="shared" si="3"/>
        <v>0</v>
      </c>
      <c r="O55" s="13">
        <f t="shared" si="9"/>
        <v>0</v>
      </c>
      <c r="P55" s="13">
        <f t="shared" si="10"/>
        <v>0</v>
      </c>
      <c r="Q55" s="13">
        <f t="shared" si="11"/>
        <v>12049.8</v>
      </c>
      <c r="R55" s="17"/>
      <c r="S55" s="17"/>
      <c r="T55" s="17">
        <f t="shared" si="14"/>
        <v>0</v>
      </c>
      <c r="U55" s="17">
        <f t="shared" si="4"/>
        <v>0</v>
      </c>
      <c r="V55" s="18">
        <f t="shared" si="12"/>
        <v>0</v>
      </c>
      <c r="W55" s="16">
        <f t="shared" si="13"/>
        <v>0</v>
      </c>
    </row>
    <row r="56" spans="2:23" x14ac:dyDescent="0.35">
      <c r="B56" s="47">
        <f t="shared" si="0"/>
        <v>45104</v>
      </c>
      <c r="C56" s="48">
        <f t="shared" si="1"/>
        <v>45105</v>
      </c>
      <c r="D56" s="33"/>
      <c r="E56" s="14">
        <f>IF(SUM(E$29:E55)=$I$24,0,IF((D56&lt;=$I$24-SUM(E$29:E55)),D56,$I$24-SUM(E$29:E55)))</f>
        <v>0</v>
      </c>
      <c r="F56" s="13">
        <f>IF($I$19&gt;0,IF(SUM(F$29:F55)&lt;$I$19,IF((D56-E56)&gt;0,IF($I$20=0,IF($I$19-SUM(F$29:F55)&gt;D56,D56,$I$19-SUM(F$29:F55)),E56),D56),0)+IF($I$20&gt;0,IF(D56-$I$20-SUM($H$29:H55)-IF($I$19=0,0,E56)&gt;0,IF(D56-$I$20-SUM($H$29:H55)-IF($I$19=0,0,E56)&gt;$I$19,$I$19-SUM(F$29:F55)-E56,D56-$I$20-SUM($H$29:H55)-IF($I$19=0,0,E56)),0),0),0)</f>
        <v>0</v>
      </c>
      <c r="G56" s="13">
        <f t="shared" si="2"/>
        <v>0</v>
      </c>
      <c r="H56" s="17">
        <f t="shared" si="5"/>
        <v>0</v>
      </c>
      <c r="I56" s="13"/>
      <c r="J56" s="13"/>
      <c r="K56" s="13">
        <f t="shared" si="6"/>
        <v>12251.88</v>
      </c>
      <c r="L56" s="13">
        <f t="shared" si="7"/>
        <v>7.5491720876712236</v>
      </c>
      <c r="M56" s="13">
        <f t="shared" si="8"/>
        <v>209.62890283751548</v>
      </c>
      <c r="N56" s="13">
        <f t="shared" si="3"/>
        <v>0</v>
      </c>
      <c r="O56" s="13">
        <f t="shared" si="9"/>
        <v>0</v>
      </c>
      <c r="P56" s="13">
        <f t="shared" si="10"/>
        <v>0</v>
      </c>
      <c r="Q56" s="13">
        <f t="shared" si="11"/>
        <v>12049.8</v>
      </c>
      <c r="R56" s="17"/>
      <c r="S56" s="17"/>
      <c r="T56" s="17">
        <f t="shared" si="14"/>
        <v>0</v>
      </c>
      <c r="U56" s="17">
        <f t="shared" si="4"/>
        <v>0</v>
      </c>
      <c r="V56" s="18">
        <f t="shared" si="12"/>
        <v>0</v>
      </c>
      <c r="W56" s="16">
        <f t="shared" si="13"/>
        <v>0</v>
      </c>
    </row>
    <row r="57" spans="2:23" x14ac:dyDescent="0.35">
      <c r="B57" s="47">
        <f t="shared" si="0"/>
        <v>45105</v>
      </c>
      <c r="C57" s="48">
        <f t="shared" si="1"/>
        <v>45106</v>
      </c>
      <c r="D57" s="33"/>
      <c r="E57" s="13">
        <f>IF(SUM(E$29:E56)=$I$24,0,IF((D57&lt;=$I$24-SUM(E$29:E56)),D57,$I$24-SUM(E$29:E56)))</f>
        <v>0</v>
      </c>
      <c r="F57" s="13">
        <f>IF($I$19&gt;0,IF(SUM(F$29:F56)&lt;$I$19,IF((D57-E57)&gt;0,IF($I$20=0,IF($I$19-SUM(F$29:F56)&gt;D57,D57,$I$19-SUM(F$29:F56)),E57),D57),0)+IF($I$20&gt;0,IF(D57-$I$20-SUM($H$29:H56)-IF($I$19=0,0,E57)&gt;0,IF(D57-$I$20-SUM($H$29:H56)-IF($I$19=0,0,E57)&gt;$I$19,$I$19-SUM(F$29:F56)-E57,D57-$I$20-SUM($H$29:H56)-IF($I$19=0,0,E57)),0),0),0)</f>
        <v>0</v>
      </c>
      <c r="G57" s="13">
        <f t="shared" si="2"/>
        <v>0</v>
      </c>
      <c r="H57" s="17">
        <f t="shared" si="5"/>
        <v>0</v>
      </c>
      <c r="I57" s="13"/>
      <c r="J57" s="13"/>
      <c r="K57" s="13">
        <f t="shared" si="6"/>
        <v>12259.43</v>
      </c>
      <c r="L57" s="13">
        <f t="shared" si="7"/>
        <v>7.5538241287671326</v>
      </c>
      <c r="M57" s="13">
        <f t="shared" si="8"/>
        <v>217.18272696628262</v>
      </c>
      <c r="N57" s="13">
        <f t="shared" si="3"/>
        <v>0</v>
      </c>
      <c r="O57" s="13">
        <f t="shared" si="9"/>
        <v>0</v>
      </c>
      <c r="P57" s="13">
        <f>ROUND(P56+N57*$F$22,2)</f>
        <v>0</v>
      </c>
      <c r="Q57" s="13">
        <f t="shared" si="11"/>
        <v>12049.8</v>
      </c>
      <c r="R57" s="17"/>
      <c r="S57" s="17"/>
      <c r="T57" s="17">
        <f t="shared" si="14"/>
        <v>0</v>
      </c>
      <c r="U57" s="17">
        <f t="shared" si="4"/>
        <v>0</v>
      </c>
      <c r="V57" s="18">
        <f t="shared" si="12"/>
        <v>0</v>
      </c>
      <c r="W57" s="16">
        <f t="shared" si="13"/>
        <v>0</v>
      </c>
    </row>
    <row r="58" spans="2:23" ht="15" thickBot="1" x14ac:dyDescent="0.4">
      <c r="B58" s="47">
        <f t="shared" ref="B58" si="15">C58-1</f>
        <v>45106</v>
      </c>
      <c r="C58" s="48">
        <f t="shared" si="1"/>
        <v>45107</v>
      </c>
      <c r="D58" s="33"/>
      <c r="E58" s="13">
        <f>IF(SUM(E$29:E57)=$I$24,0,IF((D58&lt;=$I$24-SUM(E$29:E57)),D58,$I$24-SUM(E$29:E57)))</f>
        <v>0</v>
      </c>
      <c r="F58" s="13">
        <f>IF($I$19&gt;0,IF(SUM(F$29:F57)&lt;$I$19,IF((D58-E58)&gt;0,IF($I$20=0,IF($I$19-SUM(F$29:F57)&gt;D58,D58,$I$19-SUM(F$29:F57)),E58),D58),0)+IF($I$20&gt;0,IF(D58-$I$20-SUM($H$29:H57)-IF($I$19=0,0,E58)&gt;0,IF(D58-$I$20-SUM($H$29:H57)-IF($I$19=0,0,E58)&gt;$I$19,$I$19-SUM(F$29:F57)-E58,D58-$I$20-SUM($H$29:H57)-IF($I$19=0,0,E58)),0),0),0)</f>
        <v>0</v>
      </c>
      <c r="G58" s="13">
        <f t="shared" ref="G58" si="16">ROUND(D58-F58-H58,2)</f>
        <v>0</v>
      </c>
      <c r="H58" s="17">
        <f t="shared" ref="H58" si="17">IF((T57+U57-V57+R58+S58)&gt;0,IF($I$19=0,E58,0),0)+IF((T57+U57-V57+R58+S58)&gt;0,(IF((D58-F58)&gt;0,(IF((T57+U57-V57+R58+S58)&gt;(D58-F58),(D58-F58-IF($I$19=0,E58,0)),(T57+U57-V57+R58+S58-IF($I$19=0,E58,0)))),0)),0)</f>
        <v>0</v>
      </c>
      <c r="I58" s="13"/>
      <c r="J58" s="13"/>
      <c r="K58" s="13">
        <f t="shared" si="6"/>
        <v>12266.98</v>
      </c>
      <c r="L58" s="13">
        <f t="shared" ref="L58" si="18">M58-M57</f>
        <v>7.5584761698630132</v>
      </c>
      <c r="M58" s="13">
        <f t="shared" ref="M58" si="19">IF(K58=0,0,M57+K58*$F$22)</f>
        <v>224.74120313614563</v>
      </c>
      <c r="N58" s="13">
        <f t="shared" ref="N58" si="20">ROUND(N57+I58+J58+O57-G58,2)</f>
        <v>0</v>
      </c>
      <c r="O58" s="13">
        <f t="shared" ref="O58" si="21">P58-P57</f>
        <v>0</v>
      </c>
      <c r="P58" s="13">
        <f>ROUND(P57+N58*$F$22,2)</f>
        <v>0</v>
      </c>
      <c r="Q58" s="13">
        <f t="shared" ref="Q58" si="22">ROUND(N58+K58-M57-P57,2)</f>
        <v>12049.8</v>
      </c>
      <c r="R58" s="17"/>
      <c r="S58" s="17"/>
      <c r="T58" s="17">
        <f t="shared" ref="T58" si="23">T57+U57+R58+S58-H58</f>
        <v>0</v>
      </c>
      <c r="U58" s="17">
        <f t="shared" ref="U58" si="24">V58-V57</f>
        <v>0</v>
      </c>
      <c r="V58" s="18">
        <f t="shared" ref="V58" si="25">V57+T58*$F$23</f>
        <v>0</v>
      </c>
      <c r="W58" s="16">
        <f t="shared" ref="W58" si="26">IF(T58=0,0,W57+R58+S58-H58)</f>
        <v>0</v>
      </c>
    </row>
    <row r="59" spans="2:23" ht="15" thickBot="1" x14ac:dyDescent="0.4">
      <c r="B59" s="122" t="s">
        <v>49</v>
      </c>
      <c r="C59" s="123"/>
      <c r="D59" s="67">
        <f t="shared" ref="D59:L59" si="27">SUM(D29:D58)</f>
        <v>0</v>
      </c>
      <c r="E59" s="21">
        <f t="shared" si="27"/>
        <v>0</v>
      </c>
      <c r="F59" s="21">
        <f t="shared" si="27"/>
        <v>0</v>
      </c>
      <c r="G59" s="21">
        <f t="shared" si="27"/>
        <v>0</v>
      </c>
      <c r="H59" s="22">
        <f t="shared" si="27"/>
        <v>0</v>
      </c>
      <c r="I59" s="20">
        <f t="shared" si="27"/>
        <v>0</v>
      </c>
      <c r="J59" s="21">
        <f t="shared" si="27"/>
        <v>0</v>
      </c>
      <c r="K59" s="21">
        <f t="shared" si="27"/>
        <v>364742.28165715071</v>
      </c>
      <c r="L59" s="74">
        <f t="shared" si="27"/>
        <v>224.74120313614563</v>
      </c>
      <c r="M59" s="20"/>
      <c r="N59" s="21">
        <f>SUM(N29:N58)</f>
        <v>0</v>
      </c>
      <c r="O59" s="21">
        <f>SUM(O29:O58)</f>
        <v>0</v>
      </c>
      <c r="P59" s="20"/>
      <c r="Q59" s="20"/>
      <c r="R59" s="22">
        <f>SUM(R29:R58)</f>
        <v>0</v>
      </c>
      <c r="S59" s="22">
        <f>SUM(S29:S58)</f>
        <v>0</v>
      </c>
      <c r="T59" s="22">
        <f>SUM(T29:T58)</f>
        <v>0</v>
      </c>
      <c r="U59" s="22">
        <f>SUM(U29:U58)</f>
        <v>0</v>
      </c>
      <c r="V59" s="23"/>
      <c r="W59" s="23"/>
    </row>
    <row r="60" spans="2:23" ht="15" thickBot="1" x14ac:dyDescent="0.4">
      <c r="G60" s="61"/>
      <c r="J60" s="82" t="s">
        <v>71</v>
      </c>
      <c r="K60" s="82">
        <f>K59/$C$18</f>
        <v>12158.076055238356</v>
      </c>
      <c r="M60" s="82" t="s">
        <v>69</v>
      </c>
      <c r="N60" s="82">
        <f>N59/$C$18</f>
        <v>0</v>
      </c>
      <c r="O60" s="61"/>
      <c r="S60" s="82" t="s">
        <v>65</v>
      </c>
      <c r="T60" s="82">
        <f>T59/$C$18</f>
        <v>0</v>
      </c>
    </row>
    <row r="61" spans="2:23" ht="15" thickBot="1" x14ac:dyDescent="0.4">
      <c r="H61" s="2"/>
      <c r="J61" s="82" t="s">
        <v>72</v>
      </c>
      <c r="K61" s="82">
        <f>M58</f>
        <v>224.74120313614563</v>
      </c>
      <c r="M61" s="82" t="s">
        <v>70</v>
      </c>
      <c r="N61" s="82">
        <f>IF(ROUND(N58,2)=0,0,N60*$F$22*$C$18)</f>
        <v>0</v>
      </c>
      <c r="S61" s="82" t="s">
        <v>64</v>
      </c>
      <c r="T61" s="82">
        <f>T60*$F$23*$C$18</f>
        <v>0</v>
      </c>
    </row>
    <row r="62" spans="2:23" x14ac:dyDescent="0.35">
      <c r="M62" s="61"/>
      <c r="N62" s="61"/>
    </row>
  </sheetData>
  <mergeCells count="13">
    <mergeCell ref="R27:W27"/>
    <mergeCell ref="E2:F2"/>
    <mergeCell ref="H6:I6"/>
    <mergeCell ref="H10:J10"/>
    <mergeCell ref="J11:J12"/>
    <mergeCell ref="K11:K12"/>
    <mergeCell ref="H14:I14"/>
    <mergeCell ref="B59:C59"/>
    <mergeCell ref="H18:I18"/>
    <mergeCell ref="B21:C21"/>
    <mergeCell ref="E21:F21"/>
    <mergeCell ref="D27:H27"/>
    <mergeCell ref="I27:Q27"/>
  </mergeCells>
  <pageMargins left="0.7" right="0.7" top="0.75" bottom="0.75" header="0.3" footer="0.3"/>
  <pageSetup paperSize="9" orientation="portrait" horizontalDpi="4294967293"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P o F 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i d U o S K 0 A A A D 3 A A A A E g A A A E N v b m Z p Z y 9 Q Y W N r Y W d l L n h t b H q / e 7 + N f U V u j k J Z a l F x Z n 6 e r Z K h n o G S Q n F J Y l 5 K Y k 5 + X q q t U l 6 + k r 0 d L 5 d N Q G J y d m J 6 q g J Q d V 6 x V U V x i q 1 S R k l J g Z W + f n l 5 u V 6 5 s V 5 + U b q + k Y G B o X 6 E r 0 9 w c k Z q b q I S X H E m Y c W 6 m X k g a 5 N T l e x s w i C u s T P S M z S 0 1 D M x M N E z s N G H C d r 4 Z u Y h F B g B H Q y S R R K 0 c S 7 N K S k t S r V L z d P 1 9 L P R h 3 F t 9 K F + s A M A A A D / / w M A U E s D B B Q A A g A I A A A A I Q B a 0 w r L C Q E A A L E B A A A T A A A A R m 9 y b X V s Y X M v U 2 V j d G l v b j E u b X S P Q W u D Q B C F 7 0 L + w 7 K 5 K C y C N n p o 8 K Q t 9 N J S t K f a w 8 Z M 4 1 K d D b t j S A j + 9 6 5 I a A 9 x L 7 P z v e H N G w s N K Y 2 s n G u 0 9 T z b S g N 7 t u a W e m J + E n C W s Q 5 o 5 T H 3 S j 2 Y B h z J 7 S k s d D P 0 g O Q / q w 7 C X C O 5 x v o 8 f 6 w / L B h b S 2 m p r d 8 Q C q N O U B d g f 0 g f 6 8 k 5 p D P x Q H w W 0 K l e E Z i M C y 5 Y r r u h R 5 u l g j 1 h o / c K D 1 k U J 7 F g 7 4 M m K O n S Q f b 3 D V 8 1 w l c g 5 n B r n r c S D y 5 9 d T n C l L u S O z d U G Y n 2 W 5 t + d p 9 E 6 8 + X i O u V z z R y 2 8 k p j O B M o 2 A 3 H i / w h w W + c f w F K d 2 E 0 5 5 / Q r I k p D c n H P o d m H E M V p 7 C u y d t f w E A A P / / A w B Q S w E C L Q A U A A Y A C A A A A C E A K t 2 q Q N I A A A A 3 A Q A A E w A A A A A A A A A A A A A A A A A A A A A A W 0 N v b n R l b n R f V H l w Z X N d L n h t b F B L A Q I t A B Q A A g A I A A A A I Q C J 1 S h I r Q A A A P c A A A A S A A A A A A A A A A A A A A A A A A s D A A B D b 2 5 m a W c v U G F j a 2 F n Z S 5 4 b W x Q S w E C L Q A U A A I A C A A A A C E A W t M K y w k B A A C x A Q A A E w A A A A A A A A A A A A A A A A D o A w A A R m 9 y b X V s Y X M v U 2 V j d G l v b j E u b V B L B Q Y A A A A A A w A D A M I A A A A i B Q 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Q g o A A A A A A A A g C g 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3 N 0 b X Q l M j A o N S k 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z L T A 5 L T E y V D E 5 O j I 0 O j Q 5 L j g 3 N T M 4 M j F a I i 8 + P E V u d H J 5 I F R 5 c G U 9 I k Z p b G x D b 2 x 1 b W 5 U e X B l c y I g V m F s d W U 9 I n N C Z 1 l H Q X d N R i I v P j x F b n R y e S B U e X B l P S J G a W x s Q 2 9 s d W 1 u T m F t Z X M i I F Z h b H V l P S J z W y Z x d W 9 0 O 0 N v b H V t b j E m c X V v d D s s J n F 1 b 3 Q 7 Q 2 9 s d W 1 u M i Z x d W 9 0 O y w m c X V v d D t D b 2 x 1 b W 4 z J n F 1 b 3 Q 7 L C Z x d W 9 0 O 0 N v b H V t b j Q m c X V v d D s s J n F 1 b 3 Q 7 Q 2 9 s d W 1 u N S Z x d W 9 0 O y w m c X V v d D t D b 2 x 1 b W 4 2 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i w m c X V v d D t r Z X l D b 2 x 1 b W 5 O Y W 1 l c y Z x d W 9 0 O z p b X S w m c X V v d D t x d W V y e V J l b G F 0 a W 9 u c 2 h p c H M m c X V v d D s 6 W 1 0 s J n F 1 b 3 Q 7 Y 2 9 s d W 1 u S W R l b n R p d G l l c y Z x d W 9 0 O z p b J n F 1 b 3 Q 7 U 2 V j d G l v b j E v c 3 R t d C A o N S k v Q X V 0 b 1 J l b W 9 2 Z W R D b 2 x 1 b W 5 z M S 5 7 Q 2 9 s d W 1 u M S w w f S Z x d W 9 0 O y w m c X V v d D t T Z W N 0 a W 9 u M S 9 z d G 1 0 I C g 1 K S 9 B d X R v U m V t b 3 Z l Z E N v b H V t b n M x L n t D b 2 x 1 b W 4 y L D F 9 J n F 1 b 3 Q 7 L C Z x d W 9 0 O 1 N l Y 3 R p b 2 4 x L 3 N 0 b X Q g K D U p L 0 F 1 d G 9 S Z W 1 v d m V k Q 2 9 s d W 1 u c z E u e 0 N v b H V t b j M s M n 0 m c X V v d D s s J n F 1 b 3 Q 7 U 2 V j d G l v b j E v c 3 R t d C A o N S k v Q X V 0 b 1 J l b W 9 2 Z W R D b 2 x 1 b W 5 z M S 5 7 Q 2 9 s d W 1 u N C w z f S Z x d W 9 0 O y w m c X V v d D t T Z W N 0 a W 9 u M S 9 z d G 1 0 I C g 1 K S 9 B d X R v U m V t b 3 Z l Z E N v b H V t b n M x L n t D b 2 x 1 b W 4 1 L D R 9 J n F 1 b 3 Q 7 L C Z x d W 9 0 O 1 N l Y 3 R p b 2 4 x L 3 N 0 b X Q g K D U p L 0 F 1 d G 9 S Z W 1 v d m V k Q 2 9 s d W 1 u c z E u e 0 N v b H V t b j Y s N X 0 m c X V v d D t d L C Z x d W 9 0 O 0 N v b H V t b k N v d W 5 0 J n F 1 b 3 Q 7 O j Y s J n F 1 b 3 Q 7 S 2 V 5 Q 2 9 s d W 1 u T m F t Z X M m c X V v d D s 6 W 1 0 s J n F 1 b 3 Q 7 Q 2 9 s d W 1 u S W R l b n R p d G l l c y Z x d W 9 0 O z p b J n F 1 b 3 Q 7 U 2 V j d G l v b j E v c 3 R t d C A o N S k v Q X V 0 b 1 J l b W 9 2 Z W R D b 2 x 1 b W 5 z M S 5 7 Q 2 9 s d W 1 u M S w w f S Z x d W 9 0 O y w m c X V v d D t T Z W N 0 a W 9 u M S 9 z d G 1 0 I C g 1 K S 9 B d X R v U m V t b 3 Z l Z E N v b H V t b n M x L n t D b 2 x 1 b W 4 y L D F 9 J n F 1 b 3 Q 7 L C Z x d W 9 0 O 1 N l Y 3 R p b 2 4 x L 3 N 0 b X Q g K D U p L 0 F 1 d G 9 S Z W 1 v d m V k Q 2 9 s d W 1 u c z E u e 0 N v b H V t b j M s M n 0 m c X V v d D s s J n F 1 b 3 Q 7 U 2 V j d G l v b j E v c 3 R t d C A o N S k v Q X V 0 b 1 J l b W 9 2 Z W R D b 2 x 1 b W 5 z M S 5 7 Q 2 9 s d W 1 u N C w z f S Z x d W 9 0 O y w m c X V v d D t T Z W N 0 a W 9 u M S 9 z d G 1 0 I C g 1 K S 9 B d X R v U m V t b 3 Z l Z E N v b H V t b n M x L n t D b 2 x 1 b W 4 1 L D R 9 J n F 1 b 3 Q 7 L C Z x d W 9 0 O 1 N l Y 3 R p b 2 4 x L 3 N 0 b X Q g K D U p L 0 F 1 d G 9 S Z W 1 v d m V k Q 2 9 s d W 1 u c z E u e 0 N v b H V t b j Y s N X 0 m c X V v d D t d L C Z x d W 9 0 O 1 J l b G F 0 a W 9 u c 2 h p c E l u Z m 8 m c X V v d D s 6 W 1 1 9 I i 8 + P E V u d H J 5 I F R 5 c G U 9 I l J l c 3 V s d F R 5 c G U i I F Z h b H V l P S J z V G F i b G U i L z 4 8 R W 5 0 c n k g V H l w Z T 0 i R m l s b E 9 i a m V j d F R 5 c G U i I F Z h b H V l P S J z Q 2 9 u b m V j d G l v b k 9 u b H k i L z 4 8 R W 5 0 c n k g V H l w Z T 0 i T m F t Z V V w Z G F 0 Z W R B Z n R l c k Z p b G w i I F Z h b H V l P S J s M C I v P j w v U 3 R h Y m x l R W 5 0 c m l l c z 4 8 L 0 l 0 Z W 0 + P E l 0 Z W 0 + P E l 0 Z W 1 M b 2 N h d G l v b j 4 8 S X R l b V R 5 c G U + R m 9 y b X V s Y T w v S X R l b V R 5 c G U + P E l 0 Z W 1 Q Y X R o P l N l Y 3 R p b 2 4 x L 3 N 0 b X Q l M j A o N S k v U 2 9 1 c m N l P C 9 J d G V t U G F 0 a D 4 8 L 0 l 0 Z W 1 M b 2 N h d G l v b j 4 8 U 3 R h Y m x l R W 5 0 c m l l c y 8 + P C 9 J d G V t P j x J d G V t P j x J d G V t T G 9 j Y X R p b 2 4 + P E l 0 Z W 1 U e X B l P k Z v c m 1 1 b G E 8 L 0 l 0 Z W 1 U e X B l P j x J d G V t U G F 0 a D 5 T Z W N 0 a W 9 u M S 9 z d G 1 0 J T I w K D U p L 0 N o Y W 5 n Z W Q l M j B U e X B l P C 9 J d G V t U G F 0 a D 4 8 L 0 l 0 Z W 1 M b 2 N h d G l v b j 4 8 U 3 R h Y m x l R W 5 0 c m l l c y 8 + P C 9 J d G V t P j x J d G V t P j x J d G V t T G 9 j Y X R p b 2 4 + P E l 0 Z W 1 U e X B l P k F s b E Z v c m 1 1 b G F z P C 9 J d G V t V H l w Z T 4 8 S X R l b V B h d G g + P C 9 J d G V t U G F 0 a D 4 8 L 0 l 0 Z W 1 M b 2 N h d G l v b j 4 8 U 3 R h Y m x l R W 5 0 c m l l c y 8 + P C 9 J d G V t P j w v S X R l b X M + P C 9 M b 2 N h b F B h Y 2 t h Z 2 V N Z X R h Z G F 0 Y U Z p b G U + F g A A A F B L B Q Y A A A A A A A A A A A A A A A A A A A A A A A A m A Q A A A Q A A A N C M n d 8 B F d E R j H o A w E / C l + s B A A A A D D z z f T q M 9 E q h j B b b I p + k k g A A A A A C A A A A A A A Q Z g A A A A E A A C A A A A B V u y z H U M P p G 5 b k p 7 B R r h + k F p K v v o 9 6 G t G s m 6 h t F i T V h g A A A A A O g A A A A A I A A C A A A A A T + y 7 w v Q t u I n M m y x 6 J d f i y j j Y r k E m X k N l P 4 d g x a z O J 0 l A A A A D 9 0 i T j v H M f 7 + 7 6 G T 4 a p V 4 K m t c p j t a d d n 4 D S f D 1 b 1 B i o R D c r i D N x 0 5 w L P s / E K m w R Q I 1 O D E v S I b K l 4 9 v S m l k 5 a Z i k 1 K u j z + K O i 5 O O d z C W c + 3 r U A A A A C c b L / Y b 4 0 n Q k a g t Z J o l o 3 t f N K U t h 2 E J S 9 5 6 b v t K y C z u J x A / v T V t J n v K C 7 9 U j c D W K U + I C f R M 0 K h 8 r N Y + i K L O e 0 n < / D a t a M a s h u p > 
</file>

<file path=customXml/itemProps1.xml><?xml version="1.0" encoding="utf-8"?>
<ds:datastoreItem xmlns:ds="http://schemas.openxmlformats.org/officeDocument/2006/customXml" ds:itemID="{E82F93C0-6E16-4888-91E7-71FF0A0E12A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Jan Statement</vt:lpstr>
      <vt:lpstr>Feb Statement</vt:lpstr>
      <vt:lpstr>March Statement</vt:lpstr>
      <vt:lpstr>April Statement</vt:lpstr>
      <vt:lpstr>May Statement</vt:lpstr>
      <vt:lpstr>june Statement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Aastha Nagpal</dc:creator>
  <cp:lastModifiedBy>Vinod H R</cp:lastModifiedBy>
  <dcterms:created xsi:type="dcterms:W3CDTF">2023-04-06T07:36:04Z</dcterms:created>
  <dcterms:modified xsi:type="dcterms:W3CDTF">2024-02-12T11:00:46Z</dcterms:modified>
</cp:coreProperties>
</file>