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14A460AF-B7A3-4B19-9FE3-5596DFD34E66}" xr6:coauthVersionLast="47" xr6:coauthVersionMax="47" xr10:uidLastSave="{00000000-0000-0000-0000-000000000000}"/>
  <bookViews>
    <workbookView xWindow="-110" yWindow="-110" windowWidth="19420" windowHeight="10300" firstSheet="2" activeTab="2"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 i="13" l="1"/>
  <c r="M80" i="13" s="1"/>
  <c r="F4" i="15"/>
  <c r="C10" i="13"/>
  <c r="S60" i="16"/>
  <c r="R60" i="16"/>
  <c r="F7" i="16" s="1"/>
  <c r="J60" i="16"/>
  <c r="I7"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F8" i="16" l="1"/>
  <c r="E30" i="16"/>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M29" i="13" s="1"/>
  <c r="L29" i="13" s="1"/>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K29" i="16" s="1"/>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s="1"/>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K32" i="15" s="1"/>
  <c r="Q31"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s="1"/>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U45" i="14"/>
  <c r="O54" i="15"/>
  <c r="N55" i="15" s="1"/>
  <c r="Q55" i="15" l="1"/>
  <c r="H46" i="14"/>
  <c r="K61" i="15"/>
  <c r="L58" i="15"/>
  <c r="L59" i="15" s="1"/>
  <c r="P55" i="15"/>
  <c r="I15" i="15" l="1"/>
  <c r="F9" i="15" s="1"/>
  <c r="T46" i="14"/>
  <c r="O55" i="15"/>
  <c r="N56" i="15" s="1"/>
  <c r="P56" i="15" s="1"/>
  <c r="I19" i="13" l="1"/>
  <c r="F29" i="13" s="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O35" i="13"/>
  <c r="N36" i="13" s="1"/>
  <c r="U49" i="14"/>
  <c r="F45" i="13" l="1"/>
  <c r="G45" i="13" s="1"/>
  <c r="G42" i="13"/>
  <c r="G43" i="13"/>
  <c r="P36" i="13"/>
  <c r="H50" i="14"/>
  <c r="F46" i="13" l="1"/>
  <c r="G46" i="13" s="1"/>
  <c r="O36" i="13"/>
  <c r="N37" i="13" s="1"/>
  <c r="P37" i="13" s="1"/>
  <c r="T50" i="14"/>
  <c r="F47" i="13" l="1"/>
  <c r="G47" i="13" s="1"/>
  <c r="O37" i="13"/>
  <c r="N38" i="13" s="1"/>
  <c r="W50" i="14"/>
  <c r="V50" i="14"/>
  <c r="F48" i="13" l="1"/>
  <c r="G48" i="13" s="1"/>
  <c r="P38" i="13"/>
  <c r="U50" i="14"/>
  <c r="F49" i="13" l="1"/>
  <c r="F50" i="13" s="1"/>
  <c r="F51" i="13" s="1"/>
  <c r="G51" i="13" s="1"/>
  <c r="O38" i="13"/>
  <c r="N39" i="13" s="1"/>
  <c r="P39" i="13" s="1"/>
  <c r="O39" i="13" s="1"/>
  <c r="H51" i="14"/>
  <c r="T51" i="14" s="1"/>
  <c r="G49" i="13" l="1"/>
  <c r="G50" i="13"/>
  <c r="F52" i="13"/>
  <c r="G52" i="13" s="1"/>
  <c r="Q29" i="13"/>
  <c r="N40" i="13"/>
  <c r="W51" i="14"/>
  <c r="V51" i="14"/>
  <c r="F53" i="13" l="1"/>
  <c r="P40" i="13"/>
  <c r="U51" i="14"/>
  <c r="K30" i="13" l="1"/>
  <c r="M30" i="13" s="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I11" i="13"/>
  <c r="F5" i="13" s="1"/>
  <c r="Q36" i="13"/>
  <c r="U53" i="14"/>
  <c r="M37" i="13" l="1"/>
  <c r="L37" i="13" s="1"/>
  <c r="K66" i="13"/>
  <c r="N45" i="13"/>
  <c r="Q37" i="13"/>
  <c r="H54" i="14"/>
  <c r="K38" i="13" l="1"/>
  <c r="M38" i="13" s="1"/>
  <c r="L38" i="13" s="1"/>
  <c r="K39" i="13" s="1"/>
  <c r="P45" i="13"/>
  <c r="O45" i="13" s="1"/>
  <c r="T54" i="14"/>
  <c r="M39" i="13" l="1"/>
  <c r="L39" i="13" s="1"/>
  <c r="K40" i="13" s="1"/>
  <c r="M40" i="13" s="1"/>
  <c r="Q39" i="13"/>
  <c r="Q38" i="13"/>
  <c r="N46" i="13"/>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N57" i="13"/>
  <c r="P57" i="13" s="1"/>
  <c r="Q55" i="13"/>
  <c r="K68" i="13" l="1"/>
  <c r="L55" i="13"/>
  <c r="K56" i="13" s="1"/>
  <c r="M56" i="13" s="1"/>
  <c r="M75" i="13"/>
  <c r="O57" i="13"/>
  <c r="M70" i="13" l="1"/>
  <c r="Q56" i="13"/>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L59" i="13"/>
  <c r="M65" i="13" l="1"/>
  <c r="M72" i="13" s="1"/>
  <c r="K70" i="13"/>
  <c r="L73" i="13" s="1"/>
  <c r="L60" i="13"/>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K61" i="14" s="1"/>
  <c r="M66" i="14" s="1"/>
  <c r="Q58" i="14"/>
  <c r="I15" i="14" l="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<sst xmlns="http://schemas.openxmlformats.org/spreadsheetml/2006/main" count="488" uniqueCount="76">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</sst>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6" t="s">
        <v>50</v>
      </c>
      <c r="F2" s="11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3" t="s">
        <v>40</v>
      </c>
      <c r="I6" s="104"/>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3" t="s">
        <v>41</v>
      </c>
      <c r="I10" s="104"/>
    </row>
    <row r="11" spans="2:12" x14ac:dyDescent="0.35">
      <c r="B11" s="30" t="s">
        <v>13</v>
      </c>
      <c r="C11" s="39">
        <v>44926</v>
      </c>
      <c r="E11" s="55" t="s">
        <v>30</v>
      </c>
      <c r="F11" s="56">
        <f>F4+F6+F7+F8+F9-F5</f>
        <v>0</v>
      </c>
      <c r="G11" s="61"/>
      <c r="H11" s="7" t="s">
        <v>42</v>
      </c>
      <c r="I11" s="8">
        <f>SUM(F60:G60)</f>
        <v>0</v>
      </c>
      <c r="J11" s="114" t="s">
        <v>73</v>
      </c>
    </row>
    <row r="12" spans="2:12" ht="15" thickBot="1" x14ac:dyDescent="0.4">
      <c r="B12" s="30" t="s">
        <v>14</v>
      </c>
      <c r="C12" s="40">
        <v>31</v>
      </c>
      <c r="E12" s="4"/>
      <c r="F12" s="6"/>
      <c r="H12" s="49" t="s">
        <v>43</v>
      </c>
      <c r="I12" s="50">
        <f>H60</f>
        <v>0</v>
      </c>
      <c r="J12" s="115"/>
    </row>
    <row r="13" spans="2:12" ht="15" thickBot="1" x14ac:dyDescent="0.4">
      <c r="B13" s="31" t="s">
        <v>15</v>
      </c>
      <c r="C13" s="41">
        <v>44951</v>
      </c>
      <c r="E13" s="53" t="s">
        <v>31</v>
      </c>
      <c r="F13" s="54">
        <v>5000</v>
      </c>
    </row>
    <row r="14" spans="2:12" x14ac:dyDescent="0.35">
      <c r="E14" s="51" t="s">
        <v>32</v>
      </c>
      <c r="F14" s="52">
        <f>F13-F11</f>
        <v>5000</v>
      </c>
      <c r="H14" s="103" t="s">
        <v>44</v>
      </c>
      <c r="I14" s="104"/>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3" t="s">
        <v>51</v>
      </c>
      <c r="I18" s="104"/>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3" t="s">
        <v>17</v>
      </c>
      <c r="C21" s="104"/>
      <c r="E21" s="103" t="s">
        <v>22</v>
      </c>
      <c r="F21" s="104"/>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5" t="s">
        <v>10</v>
      </c>
      <c r="E27" s="106"/>
      <c r="F27" s="106"/>
      <c r="G27" s="106"/>
      <c r="H27" s="107"/>
      <c r="I27" s="111" t="s">
        <v>47</v>
      </c>
      <c r="J27" s="112"/>
      <c r="K27" s="112"/>
      <c r="L27" s="112"/>
      <c r="M27" s="112"/>
      <c r="N27" s="112"/>
      <c r="O27" s="112"/>
      <c r="P27" s="112"/>
      <c r="Q27" s="113"/>
      <c r="R27" s="108" t="s">
        <v>48</v>
      </c>
      <c r="S27" s="109"/>
      <c r="T27" s="109"/>
      <c r="U27" s="109"/>
      <c r="V27" s="109"/>
      <c r="W27" s="110"/>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6" t="s">
        <v>50</v>
      </c>
      <c r="F2" s="117"/>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3" t="s">
        <v>40</v>
      </c>
      <c r="I6" s="104"/>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14" t="s">
        <v>73</v>
      </c>
      <c r="K11" s="124"/>
    </row>
    <row r="12" spans="2:13" ht="15" thickBot="1" x14ac:dyDescent="0.4">
      <c r="B12" s="30" t="s">
        <v>14</v>
      </c>
      <c r="C12" s="40">
        <v>31</v>
      </c>
      <c r="E12" s="4"/>
      <c r="F12" s="6"/>
      <c r="H12" s="49" t="s">
        <v>43</v>
      </c>
      <c r="I12" s="50">
        <f>H57</f>
        <v>0</v>
      </c>
      <c r="J12" s="115"/>
      <c r="K12" s="124"/>
    </row>
    <row r="13" spans="2:13" ht="15" thickBot="1" x14ac:dyDescent="0.4">
      <c r="B13" s="31" t="s">
        <v>15</v>
      </c>
      <c r="C13" s="41">
        <f>C11+C3</f>
        <v>44982</v>
      </c>
      <c r="E13" s="53" t="s">
        <v>31</v>
      </c>
      <c r="F13" s="91">
        <v>2895.94</v>
      </c>
    </row>
    <row r="14" spans="2:13" x14ac:dyDescent="0.35">
      <c r="E14" s="51" t="s">
        <v>32</v>
      </c>
      <c r="F14" s="52">
        <f>F13-F11</f>
        <v>2895.94</v>
      </c>
      <c r="H14" s="103" t="s">
        <v>44</v>
      </c>
      <c r="I14" s="104"/>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3" t="s">
        <v>51</v>
      </c>
      <c r="I18" s="104"/>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abSelected="1" topLeftCell="G28" zoomScale="66" zoomScaleNormal="66" workbookViewId="0">
      <selection activeCell="S36" sqref="S3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3" t="s">
        <v>40</v>
      </c>
      <c r="I6" s="104"/>
    </row>
    <row r="7" spans="2:12" ht="29" x14ac:dyDescent="0.35">
      <c r="B7" s="30" t="s">
        <v>6</v>
      </c>
      <c r="C7" s="40">
        <v>31</v>
      </c>
      <c r="E7" s="34" t="s">
        <v>27</v>
      </c>
      <c r="F7" s="35">
        <f>R60</f>
        <v>1000</v>
      </c>
      <c r="H7" s="7" t="s">
        <v>37</v>
      </c>
      <c r="I7" s="8">
        <f>J60</f>
        <v>44</v>
      </c>
      <c r="L7" s="61"/>
    </row>
    <row r="8" spans="2:12" ht="29.5" thickBot="1" x14ac:dyDescent="0.4">
      <c r="B8" s="31" t="s">
        <v>7</v>
      </c>
      <c r="C8" s="41">
        <f>C6+C3</f>
        <v>44982</v>
      </c>
      <c r="E8" s="34" t="s">
        <v>28</v>
      </c>
      <c r="F8" s="35">
        <f>SUM(I7:I8)</f>
        <v>48</v>
      </c>
      <c r="H8" s="49" t="s">
        <v>38</v>
      </c>
      <c r="I8" s="50">
        <f>S60</f>
        <v>4</v>
      </c>
      <c r="L8" s="61"/>
    </row>
    <row r="9" spans="2:12" ht="29.5" customHeight="1" thickBot="1" x14ac:dyDescent="0.4">
      <c r="B9"/>
      <c r="C9" s="3"/>
      <c r="E9" s="34" t="s">
        <v>29</v>
      </c>
      <c r="F9" s="35">
        <f>SUM(I15:I16)</f>
        <v>14.116377438268094</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2062.116377438268</v>
      </c>
      <c r="H11" s="72" t="s">
        <v>42</v>
      </c>
      <c r="I11" s="73">
        <f>SUM(F60:G60)</f>
        <v>0</v>
      </c>
      <c r="J11" s="114" t="s">
        <v>73</v>
      </c>
      <c r="K11" s="124"/>
    </row>
    <row r="12" spans="2:12" ht="15" thickBot="1" x14ac:dyDescent="0.4">
      <c r="B12" s="30" t="s">
        <v>14</v>
      </c>
      <c r="C12" s="40">
        <v>28</v>
      </c>
      <c r="E12" s="4"/>
      <c r="F12" s="6"/>
      <c r="H12" s="49" t="s">
        <v>43</v>
      </c>
      <c r="I12" s="50">
        <f>H60</f>
        <v>0</v>
      </c>
      <c r="J12" s="115"/>
      <c r="K12" s="124"/>
    </row>
    <row r="13" spans="2:12" ht="15" thickBot="1" x14ac:dyDescent="0.4">
      <c r="B13" s="31" t="s">
        <v>15</v>
      </c>
      <c r="C13" s="41">
        <v>45010</v>
      </c>
      <c r="E13" s="53" t="s">
        <v>31</v>
      </c>
      <c r="F13" s="54">
        <v>0</v>
      </c>
    </row>
    <row r="14" spans="2:12" x14ac:dyDescent="0.35">
      <c r="E14" s="51" t="s">
        <v>32</v>
      </c>
      <c r="F14" s="52">
        <f>F13-F11</f>
        <v>-2062.116377438268</v>
      </c>
      <c r="H14" s="103" t="s">
        <v>44</v>
      </c>
      <c r="I14" s="104"/>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-1014.116377438268</v>
      </c>
      <c r="H16" s="49" t="s">
        <v>43</v>
      </c>
      <c r="I16" s="50">
        <f>T62</f>
        <v>14.116377438268094</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3" t="s">
        <v>51</v>
      </c>
      <c r="I18" s="104"/>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s="90" customFormat="1" x14ac:dyDescent="0.35">
      <c r="B38" s="84">
        <f t="shared" si="0"/>
        <v>44994</v>
      </c>
      <c r="C38" s="85">
        <f t="shared" si="1"/>
        <v>44995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v>1000</v>
      </c>
      <c r="J38" s="87">
        <v>4</v>
      </c>
      <c r="K38" s="87">
        <f t="shared" si="6"/>
        <v>0</v>
      </c>
      <c r="L38" s="87">
        <f t="shared" si="7"/>
        <v>0</v>
      </c>
      <c r="M38" s="87">
        <f t="shared" si="8"/>
        <v>0</v>
      </c>
      <c r="N38" s="87">
        <f t="shared" si="3"/>
        <v>1044.19</v>
      </c>
      <c r="O38" s="87">
        <f t="shared" si="9"/>
        <v>0.6399999999999999</v>
      </c>
      <c r="P38" s="87">
        <f t="shared" si="10"/>
        <v>0.83</v>
      </c>
      <c r="Q38" s="87">
        <f t="shared" si="11"/>
        <v>1044</v>
      </c>
      <c r="R38" s="87"/>
      <c r="S38" s="87"/>
      <c r="T38" s="87">
        <f t="shared" si="14"/>
        <v>0</v>
      </c>
      <c r="U38" s="87">
        <f t="shared" si="4"/>
        <v>0</v>
      </c>
      <c r="V38" s="88">
        <f t="shared" si="12"/>
        <v>0</v>
      </c>
      <c r="W38" s="89">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1044.83</v>
      </c>
      <c r="O39" s="13">
        <f>P39-P38</f>
        <v>0.64</v>
      </c>
      <c r="P39" s="13">
        <f t="shared" si="10"/>
        <v>1.47</v>
      </c>
      <c r="Q39" s="13">
        <f t="shared" si="11"/>
        <v>1044</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1045.47</v>
      </c>
      <c r="O40" s="13">
        <f t="shared" si="9"/>
        <v>0.6399999999999999</v>
      </c>
      <c r="P40" s="13">
        <f t="shared" si="10"/>
        <v>2.11</v>
      </c>
      <c r="Q40" s="13">
        <f t="shared" si="11"/>
        <v>1044</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1046.1099999999999</v>
      </c>
      <c r="O41" s="13">
        <f t="shared" si="9"/>
        <v>0.64000000000000012</v>
      </c>
      <c r="P41" s="13">
        <f t="shared" si="10"/>
        <v>2.75</v>
      </c>
      <c r="Q41" s="13">
        <f t="shared" si="11"/>
        <v>1044</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1046.75</v>
      </c>
      <c r="O42" s="13">
        <f t="shared" si="9"/>
        <v>0.64000000000000012</v>
      </c>
      <c r="P42" s="13">
        <f t="shared" si="10"/>
        <v>3.39</v>
      </c>
      <c r="Q42" s="13">
        <f t="shared" si="11"/>
        <v>1044</v>
      </c>
      <c r="R42" s="17"/>
      <c r="S42" s="17"/>
      <c r="T42" s="17">
        <f>T41+U41+R42+S42-H42</f>
        <v>0</v>
      </c>
      <c r="U42" s="17">
        <f>V42-V41</f>
        <v>0</v>
      </c>
      <c r="V42" s="18">
        <f t="shared" si="12"/>
        <v>0</v>
      </c>
      <c r="W42" s="16">
        <f t="shared" si="13"/>
        <v>0</v>
      </c>
    </row>
    <row r="43" spans="2:23" s="99" customFormat="1" x14ac:dyDescent="0.35">
      <c r="B43" s="93">
        <f t="shared" si="0"/>
        <v>44999</v>
      </c>
      <c r="C43" s="94">
        <f t="shared" si="1"/>
        <v>45000</v>
      </c>
      <c r="D43" s="95"/>
      <c r="E43" s="96">
        <f>IF(SUM(E$29:E42)=$I$24,0,IF((D43&lt;=$I$24-SUM(E$29:E42)),D43,$I$24-SUM(E$29:E42)))</f>
        <v>0</v>
      </c>
      <c r="F43" s="96">
        <f>IF($I$19&gt;0,IF(SUM(F$29:F42)&lt;$I$19,IF((D43-E43)&gt;0,IF($I$20=0,IF($I$19-SUM(F$29:F42)&gt;D43,D43,$I$19-SUM(F$29:F42)),E43),D43),0)+IF($I$20&gt;0,IF(D43-$I$20-SUM($H$29:H42)-IF($I$19=0,0,E43)&gt;0,IF(D43-$I$20-SUM($H$29:H42)-IF($I$19=0,0,E43)&gt;$I$19,$I$19-SUM(F$29:F42)-E43,D43-$I$20-SUM($H$29:H42)-IF($I$19=0,0,E43)),0),0),0)</f>
        <v>0</v>
      </c>
      <c r="G43" s="96">
        <f t="shared" si="2"/>
        <v>0</v>
      </c>
      <c r="H43" s="96">
        <f t="shared" si="5"/>
        <v>0</v>
      </c>
      <c r="I43" s="96"/>
      <c r="J43" s="96"/>
      <c r="K43" s="96">
        <f t="shared" si="6"/>
        <v>0</v>
      </c>
      <c r="L43" s="96">
        <f t="shared" si="7"/>
        <v>0</v>
      </c>
      <c r="M43" s="96">
        <f t="shared" si="8"/>
        <v>0</v>
      </c>
      <c r="N43" s="96">
        <f t="shared" si="3"/>
        <v>1047.3900000000001</v>
      </c>
      <c r="O43" s="96">
        <f t="shared" si="9"/>
        <v>0.64999999999999991</v>
      </c>
      <c r="P43" s="96">
        <f t="shared" si="10"/>
        <v>4.04</v>
      </c>
      <c r="Q43" s="96">
        <f t="shared" si="11"/>
        <v>1044</v>
      </c>
      <c r="R43" s="96">
        <v>1000</v>
      </c>
      <c r="S43" s="96">
        <v>4</v>
      </c>
      <c r="T43" s="96">
        <f>T42+U42+R43+S43-H43</f>
        <v>1004</v>
      </c>
      <c r="U43" s="96">
        <f t="shared" si="4"/>
        <v>0.82493041095890418</v>
      </c>
      <c r="V43" s="97">
        <f t="shared" si="12"/>
        <v>0.82493041095890418</v>
      </c>
      <c r="W43" s="98">
        <f t="shared" si="13"/>
        <v>1004</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1048.04</v>
      </c>
      <c r="O44" s="13">
        <f t="shared" si="9"/>
        <v>0.65000000000000036</v>
      </c>
      <c r="P44" s="13">
        <f t="shared" si="10"/>
        <v>4.6900000000000004</v>
      </c>
      <c r="Q44" s="13">
        <f t="shared" si="11"/>
        <v>1044</v>
      </c>
      <c r="R44" s="17"/>
      <c r="S44" s="17"/>
      <c r="T44" s="17">
        <f t="shared" si="14"/>
        <v>1004.8249304109589</v>
      </c>
      <c r="U44" s="17">
        <f t="shared" si="4"/>
        <v>0.82560820994588124</v>
      </c>
      <c r="V44" s="18">
        <f t="shared" si="12"/>
        <v>1.6505386209047854</v>
      </c>
      <c r="W44" s="16">
        <f t="shared" si="13"/>
        <v>1004</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1048.69</v>
      </c>
      <c r="O45" s="13">
        <f t="shared" si="9"/>
        <v>0.64999999999999947</v>
      </c>
      <c r="P45" s="13">
        <f t="shared" si="10"/>
        <v>5.34</v>
      </c>
      <c r="Q45" s="13">
        <f t="shared" si="11"/>
        <v>1044</v>
      </c>
      <c r="R45" s="17"/>
      <c r="S45" s="17"/>
      <c r="T45" s="17">
        <f t="shared" si="14"/>
        <v>1005.6505386209049</v>
      </c>
      <c r="U45" s="17">
        <f t="shared" si="4"/>
        <v>0.8262865658422176</v>
      </c>
      <c r="V45" s="18">
        <f t="shared" si="12"/>
        <v>2.476825186747003</v>
      </c>
      <c r="W45" s="16">
        <f>IF(T45=0,0,W44+R45+S45-H45)</f>
        <v>1004</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1049.3399999999999</v>
      </c>
      <c r="O46" s="13">
        <f t="shared" si="9"/>
        <v>0.65000000000000036</v>
      </c>
      <c r="P46" s="13">
        <f t="shared" si="10"/>
        <v>5.99</v>
      </c>
      <c r="Q46" s="13">
        <f t="shared" si="11"/>
        <v>1044</v>
      </c>
      <c r="R46" s="17"/>
      <c r="S46" s="17"/>
      <c r="T46" s="17">
        <f t="shared" si="14"/>
        <v>1006.4768251867471</v>
      </c>
      <c r="U46" s="17">
        <f t="shared" si="4"/>
        <v>0.82696547910549434</v>
      </c>
      <c r="V46" s="18">
        <f t="shared" si="12"/>
        <v>3.3037906658524974</v>
      </c>
      <c r="W46" s="16">
        <f>IF(T46=0,0,W45+R46+S46-H46)</f>
        <v>1004</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1049.99</v>
      </c>
      <c r="O47" s="13">
        <f t="shared" si="9"/>
        <v>0.64999999999999947</v>
      </c>
      <c r="P47" s="13">
        <f t="shared" si="10"/>
        <v>6.64</v>
      </c>
      <c r="Q47" s="13">
        <f t="shared" si="11"/>
        <v>1044</v>
      </c>
      <c r="R47" s="17"/>
      <c r="S47" s="17"/>
      <c r="T47" s="17">
        <f t="shared" si="14"/>
        <v>1007.3037906658526</v>
      </c>
      <c r="U47" s="17">
        <f t="shared" si="4"/>
        <v>0.82764495019366935</v>
      </c>
      <c r="V47" s="18">
        <f t="shared" si="12"/>
        <v>4.1314356160461667</v>
      </c>
      <c r="W47" s="16">
        <f t="shared" si="13"/>
        <v>1004</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1050.6400000000001</v>
      </c>
      <c r="O48" s="13">
        <f t="shared" si="9"/>
        <v>0.65000000000000036</v>
      </c>
      <c r="P48" s="13">
        <f t="shared" si="10"/>
        <v>7.29</v>
      </c>
      <c r="Q48" s="13">
        <f t="shared" si="11"/>
        <v>1044</v>
      </c>
      <c r="R48" s="17"/>
      <c r="S48" s="17"/>
      <c r="T48" s="17">
        <f t="shared" si="14"/>
        <v>1008.1314356160462</v>
      </c>
      <c r="U48" s="17">
        <f t="shared" si="4"/>
        <v>0.82832497956507467</v>
      </c>
      <c r="V48" s="18">
        <f t="shared" si="12"/>
        <v>4.9597605956112414</v>
      </c>
      <c r="W48" s="16">
        <f t="shared" si="13"/>
        <v>1004</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1051.29</v>
      </c>
      <c r="O49" s="13">
        <f t="shared" si="9"/>
        <v>0.65000000000000036</v>
      </c>
      <c r="P49" s="13">
        <f t="shared" si="10"/>
        <v>7.94</v>
      </c>
      <c r="Q49" s="13">
        <f t="shared" si="11"/>
        <v>1044</v>
      </c>
      <c r="R49" s="17"/>
      <c r="S49" s="17"/>
      <c r="T49" s="17">
        <f t="shared" si="14"/>
        <v>1008.9597605956113</v>
      </c>
      <c r="U49" s="17">
        <f t="shared" si="4"/>
        <v>0.82900556767842115</v>
      </c>
      <c r="V49" s="18">
        <f t="shared" si="12"/>
        <v>5.7887661632896625</v>
      </c>
      <c r="W49" s="16">
        <f t="shared" si="13"/>
        <v>1004</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1051.94</v>
      </c>
      <c r="O50" s="13">
        <f t="shared" si="9"/>
        <v>0.64999999999999947</v>
      </c>
      <c r="P50" s="13">
        <f t="shared" si="10"/>
        <v>8.59</v>
      </c>
      <c r="Q50" s="13">
        <f t="shared" si="11"/>
        <v>1044</v>
      </c>
      <c r="R50" s="17"/>
      <c r="S50" s="17"/>
      <c r="T50" s="17">
        <f t="shared" si="14"/>
        <v>1009.7887661632898</v>
      </c>
      <c r="U50" s="17">
        <f t="shared" si="4"/>
        <v>0.82968671499279623</v>
      </c>
      <c r="V50" s="18">
        <f t="shared" si="12"/>
        <v>6.6184528782824588</v>
      </c>
      <c r="W50" s="16">
        <f t="shared" si="13"/>
        <v>1004</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1052.5899999999999</v>
      </c>
      <c r="O51" s="13">
        <f t="shared" si="9"/>
        <v>0.65000000000000036</v>
      </c>
      <c r="P51" s="13">
        <f t="shared" si="10"/>
        <v>9.24</v>
      </c>
      <c r="Q51" s="13">
        <f t="shared" si="11"/>
        <v>1044</v>
      </c>
      <c r="R51" s="17"/>
      <c r="S51" s="17"/>
      <c r="T51" s="17">
        <f t="shared" si="14"/>
        <v>1010.6184528782826</v>
      </c>
      <c r="U51" s="17">
        <f t="shared" si="4"/>
        <v>0.83036842196766258</v>
      </c>
      <c r="V51" s="18">
        <f t="shared" si="12"/>
        <v>7.4488213002501213</v>
      </c>
      <c r="W51" s="16">
        <f t="shared" si="13"/>
        <v>1004</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1053.24</v>
      </c>
      <c r="O52" s="13">
        <f t="shared" si="9"/>
        <v>0.65000000000000036</v>
      </c>
      <c r="P52" s="13">
        <f t="shared" si="10"/>
        <v>9.89</v>
      </c>
      <c r="Q52" s="13">
        <f t="shared" si="11"/>
        <v>1044</v>
      </c>
      <c r="R52" s="17"/>
      <c r="S52" s="17"/>
      <c r="T52" s="17">
        <f t="shared" si="14"/>
        <v>1011.4488213002503</v>
      </c>
      <c r="U52" s="17">
        <f t="shared" si="4"/>
        <v>0.83105068906286395</v>
      </c>
      <c r="V52" s="18">
        <f t="shared" si="12"/>
        <v>8.2798719893129853</v>
      </c>
      <c r="W52" s="16">
        <f t="shared" si="13"/>
        <v>1004</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1053.8900000000001</v>
      </c>
      <c r="O53" s="13">
        <f t="shared" si="9"/>
        <v>0.64999999999999858</v>
      </c>
      <c r="P53" s="13">
        <f t="shared" si="10"/>
        <v>10.54</v>
      </c>
      <c r="Q53" s="13">
        <f t="shared" si="11"/>
        <v>1044</v>
      </c>
      <c r="R53" s="17"/>
      <c r="S53" s="17"/>
      <c r="T53" s="17">
        <f t="shared" si="14"/>
        <v>1012.2798719893132</v>
      </c>
      <c r="U53" s="17">
        <f t="shared" si="4"/>
        <v>0.83173351673861617</v>
      </c>
      <c r="V53" s="18">
        <f t="shared" si="12"/>
        <v>9.1116055060516015</v>
      </c>
      <c r="W53" s="16">
        <f t="shared" si="13"/>
        <v>1004</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1054.54</v>
      </c>
      <c r="O54" s="13">
        <f t="shared" si="9"/>
        <v>0.65000000000000036</v>
      </c>
      <c r="P54" s="13">
        <f t="shared" si="10"/>
        <v>11.19</v>
      </c>
      <c r="Q54" s="13">
        <f t="shared" si="11"/>
        <v>1044</v>
      </c>
      <c r="R54" s="17"/>
      <c r="S54" s="17"/>
      <c r="T54" s="17">
        <f t="shared" si="14"/>
        <v>1013.1116055060518</v>
      </c>
      <c r="U54" s="17">
        <f t="shared" si="4"/>
        <v>0.83241690545552061</v>
      </c>
      <c r="V54" s="18">
        <f t="shared" si="12"/>
        <v>9.9440224115071221</v>
      </c>
      <c r="W54" s="16">
        <f t="shared" si="13"/>
        <v>1004</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1055.19</v>
      </c>
      <c r="O55" s="13">
        <f t="shared" si="9"/>
        <v>0.65000000000000036</v>
      </c>
      <c r="P55" s="13">
        <f t="shared" si="10"/>
        <v>11.84</v>
      </c>
      <c r="Q55" s="13">
        <f t="shared" si="11"/>
        <v>1044</v>
      </c>
      <c r="R55" s="17"/>
      <c r="S55" s="17"/>
      <c r="T55" s="17">
        <f t="shared" si="14"/>
        <v>1013.9440224115073</v>
      </c>
      <c r="U55" s="17">
        <f t="shared" si="4"/>
        <v>0.83310085567455161</v>
      </c>
      <c r="V55" s="18">
        <f t="shared" si="12"/>
        <v>10.777123267181674</v>
      </c>
      <c r="W55" s="16">
        <f t="shared" si="13"/>
        <v>1004</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1055.8399999999999</v>
      </c>
      <c r="O56" s="13">
        <f t="shared" si="9"/>
        <v>0.65000000000000036</v>
      </c>
      <c r="P56" s="13">
        <f t="shared" si="10"/>
        <v>12.49</v>
      </c>
      <c r="Q56" s="13">
        <f t="shared" si="11"/>
        <v>1044</v>
      </c>
      <c r="R56" s="17"/>
      <c r="S56" s="17"/>
      <c r="T56" s="17">
        <f t="shared" si="14"/>
        <v>1014.7771232671818</v>
      </c>
      <c r="U56" s="17">
        <f t="shared" si="4"/>
        <v>0.83378536785706281</v>
      </c>
      <c r="V56" s="18">
        <f t="shared" si="12"/>
        <v>11.610908635038736</v>
      </c>
      <c r="W56" s="16">
        <f t="shared" si="13"/>
        <v>1004</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1056.49</v>
      </c>
      <c r="O57" s="13">
        <f t="shared" si="9"/>
        <v>0.65000000000000036</v>
      </c>
      <c r="P57" s="13">
        <f t="shared" si="10"/>
        <v>13.14</v>
      </c>
      <c r="Q57" s="13">
        <f t="shared" si="11"/>
        <v>1044</v>
      </c>
      <c r="R57" s="17"/>
      <c r="S57" s="17"/>
      <c r="T57" s="17">
        <f t="shared" si="14"/>
        <v>1015.6109086350389</v>
      </c>
      <c r="U57" s="17">
        <f t="shared" si="4"/>
        <v>0.83447044246478974</v>
      </c>
      <c r="V57" s="18">
        <f t="shared" si="12"/>
        <v>12.445379077503526</v>
      </c>
      <c r="W57" s="16">
        <f t="shared" si="13"/>
        <v>1004</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1057.1400000000001</v>
      </c>
      <c r="O58" s="13">
        <f t="shared" si="9"/>
        <v>0.64999999999999858</v>
      </c>
      <c r="P58" s="13">
        <f t="shared" si="10"/>
        <v>13.79</v>
      </c>
      <c r="Q58" s="13">
        <f t="shared" si="11"/>
        <v>1044</v>
      </c>
      <c r="R58" s="17"/>
      <c r="S58" s="17"/>
      <c r="T58" s="17">
        <f t="shared" si="14"/>
        <v>1016.4453790775036</v>
      </c>
      <c r="U58" s="17">
        <f t="shared" si="4"/>
        <v>0.83515607995984453</v>
      </c>
      <c r="V58" s="18">
        <f t="shared" si="12"/>
        <v>13.280535157463371</v>
      </c>
      <c r="W58" s="16">
        <f t="shared" si="13"/>
        <v>1004</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1057.79</v>
      </c>
      <c r="O59" s="13">
        <f t="shared" si="9"/>
        <v>0.65000000000000036</v>
      </c>
      <c r="P59" s="13">
        <f>ROUND(P58+N59*$F$22,2)</f>
        <v>14.44</v>
      </c>
      <c r="Q59" s="13">
        <f t="shared" si="11"/>
        <v>1044</v>
      </c>
      <c r="R59" s="17"/>
      <c r="S59" s="17"/>
      <c r="T59" s="17">
        <f t="shared" si="14"/>
        <v>1017.2805351574634</v>
      </c>
      <c r="U59" s="17">
        <f t="shared" si="4"/>
        <v>0.83584228080472123</v>
      </c>
      <c r="V59" s="18">
        <f t="shared" si="12"/>
        <v>14.116377438268092</v>
      </c>
      <c r="W59" s="16">
        <f t="shared" si="13"/>
        <v>1004</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23482.170000000002</v>
      </c>
      <c r="O60" s="21">
        <f>SUM(O29:O59)</f>
        <v>14.44</v>
      </c>
      <c r="P60" s="20"/>
      <c r="Q60" s="20"/>
      <c r="R60" s="22">
        <f>SUM(R29:R59)</f>
        <v>1000</v>
      </c>
      <c r="S60" s="22">
        <f>SUM(S29:S59)</f>
        <v>4</v>
      </c>
      <c r="T60" s="22">
        <f>SUM(T29:T59)</f>
        <v>17180.652767482006</v>
      </c>
      <c r="U60" s="22">
        <f>SUM(U29:U59)</f>
        <v>14.116377438268092</v>
      </c>
      <c r="V60" s="23"/>
      <c r="W60" s="23"/>
    </row>
    <row r="61" spans="2:23" ht="15" thickBot="1" x14ac:dyDescent="0.4">
      <c r="G61" s="61"/>
      <c r="J61" s="82" t="s">
        <v>71</v>
      </c>
      <c r="K61" s="82">
        <f>K60/$C$18</f>
        <v>0</v>
      </c>
      <c r="M61" s="82" t="s">
        <v>69</v>
      </c>
      <c r="N61" s="82">
        <f>N60/$C$18</f>
        <v>757.48935483870969</v>
      </c>
      <c r="O61" s="61"/>
      <c r="S61" s="82" t="s">
        <v>65</v>
      </c>
      <c r="T61" s="82">
        <f>T60/$C$18</f>
        <v>554.21460540264536</v>
      </c>
    </row>
    <row r="62" spans="2:23" ht="15" thickBot="1" x14ac:dyDescent="0.4">
      <c r="H62" s="2"/>
      <c r="J62" s="82" t="s">
        <v>72</v>
      </c>
      <c r="K62" s="82">
        <f>M59</f>
        <v>0</v>
      </c>
      <c r="M62" s="82" t="s">
        <v>70</v>
      </c>
      <c r="N62" s="82">
        <f>IF(ROUND(N59,2)=0,0,N61*$F$22*$C$18)</f>
        <v>14.468876802739725</v>
      </c>
      <c r="S62" s="82" t="s">
        <v>64</v>
      </c>
      <c r="T62" s="82">
        <f>T61*$F$23*$C$18</f>
        <v>14.116377438268094</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35" zoomScale="66" zoomScaleNormal="66" workbookViewId="0">
      <selection activeCell="L62" sqref="L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3" t="s">
        <v>40</v>
      </c>
      <c r="I6" s="104"/>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1063.4716571506849</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45041</v>
      </c>
      <c r="E13" s="53" t="s">
        <v>31</v>
      </c>
      <c r="F13" s="54">
        <v>50000</v>
      </c>
    </row>
    <row r="14" spans="2:12" x14ac:dyDescent="0.35">
      <c r="E14" s="51" t="s">
        <v>32</v>
      </c>
      <c r="F14" s="52">
        <f>F13-F11</f>
        <v>48936.528342849313</v>
      </c>
      <c r="H14" s="103" t="s">
        <v>44</v>
      </c>
      <c r="I14" s="104"/>
    </row>
    <row r="15" spans="2:12" ht="29.5" thickBot="1" x14ac:dyDescent="0.4">
      <c r="B15"/>
      <c r="C15" s="3"/>
      <c r="E15" s="53" t="s">
        <v>33</v>
      </c>
      <c r="F15" s="54">
        <v>20000</v>
      </c>
      <c r="H15" s="7" t="s">
        <v>45</v>
      </c>
      <c r="I15" s="8">
        <f>K61</f>
        <v>19.471657150684933</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3" t="s">
        <v>51</v>
      </c>
      <c r="I18" s="104"/>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M58</f>
        <v>19.471657150684933</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29.440211013698629</v>
      </c>
    </row>
    <row r="66" spans="13:14" x14ac:dyDescent="0.35">
      <c r="M66" s="102" t="s">
        <v>75</v>
      </c>
      <c r="N66" s="102">
        <v>29.41</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opLeftCell="D44" zoomScale="53" zoomScaleNormal="53" workbookViewId="0">
      <selection activeCell="L73" sqref="L7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1000</v>
      </c>
      <c r="H6" s="103" t="s">
        <v>40</v>
      </c>
      <c r="I6" s="104"/>
    </row>
    <row r="7" spans="2:12" ht="29" x14ac:dyDescent="0.35">
      <c r="B7" s="30" t="s">
        <v>6</v>
      </c>
      <c r="C7" s="40">
        <v>31</v>
      </c>
      <c r="E7" s="34" t="s">
        <v>27</v>
      </c>
      <c r="F7" s="35">
        <f>R60</f>
        <v>0</v>
      </c>
      <c r="H7" s="7" t="s">
        <v>37</v>
      </c>
      <c r="I7" s="8">
        <f>J60</f>
        <v>4</v>
      </c>
      <c r="L7" s="61"/>
    </row>
    <row r="8" spans="2:12" ht="29.5" thickBot="1" x14ac:dyDescent="0.4">
      <c r="B8" s="31" t="s">
        <v>7</v>
      </c>
      <c r="C8" s="41">
        <f>C6+C3</f>
        <v>45041</v>
      </c>
      <c r="E8" s="34" t="s">
        <v>28</v>
      </c>
      <c r="F8" s="35">
        <f>SUM(I7:I8)</f>
        <v>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1004</v>
      </c>
      <c r="H11" s="72" t="s">
        <v>42</v>
      </c>
      <c r="I11" s="73">
        <f>SUM(F60:G60)</f>
        <v>0</v>
      </c>
      <c r="J11" s="114" t="s">
        <v>73</v>
      </c>
      <c r="K11" s="124"/>
    </row>
    <row r="12" spans="2:12" ht="15" thickBot="1" x14ac:dyDescent="0.4">
      <c r="B12" s="30" t="s">
        <v>14</v>
      </c>
      <c r="C12" s="40">
        <v>30</v>
      </c>
      <c r="E12" s="4"/>
      <c r="F12" s="6"/>
      <c r="H12" s="49" t="s">
        <v>43</v>
      </c>
      <c r="I12" s="50">
        <f>H60</f>
        <v>0</v>
      </c>
      <c r="J12" s="115"/>
      <c r="K12" s="124"/>
    </row>
    <row r="13" spans="2:12" ht="15" thickBot="1" x14ac:dyDescent="0.4">
      <c r="B13" s="31" t="s">
        <v>15</v>
      </c>
      <c r="C13" s="41">
        <v>45071</v>
      </c>
      <c r="E13" s="53" t="s">
        <v>31</v>
      </c>
      <c r="F13" s="54">
        <v>48960</v>
      </c>
    </row>
    <row r="14" spans="2:12" x14ac:dyDescent="0.35">
      <c r="E14" s="51" t="s">
        <v>32</v>
      </c>
      <c r="F14" s="52">
        <f>F13-F11</f>
        <v>47956</v>
      </c>
      <c r="H14" s="103" t="s">
        <v>44</v>
      </c>
      <c r="I14" s="104"/>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3" t="s">
        <v>51</v>
      </c>
      <c r="I18" s="104"/>
    </row>
    <row r="19" spans="2:23" ht="15" thickBot="1" x14ac:dyDescent="0.4">
      <c r="B19" s="31" t="s">
        <v>16</v>
      </c>
      <c r="C19" s="41">
        <f>C17+C3</f>
        <v>45102</v>
      </c>
      <c r="H19" s="7" t="s">
        <v>42</v>
      </c>
      <c r="I19" s="8">
        <f>'April Statement'!I19+'April Statement'!F6+'April Statement'!I7+'April Statement'!I15-'April Statement'!I11</f>
        <v>2107.4716571506851</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2107.4716571506851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v>1000</v>
      </c>
      <c r="J38" s="13">
        <v>4</v>
      </c>
      <c r="K38" s="13">
        <f>IF(SUM($F$29:$F$53)&gt;=$I$19,0,ROUND(K37+L37-F38-2117.41,2))</f>
        <v>11.78</v>
      </c>
      <c r="L38" s="13">
        <f t="shared" si="7"/>
        <v>9.9999999999997868E-3</v>
      </c>
      <c r="M38" s="13">
        <f t="shared" si="8"/>
        <v>11.790000000000003</v>
      </c>
      <c r="N38" s="13">
        <f>ROUND(N37+I38+J38+O37-G38,2)</f>
        <v>1004</v>
      </c>
      <c r="O38" s="13">
        <f t="shared" si="9"/>
        <v>0.62</v>
      </c>
      <c r="P38" s="13">
        <f t="shared" si="10"/>
        <v>0.62</v>
      </c>
      <c r="Q38" s="13">
        <f t="shared" si="11"/>
        <v>1004</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11.79</v>
      </c>
      <c r="L39" s="13">
        <f t="shared" si="7"/>
        <v>9.9999999999997868E-3</v>
      </c>
      <c r="M39" s="13">
        <f t="shared" si="8"/>
        <v>11.800000000000002</v>
      </c>
      <c r="N39" s="13">
        <f t="shared" si="3"/>
        <v>1004.62</v>
      </c>
      <c r="O39" s="13">
        <f>P39-P38</f>
        <v>0.62</v>
      </c>
      <c r="P39" s="13">
        <f t="shared" si="10"/>
        <v>1.24</v>
      </c>
      <c r="Q39" s="13">
        <f t="shared" si="11"/>
        <v>1004</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11.8</v>
      </c>
      <c r="L40" s="13">
        <f t="shared" si="7"/>
        <v>9.9999999999997868E-3</v>
      </c>
      <c r="M40" s="13">
        <f t="shared" si="8"/>
        <v>11.810000000000002</v>
      </c>
      <c r="N40" s="13">
        <f t="shared" si="3"/>
        <v>1005.24</v>
      </c>
      <c r="O40" s="13">
        <f t="shared" si="9"/>
        <v>0.62000000000000011</v>
      </c>
      <c r="P40" s="13">
        <f t="shared" si="10"/>
        <v>1.86</v>
      </c>
      <c r="Q40" s="13">
        <f t="shared" si="11"/>
        <v>1004</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11.81</v>
      </c>
      <c r="L41" s="13">
        <f t="shared" si="7"/>
        <v>9.9999999999997868E-3</v>
      </c>
      <c r="M41" s="13">
        <f t="shared" si="8"/>
        <v>11.820000000000002</v>
      </c>
      <c r="N41" s="13">
        <f t="shared" si="3"/>
        <v>1005.86</v>
      </c>
      <c r="O41" s="13">
        <f t="shared" si="9"/>
        <v>0.61999999999999988</v>
      </c>
      <c r="P41" s="13">
        <f t="shared" si="10"/>
        <v>2.48</v>
      </c>
      <c r="Q41" s="13">
        <f t="shared" si="11"/>
        <v>1004</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11.82</v>
      </c>
      <c r="L42" s="13">
        <f t="shared" si="7"/>
        <v>9.9999999999997868E-3</v>
      </c>
      <c r="M42" s="13">
        <f t="shared" si="8"/>
        <v>11.830000000000002</v>
      </c>
      <c r="N42" s="13">
        <f t="shared" si="3"/>
        <v>1006.48</v>
      </c>
      <c r="O42" s="13">
        <f t="shared" si="9"/>
        <v>0.62000000000000011</v>
      </c>
      <c r="P42" s="13">
        <f t="shared" si="10"/>
        <v>3.1</v>
      </c>
      <c r="Q42" s="13">
        <f t="shared" si="11"/>
        <v>1004</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11.83</v>
      </c>
      <c r="L43" s="87">
        <f t="shared" si="7"/>
        <v>9.9999999999997868E-3</v>
      </c>
      <c r="M43" s="87">
        <f t="shared" si="8"/>
        <v>11.840000000000002</v>
      </c>
      <c r="N43" s="87">
        <f>ROUND(N42+I43+J43+O42-G43,2)</f>
        <v>1007.1</v>
      </c>
      <c r="O43" s="87">
        <f t="shared" si="9"/>
        <v>0.62000000000000011</v>
      </c>
      <c r="P43" s="87">
        <f t="shared" si="10"/>
        <v>3.72</v>
      </c>
      <c r="Q43" s="87">
        <f t="shared" si="11"/>
        <v>1004</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11.84</v>
      </c>
      <c r="L44" s="13">
        <f t="shared" si="7"/>
        <v>9.9999999999997868E-3</v>
      </c>
      <c r="M44" s="13">
        <f t="shared" si="8"/>
        <v>11.850000000000001</v>
      </c>
      <c r="N44" s="13">
        <f t="shared" si="3"/>
        <v>1007.72</v>
      </c>
      <c r="O44" s="13">
        <f t="shared" si="9"/>
        <v>0.61999999999999966</v>
      </c>
      <c r="P44" s="13">
        <f t="shared" si="10"/>
        <v>4.34</v>
      </c>
      <c r="Q44" s="13">
        <f t="shared" si="11"/>
        <v>1004</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11.85</v>
      </c>
      <c r="L45" s="13">
        <f t="shared" si="7"/>
        <v>9.9999999999997868E-3</v>
      </c>
      <c r="M45" s="13">
        <f t="shared" si="8"/>
        <v>11.860000000000001</v>
      </c>
      <c r="N45" s="13">
        <f t="shared" si="3"/>
        <v>1008.34</v>
      </c>
      <c r="O45" s="13">
        <f t="shared" si="9"/>
        <v>0.62000000000000011</v>
      </c>
      <c r="P45" s="13">
        <f t="shared" si="10"/>
        <v>4.96</v>
      </c>
      <c r="Q45" s="13">
        <f t="shared" si="11"/>
        <v>1004</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11.86</v>
      </c>
      <c r="L46" s="13">
        <f t="shared" si="7"/>
        <v>9.9999999999997868E-3</v>
      </c>
      <c r="M46" s="13">
        <f t="shared" si="8"/>
        <v>11.870000000000001</v>
      </c>
      <c r="N46" s="13">
        <f t="shared" si="3"/>
        <v>1008.96</v>
      </c>
      <c r="O46" s="13">
        <f t="shared" si="9"/>
        <v>0.62000000000000011</v>
      </c>
      <c r="P46" s="13">
        <f t="shared" si="10"/>
        <v>5.58</v>
      </c>
      <c r="Q46" s="13">
        <f t="shared" si="11"/>
        <v>1004</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11.87</v>
      </c>
      <c r="L47" s="87">
        <f t="shared" si="7"/>
        <v>9.9999999999997868E-3</v>
      </c>
      <c r="M47" s="13">
        <f t="shared" si="8"/>
        <v>11.88</v>
      </c>
      <c r="N47" s="87">
        <f t="shared" si="3"/>
        <v>1009.58</v>
      </c>
      <c r="O47" s="87">
        <f t="shared" si="9"/>
        <v>0.62000000000000011</v>
      </c>
      <c r="P47" s="87">
        <f t="shared" si="10"/>
        <v>6.2</v>
      </c>
      <c r="Q47" s="87">
        <f t="shared" si="11"/>
        <v>1004</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11.88</v>
      </c>
      <c r="L48" s="87">
        <f t="shared" si="7"/>
        <v>9.9999999999997868E-3</v>
      </c>
      <c r="M48" s="87">
        <f t="shared" si="8"/>
        <v>11.89</v>
      </c>
      <c r="N48" s="87">
        <f t="shared" si="3"/>
        <v>1010.2</v>
      </c>
      <c r="O48" s="87">
        <f t="shared" si="9"/>
        <v>0.62000000000000011</v>
      </c>
      <c r="P48" s="87">
        <f t="shared" si="10"/>
        <v>6.82</v>
      </c>
      <c r="Q48" s="87">
        <f t="shared" si="11"/>
        <v>1004</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11.89</v>
      </c>
      <c r="L49" s="13">
        <f t="shared" si="7"/>
        <v>9.9999999999997868E-3</v>
      </c>
      <c r="M49" s="13">
        <f t="shared" si="8"/>
        <v>11.9</v>
      </c>
      <c r="N49" s="13">
        <f t="shared" si="3"/>
        <v>1010.82</v>
      </c>
      <c r="O49" s="13">
        <f t="shared" si="9"/>
        <v>0.62000000000000011</v>
      </c>
      <c r="P49" s="13">
        <f t="shared" si="10"/>
        <v>7.44</v>
      </c>
      <c r="Q49" s="13">
        <f t="shared" si="11"/>
        <v>1004</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11.9</v>
      </c>
      <c r="L50" s="13">
        <f t="shared" si="7"/>
        <v>9.9999999999997868E-3</v>
      </c>
      <c r="M50" s="13">
        <f t="shared" si="8"/>
        <v>11.91</v>
      </c>
      <c r="N50" s="13">
        <f t="shared" si="3"/>
        <v>1011.44</v>
      </c>
      <c r="O50" s="13">
        <f t="shared" si="9"/>
        <v>0.62000000000000011</v>
      </c>
      <c r="P50" s="13">
        <f t="shared" si="10"/>
        <v>8.06</v>
      </c>
      <c r="Q50" s="13">
        <f t="shared" si="11"/>
        <v>1004</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c r="J51" s="87"/>
      <c r="K51" s="87">
        <f t="shared" si="6"/>
        <v>11.91</v>
      </c>
      <c r="L51" s="87">
        <f t="shared" si="7"/>
        <v>9.9999999999997868E-3</v>
      </c>
      <c r="M51" s="87">
        <f t="shared" si="8"/>
        <v>11.92</v>
      </c>
      <c r="N51" s="87">
        <f>ROUND(N50+I51+J51+O50-G51,2)</f>
        <v>1012.06</v>
      </c>
      <c r="O51" s="87">
        <f t="shared" si="9"/>
        <v>0.61999999999999922</v>
      </c>
      <c r="P51" s="87">
        <f t="shared" si="10"/>
        <v>8.68</v>
      </c>
      <c r="Q51" s="87">
        <f t="shared" si="11"/>
        <v>1004</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11.92</v>
      </c>
      <c r="L52" s="13">
        <f t="shared" si="7"/>
        <v>9.9999999999997868E-3</v>
      </c>
      <c r="M52" s="13">
        <f t="shared" si="8"/>
        <v>11.93</v>
      </c>
      <c r="N52" s="13">
        <f t="shared" si="3"/>
        <v>1012.68</v>
      </c>
      <c r="O52" s="13">
        <f t="shared" si="9"/>
        <v>0.62000000000000099</v>
      </c>
      <c r="P52" s="13">
        <f t="shared" si="10"/>
        <v>9.3000000000000007</v>
      </c>
      <c r="Q52" s="13">
        <f t="shared" si="11"/>
        <v>1004</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11.93</v>
      </c>
      <c r="L53" s="87">
        <f t="shared" si="7"/>
        <v>9.9999999999997868E-3</v>
      </c>
      <c r="M53" s="87">
        <f t="shared" si="8"/>
        <v>11.94</v>
      </c>
      <c r="N53" s="87">
        <f t="shared" si="3"/>
        <v>1013.3</v>
      </c>
      <c r="O53" s="87">
        <f t="shared" si="9"/>
        <v>0.61999999999999922</v>
      </c>
      <c r="P53" s="87">
        <f t="shared" si="10"/>
        <v>9.92</v>
      </c>
      <c r="Q53" s="87">
        <f t="shared" si="11"/>
        <v>1004</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11.94</v>
      </c>
      <c r="L54" s="13">
        <f t="shared" si="7"/>
        <v>9.9999999999997868E-3</v>
      </c>
      <c r="M54" s="13">
        <f t="shared" si="8"/>
        <v>11.95</v>
      </c>
      <c r="N54" s="13">
        <f t="shared" si="3"/>
        <v>1013.92</v>
      </c>
      <c r="O54" s="13">
        <f t="shared" si="9"/>
        <v>0.61999999999999922</v>
      </c>
      <c r="P54" s="13">
        <f t="shared" si="10"/>
        <v>10.54</v>
      </c>
      <c r="Q54" s="13">
        <f t="shared" si="11"/>
        <v>1004</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11.95</v>
      </c>
      <c r="L55" s="96">
        <f t="shared" si="7"/>
        <v>9.9999999999997868E-3</v>
      </c>
      <c r="M55" s="96">
        <f t="shared" si="8"/>
        <v>11.959999999999999</v>
      </c>
      <c r="N55" s="96">
        <f t="shared" si="3"/>
        <v>1014.54</v>
      </c>
      <c r="O55" s="96">
        <f t="shared" si="9"/>
        <v>0.63000000000000078</v>
      </c>
      <c r="P55" s="96">
        <f t="shared" si="10"/>
        <v>11.17</v>
      </c>
      <c r="Q55" s="96">
        <f t="shared" si="11"/>
        <v>1004</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11.96</v>
      </c>
      <c r="L56" s="87">
        <f t="shared" si="7"/>
        <v>9.9999999999997868E-3</v>
      </c>
      <c r="M56" s="87">
        <f t="shared" si="8"/>
        <v>11.969999999999999</v>
      </c>
      <c r="N56" s="87">
        <f t="shared" si="3"/>
        <v>1015.17</v>
      </c>
      <c r="O56" s="87">
        <f t="shared" si="9"/>
        <v>0.63000000000000078</v>
      </c>
      <c r="P56" s="87">
        <f t="shared" si="10"/>
        <v>11.8</v>
      </c>
      <c r="Q56" s="87">
        <f t="shared" si="11"/>
        <v>1004</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11.97</v>
      </c>
      <c r="L57" s="13">
        <f t="shared" si="7"/>
        <v>9.9999999999997868E-3</v>
      </c>
      <c r="M57" s="13">
        <f t="shared" si="8"/>
        <v>11.979999999999999</v>
      </c>
      <c r="N57" s="13">
        <f t="shared" si="3"/>
        <v>1015.8</v>
      </c>
      <c r="O57" s="13">
        <f t="shared" si="9"/>
        <v>0.62999999999999901</v>
      </c>
      <c r="P57" s="13">
        <f t="shared" si="10"/>
        <v>12.43</v>
      </c>
      <c r="Q57" s="13">
        <f t="shared" si="11"/>
        <v>1004</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11.98</v>
      </c>
      <c r="L58" s="13">
        <f t="shared" si="7"/>
        <v>9.9999999999997868E-3</v>
      </c>
      <c r="M58" s="13">
        <f t="shared" si="8"/>
        <v>11.989999999999998</v>
      </c>
      <c r="N58" s="13">
        <f t="shared" si="3"/>
        <v>1016.43</v>
      </c>
      <c r="O58" s="13">
        <f t="shared" si="9"/>
        <v>0.63000000000000078</v>
      </c>
      <c r="P58" s="13">
        <f t="shared" si="10"/>
        <v>13.06</v>
      </c>
      <c r="Q58" s="13">
        <f t="shared" si="11"/>
        <v>1004</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11.99</v>
      </c>
      <c r="L59" s="13">
        <f t="shared" ref="L59" si="18">M59-M58</f>
        <v>9.9999999999997868E-3</v>
      </c>
      <c r="M59" s="13">
        <f t="shared" si="8"/>
        <v>11.999999999999998</v>
      </c>
      <c r="N59" s="13">
        <f t="shared" ref="N59" si="19">ROUND(N58+I59+J59+O58-G59,2)</f>
        <v>1017.06</v>
      </c>
      <c r="O59" s="13">
        <f t="shared" ref="O59" si="20">P59-P58</f>
        <v>0.62999999999999901</v>
      </c>
      <c r="P59" s="13">
        <f>ROUND(P58+N59*$F$22,2)</f>
        <v>13.69</v>
      </c>
      <c r="Q59" s="13">
        <f t="shared" ref="Q59" si="21">ROUND(N59+K59-M58-P58,2)</f>
        <v>1004</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0</v>
      </c>
      <c r="E60" s="21">
        <f t="shared" si="26"/>
        <v>0</v>
      </c>
      <c r="F60" s="21">
        <f t="shared" si="26"/>
        <v>0</v>
      </c>
      <c r="G60" s="21">
        <f t="shared" si="26"/>
        <v>0</v>
      </c>
      <c r="H60" s="22">
        <f t="shared" si="26"/>
        <v>0</v>
      </c>
      <c r="I60" s="20">
        <f t="shared" si="26"/>
        <v>1000</v>
      </c>
      <c r="J60" s="21">
        <f t="shared" si="26"/>
        <v>4</v>
      </c>
      <c r="K60" s="21">
        <f t="shared" si="26"/>
        <v>19365.240000000002</v>
      </c>
      <c r="L60" s="74">
        <f t="shared" si="26"/>
        <v>11.999999999999998</v>
      </c>
      <c r="M60" s="20"/>
      <c r="N60" s="21">
        <f>SUM(N29:N59)</f>
        <v>22231.32</v>
      </c>
      <c r="O60" s="21">
        <f>SUM(O29:O59)</f>
        <v>13.69</v>
      </c>
      <c r="P60" s="20"/>
      <c r="Q60" s="20"/>
      <c r="R60" s="22">
        <f>SUM(R29:R59)</f>
        <v>0</v>
      </c>
      <c r="S60" s="22">
        <f>SUM(S29:S59)</f>
        <v>0</v>
      </c>
      <c r="T60" s="22">
        <f>SUM(T29:T59)</f>
        <v>0</v>
      </c>
      <c r="U60" s="22">
        <f>SUM(U29:U59)</f>
        <v>0</v>
      </c>
      <c r="V60" s="23"/>
      <c r="W60" s="23"/>
    </row>
    <row r="61" spans="2:23" ht="15" thickBot="1" x14ac:dyDescent="0.4">
      <c r="G61" s="61"/>
      <c r="J61" s="82" t="s">
        <v>71</v>
      </c>
      <c r="K61" s="82">
        <f>K60/$C$18</f>
        <v>624.68516129032264</v>
      </c>
      <c r="M61" s="82" t="s">
        <v>69</v>
      </c>
      <c r="N61" s="82">
        <f>N60/$C$18</f>
        <v>717.13935483870966</v>
      </c>
      <c r="O61" s="61"/>
      <c r="S61" s="82" t="s">
        <v>65</v>
      </c>
      <c r="T61" s="82">
        <f>T60/$C$18</f>
        <v>0</v>
      </c>
    </row>
    <row r="62" spans="2:23" ht="15" thickBot="1" x14ac:dyDescent="0.4">
      <c r="H62" s="2"/>
      <c r="J62" s="82" t="s">
        <v>72</v>
      </c>
      <c r="K62" s="82">
        <f>ROUND(K61*$F$22*$C$18,2)</f>
        <v>11.93</v>
      </c>
      <c r="M62" s="82" t="s">
        <v>70</v>
      </c>
      <c r="N62" s="82">
        <f>IF(ROUND(N59,2)=0,0,N61*$F$22*$C$18)</f>
        <v>13.698147583561642</v>
      </c>
      <c r="S62" s="82" t="s">
        <v>64</v>
      </c>
      <c r="T62" s="82">
        <f>T61*$F$23*$C$18</f>
        <v>0</v>
      </c>
    </row>
    <row r="63" spans="2:23" x14ac:dyDescent="0.35">
      <c r="M63" s="61"/>
      <c r="N63" s="61"/>
    </row>
    <row r="64" spans="2:23" ht="15" thickBot="1" x14ac:dyDescent="0.4"/>
    <row r="65" spans="11:19" ht="15" thickBot="1" x14ac:dyDescent="0.4">
      <c r="M65" s="82">
        <f>K62+N62</f>
        <v>25.628147583561642</v>
      </c>
      <c r="P65" s="61">
        <f>N62-N68</f>
        <v>2.5081475835616427</v>
      </c>
    </row>
    <row r="66" spans="11:19" ht="15" thickBot="1" x14ac:dyDescent="0.4">
      <c r="K66" s="61">
        <f>SUM(K29:K37)</f>
        <v>19103.77</v>
      </c>
      <c r="N66" s="61">
        <f>SUM(N29:N55)</f>
        <v>18166.86</v>
      </c>
      <c r="P66" s="61">
        <f>SUM(O56:O59)</f>
        <v>2.5199999999999996</v>
      </c>
    </row>
    <row r="67" spans="11:19" ht="15" thickBot="1" x14ac:dyDescent="0.4">
      <c r="K67" s="82">
        <f>K66/$C$18</f>
        <v>616.25064516129032</v>
      </c>
      <c r="N67" s="82">
        <f>N66/$C$18</f>
        <v>586.02774193548385</v>
      </c>
      <c r="O67" s="61">
        <f>SUM(O43:O55)</f>
        <v>8.07</v>
      </c>
    </row>
    <row r="68" spans="11:19" ht="15" thickBot="1" x14ac:dyDescent="0.4">
      <c r="K68" s="82">
        <f>ROUND(K67*$F$22*$C$18,2)</f>
        <v>11.77</v>
      </c>
      <c r="M68">
        <v>25.48</v>
      </c>
      <c r="N68" s="82">
        <f>ROUND(N67*$F$22*$C$18,2)</f>
        <v>11.19</v>
      </c>
      <c r="O68">
        <v>17.440000000000001</v>
      </c>
    </row>
    <row r="69" spans="11:19" x14ac:dyDescent="0.35">
      <c r="M69" s="61"/>
      <c r="O69" s="61">
        <f>SUM(O67,O68)</f>
        <v>25.51</v>
      </c>
    </row>
    <row r="70" spans="11:19" x14ac:dyDescent="0.35">
      <c r="K70" s="61">
        <f>K62-K68</f>
        <v>0.16000000000000014</v>
      </c>
      <c r="M70" s="100">
        <f>K68+N68</f>
        <v>22.96</v>
      </c>
      <c r="S70" s="61">
        <f>N62+L60</f>
        <v>25.698147583561642</v>
      </c>
    </row>
    <row r="72" spans="11:19" x14ac:dyDescent="0.35">
      <c r="M72" s="61">
        <f>M65-M68</f>
        <v>0.14814758356164148</v>
      </c>
    </row>
    <row r="73" spans="11:19" x14ac:dyDescent="0.35">
      <c r="L73" s="61">
        <f>K70+N62</f>
        <v>13.858147583561642</v>
      </c>
    </row>
    <row r="74" spans="11:19" x14ac:dyDescent="0.35">
      <c r="N74" s="61">
        <f>(K68+N68)-(SUM(L56:L59)+SUM(O56:O59))</f>
        <v>20.400000000000002</v>
      </c>
    </row>
    <row r="75" spans="11:19" x14ac:dyDescent="0.35">
      <c r="M75" s="61">
        <f>M55+N68</f>
        <v>23.15</v>
      </c>
    </row>
    <row r="79" spans="11:19" x14ac:dyDescent="0.35">
      <c r="M79" s="61">
        <f>K29-D48</f>
        <v>2117.41</v>
      </c>
    </row>
    <row r="80" spans="11:19" x14ac:dyDescent="0.35">
      <c r="M80">
        <f>M79</f>
        <v>2117.41</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6"/>
  <sheetViews>
    <sheetView topLeftCell="G53" zoomScale="66" zoomScaleNormal="66" workbookViewId="0">
      <selection activeCell="M66" sqref="M6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45107</v>
      </c>
    </row>
    <row r="4" spans="2:12" ht="15" thickBot="1" x14ac:dyDescent="0.4">
      <c r="B4"/>
      <c r="C4"/>
      <c r="E4" s="62" t="s">
        <v>25</v>
      </c>
      <c r="F4" s="62">
        <f>'May Statement'!F11</f>
        <v>1004</v>
      </c>
    </row>
    <row r="5" spans="2:12" ht="15" thickBot="1" x14ac:dyDescent="0.4">
      <c r="B5" s="29" t="s">
        <v>5</v>
      </c>
      <c r="C5" s="38">
        <v>45017</v>
      </c>
      <c r="E5" s="32" t="s">
        <v>10</v>
      </c>
      <c r="F5" s="33">
        <f>SUM(I11:I12)</f>
        <v>0</v>
      </c>
    </row>
    <row r="6" spans="2:12" x14ac:dyDescent="0.35">
      <c r="B6" s="30" t="s">
        <v>8</v>
      </c>
      <c r="C6" s="39">
        <v>45046</v>
      </c>
      <c r="E6" s="34" t="s">
        <v>26</v>
      </c>
      <c r="F6" s="35">
        <f>I59</f>
        <v>0</v>
      </c>
      <c r="H6" s="103" t="s">
        <v>40</v>
      </c>
      <c r="I6" s="104"/>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18.95</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1022.95</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45102</v>
      </c>
      <c r="E13" s="53" t="s">
        <v>31</v>
      </c>
      <c r="F13" s="54">
        <v>18000</v>
      </c>
    </row>
    <row r="14" spans="2:12" x14ac:dyDescent="0.35">
      <c r="E14" s="51" t="s">
        <v>32</v>
      </c>
      <c r="F14" s="52">
        <f>F13-F11</f>
        <v>16977.05</v>
      </c>
      <c r="H14" s="103" t="s">
        <v>44</v>
      </c>
      <c r="I14" s="104"/>
    </row>
    <row r="15" spans="2:12" ht="29.5" thickBot="1" x14ac:dyDescent="0.4">
      <c r="B15"/>
      <c r="C15" s="3"/>
      <c r="E15" s="53" t="s">
        <v>33</v>
      </c>
      <c r="F15" s="54">
        <v>1200</v>
      </c>
      <c r="H15" s="7" t="s">
        <v>45</v>
      </c>
      <c r="I15" s="8">
        <f>K61</f>
        <v>18.95</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3" t="s">
        <v>51</v>
      </c>
      <c r="I18" s="104"/>
    </row>
    <row r="19" spans="2:23" ht="15" thickBot="1" x14ac:dyDescent="0.4">
      <c r="B19" s="31" t="s">
        <v>16</v>
      </c>
      <c r="C19" s="41">
        <f>C17+C3</f>
        <v>45132</v>
      </c>
      <c r="H19" s="7" t="s">
        <v>42</v>
      </c>
      <c r="I19" s="8">
        <f>'May Statement'!I19+'May Statement'!F6+'May Statement'!I7+'May Statement'!I15-'May Statement'!I11</f>
        <v>3111.4716571506851</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3111.4716571506851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1015.77</v>
      </c>
      <c r="L29" s="12">
        <f>M29</f>
        <v>0.62588129589041097</v>
      </c>
      <c r="M29" s="12">
        <f>K29*$F$22</f>
        <v>0.62588129589041097</v>
      </c>
      <c r="N29" s="12">
        <f>I29+J29-G29</f>
        <v>0</v>
      </c>
      <c r="O29" s="12">
        <f>P29</f>
        <v>0</v>
      </c>
      <c r="P29" s="12">
        <f>N29*$F$22</f>
        <v>0</v>
      </c>
      <c r="Q29" s="12">
        <f>K29+N29</f>
        <v>1015.77</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1016.4</v>
      </c>
      <c r="L30" s="13">
        <f>M30-M29</f>
        <v>0.62626947945205469</v>
      </c>
      <c r="M30" s="13">
        <f>IF(K30=0,0,M29+K30*$F$22)</f>
        <v>1.2521507753424657</v>
      </c>
      <c r="N30" s="13">
        <f t="shared" ref="N30:N57" si="3">ROUND(N29+I30+J30+O29-G30,2)</f>
        <v>0</v>
      </c>
      <c r="O30" s="13">
        <f>P30-P29</f>
        <v>0</v>
      </c>
      <c r="P30" s="13">
        <f>ROUND(P29+N30*$F$22,2)</f>
        <v>0</v>
      </c>
      <c r="Q30" s="13">
        <f>ROUND(N30+K30-M29-P29,2)</f>
        <v>1015.77</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1017.03</v>
      </c>
      <c r="L31" s="13">
        <f t="shared" ref="L31:L57" si="7">M31-M30</f>
        <v>0.62665766301369863</v>
      </c>
      <c r="M31" s="13">
        <f t="shared" ref="M31:M57" si="8">IF(K31=0,0,M30+K31*$F$22)</f>
        <v>1.8788084383561643</v>
      </c>
      <c r="N31" s="13">
        <f t="shared" si="3"/>
        <v>0</v>
      </c>
      <c r="O31" s="13">
        <f t="shared" ref="O31:O57" si="9">P31-P30</f>
        <v>0</v>
      </c>
      <c r="P31" s="13">
        <f t="shared" ref="P31:P56" si="10">ROUND(P30+N31*$F$22,2)</f>
        <v>0</v>
      </c>
      <c r="Q31" s="13">
        <f t="shared" ref="Q31:Q57" si="11">ROUND(N31+K31-M30-P30,2)</f>
        <v>1015.78</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1017.66</v>
      </c>
      <c r="L32" s="13">
        <f t="shared" si="7"/>
        <v>0.62704584657534235</v>
      </c>
      <c r="M32" s="13">
        <f t="shared" si="8"/>
        <v>2.5058542849315066</v>
      </c>
      <c r="N32" s="13">
        <f t="shared" si="3"/>
        <v>0</v>
      </c>
      <c r="O32" s="13">
        <f t="shared" si="9"/>
        <v>0</v>
      </c>
      <c r="P32" s="13">
        <f t="shared" si="10"/>
        <v>0</v>
      </c>
      <c r="Q32" s="13">
        <f t="shared" si="11"/>
        <v>1015.78</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1018.29</v>
      </c>
      <c r="L33" s="13">
        <f t="shared" si="7"/>
        <v>0.62743403013698629</v>
      </c>
      <c r="M33" s="13">
        <f t="shared" si="8"/>
        <v>3.1332883150684929</v>
      </c>
      <c r="N33" s="13">
        <f t="shared" si="3"/>
        <v>0</v>
      </c>
      <c r="O33" s="13">
        <f t="shared" si="9"/>
        <v>0</v>
      </c>
      <c r="P33" s="13">
        <f t="shared" si="10"/>
        <v>0</v>
      </c>
      <c r="Q33" s="13">
        <f t="shared" si="11"/>
        <v>1015.78</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1018.92</v>
      </c>
      <c r="L34" s="13">
        <f t="shared" si="7"/>
        <v>0.62782221369863001</v>
      </c>
      <c r="M34" s="13">
        <f t="shared" si="8"/>
        <v>3.7611105287671229</v>
      </c>
      <c r="N34" s="13">
        <f t="shared" si="3"/>
        <v>0</v>
      </c>
      <c r="O34" s="13">
        <f t="shared" si="9"/>
        <v>0</v>
      </c>
      <c r="P34" s="13">
        <f t="shared" si="10"/>
        <v>0</v>
      </c>
      <c r="Q34" s="13">
        <f t="shared" si="11"/>
        <v>1015.79</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1019.55</v>
      </c>
      <c r="L35" s="13">
        <f t="shared" si="7"/>
        <v>0.62821039726027372</v>
      </c>
      <c r="M35" s="13">
        <f t="shared" si="8"/>
        <v>4.3893209260273967</v>
      </c>
      <c r="N35" s="13">
        <f t="shared" si="3"/>
        <v>0</v>
      </c>
      <c r="O35" s="13">
        <f t="shared" si="9"/>
        <v>0</v>
      </c>
      <c r="P35" s="13">
        <f t="shared" si="10"/>
        <v>0</v>
      </c>
      <c r="Q35" s="13">
        <f t="shared" si="11"/>
        <v>1015.79</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1020.18</v>
      </c>
      <c r="L36" s="13">
        <f t="shared" si="7"/>
        <v>0.62859858082191788</v>
      </c>
      <c r="M36" s="13">
        <f t="shared" si="8"/>
        <v>5.0179195068493145</v>
      </c>
      <c r="N36" s="13">
        <f t="shared" si="3"/>
        <v>0</v>
      </c>
      <c r="O36" s="13">
        <f t="shared" si="9"/>
        <v>0</v>
      </c>
      <c r="P36" s="13">
        <f t="shared" si="10"/>
        <v>0</v>
      </c>
      <c r="Q36" s="13">
        <f t="shared" si="11"/>
        <v>1015.79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1020.81</v>
      </c>
      <c r="L37" s="13">
        <f t="shared" si="7"/>
        <v>0.62898676438356116</v>
      </c>
      <c r="M37" s="13">
        <f t="shared" si="8"/>
        <v>5.6469062712328757</v>
      </c>
      <c r="N37" s="13">
        <f t="shared" si="3"/>
        <v>0</v>
      </c>
      <c r="O37" s="13">
        <f t="shared" si="9"/>
        <v>0</v>
      </c>
      <c r="P37" s="13">
        <f t="shared" si="10"/>
        <v>0</v>
      </c>
      <c r="Q37" s="13">
        <f t="shared" si="11"/>
        <v>1015.79</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1021.44</v>
      </c>
      <c r="L38" s="13">
        <f t="shared" si="7"/>
        <v>0.62937494794520532</v>
      </c>
      <c r="M38" s="13">
        <f t="shared" si="8"/>
        <v>6.276281219178081</v>
      </c>
      <c r="N38" s="13">
        <f t="shared" si="3"/>
        <v>0</v>
      </c>
      <c r="O38" s="13">
        <f t="shared" si="9"/>
        <v>0</v>
      </c>
      <c r="P38" s="13">
        <f t="shared" si="10"/>
        <v>0</v>
      </c>
      <c r="Q38" s="13">
        <f t="shared" si="11"/>
        <v>1015.79</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1022.07</v>
      </c>
      <c r="L39" s="13">
        <f t="shared" si="7"/>
        <v>0.62976313150684948</v>
      </c>
      <c r="M39" s="13">
        <f t="shared" si="8"/>
        <v>6.9060443506849305</v>
      </c>
      <c r="N39" s="13">
        <f t="shared" si="3"/>
        <v>0</v>
      </c>
      <c r="O39" s="13">
        <f>P39-P38</f>
        <v>0</v>
      </c>
      <c r="P39" s="13">
        <f t="shared" si="10"/>
        <v>0</v>
      </c>
      <c r="Q39" s="13">
        <f t="shared" si="11"/>
        <v>1015.79</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1022.7</v>
      </c>
      <c r="L40" s="13">
        <f t="shared" si="7"/>
        <v>0.63015131506849276</v>
      </c>
      <c r="M40" s="13">
        <f t="shared" si="8"/>
        <v>7.5361956657534233</v>
      </c>
      <c r="N40" s="13">
        <f t="shared" si="3"/>
        <v>0</v>
      </c>
      <c r="O40" s="13">
        <f t="shared" si="9"/>
        <v>0</v>
      </c>
      <c r="P40" s="13">
        <f t="shared" si="10"/>
        <v>0</v>
      </c>
      <c r="Q40" s="13">
        <f t="shared" si="11"/>
        <v>1015.79</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1023.33</v>
      </c>
      <c r="L41" s="13">
        <f t="shared" si="7"/>
        <v>0.63053949863013692</v>
      </c>
      <c r="M41" s="13">
        <f t="shared" si="8"/>
        <v>8.1667351643835602</v>
      </c>
      <c r="N41" s="13">
        <f t="shared" si="3"/>
        <v>0</v>
      </c>
      <c r="O41" s="13">
        <f t="shared" si="9"/>
        <v>0</v>
      </c>
      <c r="P41" s="13">
        <f t="shared" si="10"/>
        <v>0</v>
      </c>
      <c r="Q41" s="13">
        <f t="shared" si="11"/>
        <v>1015.79</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1023.96</v>
      </c>
      <c r="L42" s="13">
        <f t="shared" si="7"/>
        <v>0.63092768219178019</v>
      </c>
      <c r="M42" s="13">
        <f t="shared" si="8"/>
        <v>8.7976628465753404</v>
      </c>
      <c r="N42" s="13">
        <f t="shared" si="3"/>
        <v>0</v>
      </c>
      <c r="O42" s="13">
        <f t="shared" si="9"/>
        <v>0</v>
      </c>
      <c r="P42" s="13">
        <f t="shared" si="10"/>
        <v>0</v>
      </c>
      <c r="Q42" s="13">
        <f t="shared" si="11"/>
        <v>1015.79</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1024.5899999999999</v>
      </c>
      <c r="L43" s="13">
        <f t="shared" si="7"/>
        <v>0.63131586575342524</v>
      </c>
      <c r="M43" s="13">
        <f t="shared" si="8"/>
        <v>9.4289787123287656</v>
      </c>
      <c r="N43" s="13">
        <f t="shared" si="3"/>
        <v>0</v>
      </c>
      <c r="O43" s="13">
        <f t="shared" si="9"/>
        <v>0</v>
      </c>
      <c r="P43" s="13">
        <f t="shared" si="10"/>
        <v>0</v>
      </c>
      <c r="Q43" s="13">
        <f t="shared" si="11"/>
        <v>1015.79</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1025.22</v>
      </c>
      <c r="L44" s="13">
        <f t="shared" si="7"/>
        <v>0.63170404931506852</v>
      </c>
      <c r="M44" s="13">
        <f t="shared" si="8"/>
        <v>10.060682761643834</v>
      </c>
      <c r="N44" s="13">
        <f t="shared" si="3"/>
        <v>0</v>
      </c>
      <c r="O44" s="13">
        <f t="shared" si="9"/>
        <v>0</v>
      </c>
      <c r="P44" s="13">
        <f t="shared" si="10"/>
        <v>0</v>
      </c>
      <c r="Q44" s="13">
        <f t="shared" si="11"/>
        <v>1015.79</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1025.8499999999999</v>
      </c>
      <c r="L45" s="13">
        <f t="shared" si="7"/>
        <v>0.63209223287671179</v>
      </c>
      <c r="M45" s="13">
        <f t="shared" si="8"/>
        <v>10.692774994520546</v>
      </c>
      <c r="N45" s="13">
        <f t="shared" si="3"/>
        <v>0</v>
      </c>
      <c r="O45" s="13">
        <f t="shared" si="9"/>
        <v>0</v>
      </c>
      <c r="P45" s="13">
        <f t="shared" si="10"/>
        <v>0</v>
      </c>
      <c r="Q45" s="13">
        <f t="shared" si="11"/>
        <v>1015.79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1026.48</v>
      </c>
      <c r="L46" s="13">
        <f t="shared" si="7"/>
        <v>0.63248041643835684</v>
      </c>
      <c r="M46" s="13">
        <f t="shared" si="8"/>
        <v>11.325255410958903</v>
      </c>
      <c r="N46" s="13">
        <f t="shared" si="3"/>
        <v>0</v>
      </c>
      <c r="O46" s="13">
        <f t="shared" si="9"/>
        <v>0</v>
      </c>
      <c r="P46" s="13">
        <f t="shared" si="10"/>
        <v>0</v>
      </c>
      <c r="Q46" s="13">
        <f t="shared" si="11"/>
        <v>1015.79</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1027.1099999999999</v>
      </c>
      <c r="L47" s="13">
        <f t="shared" si="7"/>
        <v>0.63286860000000011</v>
      </c>
      <c r="M47" s="13">
        <f t="shared" si="8"/>
        <v>11.958124010958903</v>
      </c>
      <c r="N47" s="13">
        <f t="shared" si="3"/>
        <v>0</v>
      </c>
      <c r="O47" s="13">
        <f t="shared" si="9"/>
        <v>0</v>
      </c>
      <c r="P47" s="13">
        <f t="shared" si="10"/>
        <v>0</v>
      </c>
      <c r="Q47" s="13">
        <f t="shared" si="11"/>
        <v>1015.78</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1027.74</v>
      </c>
      <c r="L48" s="13">
        <f t="shared" si="7"/>
        <v>0.63325678356164339</v>
      </c>
      <c r="M48" s="13">
        <f t="shared" si="8"/>
        <v>12.591380794520546</v>
      </c>
      <c r="N48" s="13">
        <f t="shared" si="3"/>
        <v>0</v>
      </c>
      <c r="O48" s="13">
        <f t="shared" si="9"/>
        <v>0</v>
      </c>
      <c r="P48" s="13">
        <f t="shared" si="10"/>
        <v>0</v>
      </c>
      <c r="Q48" s="13">
        <f t="shared" si="11"/>
        <v>1015.78</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1028.3699999999999</v>
      </c>
      <c r="L49" s="13">
        <f t="shared" si="7"/>
        <v>0.63364496712328844</v>
      </c>
      <c r="M49" s="13">
        <f t="shared" si="8"/>
        <v>13.225025761643835</v>
      </c>
      <c r="N49" s="13">
        <f t="shared" si="3"/>
        <v>0</v>
      </c>
      <c r="O49" s="13">
        <f t="shared" si="9"/>
        <v>0</v>
      </c>
      <c r="P49" s="13">
        <f t="shared" si="10"/>
        <v>0</v>
      </c>
      <c r="Q49" s="13">
        <f t="shared" si="11"/>
        <v>1015.78</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1029</v>
      </c>
      <c r="L50" s="13">
        <f t="shared" si="7"/>
        <v>0.63403315068493171</v>
      </c>
      <c r="M50" s="13">
        <f t="shared" si="8"/>
        <v>13.859058912328766</v>
      </c>
      <c r="N50" s="13">
        <f t="shared" si="3"/>
        <v>0</v>
      </c>
      <c r="O50" s="13">
        <f t="shared" si="9"/>
        <v>0</v>
      </c>
      <c r="P50" s="13">
        <f t="shared" si="10"/>
        <v>0</v>
      </c>
      <c r="Q50" s="13">
        <f t="shared" si="11"/>
        <v>1015.77</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1029.6300000000001</v>
      </c>
      <c r="L51" s="13">
        <f t="shared" si="7"/>
        <v>0.63442133424657499</v>
      </c>
      <c r="M51" s="13">
        <f t="shared" si="8"/>
        <v>14.493480246575341</v>
      </c>
      <c r="N51" s="13">
        <f t="shared" si="3"/>
        <v>0</v>
      </c>
      <c r="O51" s="13">
        <f t="shared" si="9"/>
        <v>0</v>
      </c>
      <c r="P51" s="13">
        <f t="shared" si="10"/>
        <v>0</v>
      </c>
      <c r="Q51" s="13">
        <f t="shared" si="11"/>
        <v>1015.77</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1030.26</v>
      </c>
      <c r="L52" s="13">
        <f t="shared" si="7"/>
        <v>0.63480951780821826</v>
      </c>
      <c r="M52" s="13">
        <f t="shared" si="8"/>
        <v>15.12828976438356</v>
      </c>
      <c r="N52" s="13">
        <f>ROUND(N51+I52+J52+O51-G52,2)</f>
        <v>0</v>
      </c>
      <c r="O52" s="13">
        <f t="shared" si="9"/>
        <v>0</v>
      </c>
      <c r="P52" s="13">
        <f t="shared" si="10"/>
        <v>0</v>
      </c>
      <c r="Q52" s="13">
        <f t="shared" si="11"/>
        <v>1015.77</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1030.8900000000001</v>
      </c>
      <c r="L53" s="13">
        <f t="shared" si="7"/>
        <v>0.63519770136986331</v>
      </c>
      <c r="M53" s="13">
        <f t="shared" si="8"/>
        <v>15.763487465753423</v>
      </c>
      <c r="N53" s="13">
        <f t="shared" si="3"/>
        <v>0</v>
      </c>
      <c r="O53" s="13">
        <f t="shared" si="9"/>
        <v>0</v>
      </c>
      <c r="P53" s="13">
        <f t="shared" si="10"/>
        <v>0</v>
      </c>
      <c r="Q53" s="13">
        <f t="shared" si="11"/>
        <v>1015.76</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1031.53</v>
      </c>
      <c r="L54" s="13">
        <f t="shared" si="7"/>
        <v>0.63559204657534174</v>
      </c>
      <c r="M54" s="13">
        <f t="shared" si="8"/>
        <v>16.399079512328765</v>
      </c>
      <c r="N54" s="13">
        <f t="shared" si="3"/>
        <v>0</v>
      </c>
      <c r="O54" s="13">
        <f t="shared" si="9"/>
        <v>0</v>
      </c>
      <c r="P54" s="13">
        <f>ROUND(P53+N54*$F$22,2)</f>
        <v>0</v>
      </c>
      <c r="Q54" s="13">
        <f t="shared" si="11"/>
        <v>1015.77</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1032.17</v>
      </c>
      <c r="L55" s="13">
        <f t="shared" si="7"/>
        <v>0.63598639178082195</v>
      </c>
      <c r="M55" s="13">
        <f t="shared" si="8"/>
        <v>17.035065904109587</v>
      </c>
      <c r="N55" s="13">
        <f t="shared" si="3"/>
        <v>0</v>
      </c>
      <c r="O55" s="13">
        <f t="shared" si="9"/>
        <v>0</v>
      </c>
      <c r="P55" s="13">
        <f t="shared" si="10"/>
        <v>0</v>
      </c>
      <c r="Q55" s="13">
        <f t="shared" si="11"/>
        <v>1015.77</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1032.81</v>
      </c>
      <c r="L56" s="13">
        <f t="shared" si="7"/>
        <v>0.63638073698630038</v>
      </c>
      <c r="M56" s="13">
        <f t="shared" si="8"/>
        <v>17.671446641095887</v>
      </c>
      <c r="N56" s="13">
        <f t="shared" si="3"/>
        <v>0</v>
      </c>
      <c r="O56" s="13">
        <f t="shared" si="9"/>
        <v>0</v>
      </c>
      <c r="P56" s="13">
        <f t="shared" si="10"/>
        <v>0</v>
      </c>
      <c r="Q56" s="13">
        <f t="shared" si="11"/>
        <v>1015.77</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1033.45</v>
      </c>
      <c r="L57" s="13">
        <f t="shared" si="7"/>
        <v>0.63677508219178236</v>
      </c>
      <c r="M57" s="13">
        <f t="shared" si="8"/>
        <v>18.308221723287669</v>
      </c>
      <c r="N57" s="13">
        <f t="shared" si="3"/>
        <v>0</v>
      </c>
      <c r="O57" s="13">
        <f t="shared" si="9"/>
        <v>0</v>
      </c>
      <c r="P57" s="13">
        <f>ROUND(P56+N57*$F$22,2)</f>
        <v>0</v>
      </c>
      <c r="Q57" s="13">
        <f t="shared" si="11"/>
        <v>1015.78</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1034.0899999999999</v>
      </c>
      <c r="L58" s="13">
        <f t="shared" ref="L58" si="18">M58-M57</f>
        <v>0.63716942739726079</v>
      </c>
      <c r="M58" s="13">
        <f t="shared" ref="M58" si="19">IF(K58=0,0,M57+K58*$F$22)</f>
        <v>18.94539115068493</v>
      </c>
      <c r="N58" s="13">
        <f t="shared" ref="N58" si="20">ROUND(N57+I58+J58+O57-G58,2)</f>
        <v>0</v>
      </c>
      <c r="O58" s="13">
        <f t="shared" ref="O58" si="21">P58-P57</f>
        <v>0</v>
      </c>
      <c r="P58" s="13">
        <f>ROUND(P57+N58*$F$22,2)</f>
        <v>0</v>
      </c>
      <c r="Q58" s="13">
        <f t="shared" ref="Q58" si="22">ROUND(N58+K58-M57-P57,2)</f>
        <v>1015.78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30747.3</v>
      </c>
      <c r="L59" s="74">
        <f t="shared" si="27"/>
        <v>18.94539115068493</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1024.9100000000001</v>
      </c>
      <c r="M60" s="82" t="s">
        <v>69</v>
      </c>
      <c r="N60" s="82">
        <f>N59/$C$18</f>
        <v>0</v>
      </c>
      <c r="O60" s="61"/>
      <c r="S60" s="82" t="s">
        <v>65</v>
      </c>
      <c r="T60" s="82">
        <f>T59/$C$18</f>
        <v>0</v>
      </c>
    </row>
    <row r="61" spans="2:23" ht="15" thickBot="1" x14ac:dyDescent="0.4">
      <c r="H61" s="2"/>
      <c r="J61" s="82" t="s">
        <v>72</v>
      </c>
      <c r="K61" s="82">
        <f>ROUND(K60*$F$22*$C$18,2)</f>
        <v>18.95</v>
      </c>
      <c r="M61" s="82" t="s">
        <v>70</v>
      </c>
      <c r="N61" s="82">
        <f>IF(ROUND(N58,2)=0,0,N60*$F$22*$C$18)</f>
        <v>0</v>
      </c>
      <c r="S61" s="82" t="s">
        <v>64</v>
      </c>
      <c r="T61" s="82">
        <f>T60*$F$23*$C$18</f>
        <v>0</v>
      </c>
    </row>
    <row r="62" spans="2:23" x14ac:dyDescent="0.35">
      <c r="M62" s="61"/>
      <c r="N62" s="61"/>
    </row>
    <row r="66" spans="13:13" x14ac:dyDescent="0.35">
      <c r="M66" s="61">
        <f>'june Statement'!K61+'May Statement'!L73</f>
        <v>32.808147583561642</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2024-02-13T10:22:30Z</dcterms:modified>
</cp:coreProperties>
</file>