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D08AFF41-4D3F-49DF-B985-0E5111A420D4}" xr6:coauthVersionLast="47" xr6:coauthVersionMax="47" xr10:uidLastSave="{00000000-0000-0000-0000-000000000000}"/>
  <bookViews>
    <workbookView xWindow="-110" yWindow="-110" windowWidth="19420" windowHeight="1030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6" l="1"/>
  <c r="M79" i="13"/>
  <c r="M80" i="13" s="1"/>
  <c r="M29" i="13"/>
  <c r="L29" i="13" s="1"/>
  <c r="F4" i="15"/>
  <c r="C10" i="13"/>
  <c r="S60" i="16"/>
  <c r="R60" i="16"/>
  <c r="F7" i="16" s="1"/>
  <c r="J60" i="16"/>
  <c r="I7" i="16" s="1"/>
  <c r="F8" i="16" s="1"/>
  <c r="I60" i="16"/>
  <c r="F6" i="16" s="1"/>
  <c r="D60" i="16"/>
  <c r="E29" i="16"/>
  <c r="F23" i="16"/>
  <c r="F22" i="16"/>
  <c r="F18" i="16"/>
  <c r="C16" i="16"/>
  <c r="C11" i="16"/>
  <c r="C10" i="16"/>
  <c r="I8" i="16"/>
  <c r="C8" i="16"/>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G52" i="16"/>
  <c r="N52" i="16" s="1"/>
  <c r="H52" i="13"/>
  <c r="T52" i="13" s="1"/>
  <c r="K31" i="16" l="1"/>
  <c r="K30" i="16"/>
  <c r="P52" i="16"/>
  <c r="U52" i="16"/>
  <c r="W52" i="13"/>
  <c r="V52" i="13"/>
  <c r="Q29" i="16" l="1"/>
  <c r="M29" i="16"/>
  <c r="L29" i="16" s="1"/>
  <c r="M30" i="16" s="1"/>
  <c r="L30" i="16" s="1"/>
  <c r="O52" i="16"/>
  <c r="H53" i="16"/>
  <c r="T53" i="16" s="1"/>
  <c r="U52" i="13"/>
  <c r="Q30" i="16" l="1"/>
  <c r="Q31" i="16"/>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U57" i="13"/>
  <c r="M41" i="16" l="1"/>
  <c r="Q41" i="16"/>
  <c r="W59" i="16"/>
  <c r="T60" i="16"/>
  <c r="T61" i="16" s="1"/>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I20" i="15"/>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L59" i="16"/>
  <c r="L60" i="16" s="1"/>
  <c r="F9" i="16" l="1"/>
  <c r="F11" i="16" s="1"/>
  <c r="F14" i="16" s="1"/>
  <c r="I19" i="15"/>
  <c r="H29" i="15"/>
  <c r="T29" i="15" s="1"/>
  <c r="W29" i="15" l="1"/>
  <c r="V29" i="15"/>
  <c r="U29" i="15" l="1"/>
  <c r="H30" i="15" s="1"/>
  <c r="T30" i="15" s="1"/>
  <c r="V30" i="15" s="1"/>
  <c r="U30" i="15" l="1"/>
  <c r="W30" i="15"/>
  <c r="H31" i="15" l="1"/>
  <c r="T31" i="15" s="1"/>
  <c r="V31" i="15" s="1"/>
  <c r="W31" i="15" l="1"/>
  <c r="U31" i="15"/>
  <c r="H32" i="15" l="1"/>
  <c r="T32" i="15" s="1"/>
  <c r="W32" i="15" s="1"/>
  <c r="V32" i="15" l="1"/>
  <c r="U32" i="15" s="1"/>
  <c r="H33" i="15" l="1"/>
  <c r="T33" i="15" l="1"/>
  <c r="V33" i="15" s="1"/>
  <c r="W33" i="15" l="1"/>
  <c r="U33" i="15"/>
  <c r="H34" i="15" s="1"/>
  <c r="T34" i="15" l="1"/>
  <c r="W34" i="15" l="1"/>
  <c r="V34" i="15"/>
  <c r="U34" i="15" s="1"/>
  <c r="H35" i="15" s="1"/>
  <c r="T35" i="15" s="1"/>
  <c r="V35" i="15" l="1"/>
  <c r="W35" i="15"/>
  <c r="U35" i="15" l="1"/>
  <c r="H36" i="15" l="1"/>
  <c r="T36" i="15" s="1"/>
  <c r="W36" i="15" l="1"/>
  <c r="V36" i="15"/>
  <c r="U36" i="15" l="1"/>
  <c r="H37" i="15" s="1"/>
  <c r="T37" i="15" s="1"/>
  <c r="W37" i="15" s="1"/>
  <c r="V37" i="15" l="1"/>
  <c r="U37" i="15" s="1"/>
  <c r="H38" i="15" l="1"/>
  <c r="T38" i="15" s="1"/>
  <c r="W38" i="15" l="1"/>
  <c r="V38" i="15"/>
  <c r="U38" i="15" s="1"/>
  <c r="H39" i="15" l="1"/>
  <c r="T39" i="15" s="1"/>
  <c r="V39" i="15" l="1"/>
  <c r="W39" i="15"/>
  <c r="U39" i="15" l="1"/>
  <c r="H40" i="15" s="1"/>
  <c r="T40" i="15" s="1"/>
  <c r="W40" i="15" s="1"/>
  <c r="V40" i="15" l="1"/>
  <c r="U40" i="15" s="1"/>
  <c r="H41" i="15" l="1"/>
  <c r="T41" i="15" l="1"/>
  <c r="W41" i="15" s="1"/>
  <c r="V41" i="15" l="1"/>
  <c r="U41" i="15" s="1"/>
  <c r="H42" i="15" s="1"/>
  <c r="T42" i="15" l="1"/>
  <c r="W42" i="15" l="1"/>
  <c r="V42" i="15"/>
  <c r="U42" i="15" s="1"/>
  <c r="H43" i="15" s="1"/>
  <c r="T43" i="15" s="1"/>
  <c r="V43" i="15" l="1"/>
  <c r="W43" i="15"/>
  <c r="U43" i="15" l="1"/>
  <c r="H44" i="15" s="1"/>
  <c r="T44" i="15" l="1"/>
  <c r="W44" i="15" l="1"/>
  <c r="V44" i="15"/>
  <c r="U44" i="15" s="1"/>
  <c r="H45" i="15" s="1"/>
  <c r="T45" i="15" s="1"/>
  <c r="V45" i="15" l="1"/>
  <c r="W45" i="15"/>
  <c r="U45" i="15" l="1"/>
  <c r="H46" i="15" l="1"/>
  <c r="T46" i="15" s="1"/>
  <c r="W46" i="15" l="1"/>
  <c r="V46" i="15"/>
  <c r="U46" i="15" l="1"/>
  <c r="H47" i="15" l="1"/>
  <c r="T47" i="15" s="1"/>
  <c r="W47" i="15" l="1"/>
  <c r="V47" i="15"/>
  <c r="U47" i="15" l="1"/>
  <c r="H48" i="15" l="1"/>
  <c r="T48" i="15" s="1"/>
  <c r="W48" i="15" l="1"/>
  <c r="V48" i="15"/>
  <c r="U48" i="15" l="1"/>
  <c r="H49" i="15" s="1"/>
  <c r="T49" i="15" s="1"/>
  <c r="W49" i="15" s="1"/>
  <c r="V49" i="15" l="1"/>
  <c r="U49" i="15" s="1"/>
  <c r="H50" i="15" l="1"/>
  <c r="T50" i="15" s="1"/>
  <c r="W50" i="15" s="1"/>
  <c r="V50" i="15" l="1"/>
  <c r="U50" i="15" s="1"/>
  <c r="H51" i="15" s="1"/>
  <c r="T51" i="15" s="1"/>
  <c r="W51" i="15" l="1"/>
  <c r="V51" i="15"/>
  <c r="U51" i="15" s="1"/>
  <c r="H52" i="15" l="1"/>
  <c r="T52" i="15" l="1"/>
  <c r="V52" i="15" s="1"/>
  <c r="W52" i="15" l="1"/>
  <c r="U52" i="15"/>
  <c r="H53" i="15" l="1"/>
  <c r="T53" i="15" s="1"/>
  <c r="W53" i="15" l="1"/>
  <c r="V53" i="15"/>
  <c r="U53" i="15" l="1"/>
  <c r="H54" i="15" l="1"/>
  <c r="T54" i="15" s="1"/>
  <c r="W54" i="15" l="1"/>
  <c r="V54" i="15"/>
  <c r="U54" i="15" l="1"/>
  <c r="H55" i="15" l="1"/>
  <c r="T55" i="15" s="1"/>
  <c r="W55" i="15" l="1"/>
  <c r="V55" i="15"/>
  <c r="U55" i="15" l="1"/>
  <c r="H56" i="15" l="1"/>
  <c r="T56" i="15" s="1"/>
  <c r="W56" i="15" l="1"/>
  <c r="V56" i="15"/>
  <c r="U56" i="15" l="1"/>
  <c r="H57" i="15" l="1"/>
  <c r="T57" i="15" s="1"/>
  <c r="W57" i="15" l="1"/>
  <c r="V57" i="15"/>
  <c r="U57" i="15" l="1"/>
  <c r="H58" i="15" l="1"/>
  <c r="H59" i="15" l="1"/>
  <c r="I12" i="15" s="1"/>
  <c r="T58" i="15"/>
  <c r="W58" i="15" l="1"/>
  <c r="T59" i="15"/>
  <c r="T60" i="15" s="1"/>
  <c r="T61" i="15" s="1"/>
  <c r="I16" i="15" s="1"/>
  <c r="F16" i="15" s="1"/>
  <c r="V58" i="15"/>
  <c r="U58" i="15" s="1"/>
  <c r="U59" i="15" s="1"/>
  <c r="H29" i="14"/>
  <c r="T29" i="14" s="1"/>
  <c r="V29" i="14" s="1"/>
  <c r="U29" i="14" s="1"/>
  <c r="W29" i="14" l="1"/>
  <c r="H30" i="14"/>
  <c r="T30" i="14" l="1"/>
  <c r="W30" i="14" l="1"/>
  <c r="V30" i="14"/>
  <c r="F29" i="15" l="1"/>
  <c r="I21" i="15"/>
  <c r="U30" i="14"/>
  <c r="F30" i="15" l="1"/>
  <c r="F31" i="15" s="1"/>
  <c r="G31" i="15" s="1"/>
  <c r="H31" i="14"/>
  <c r="G29" i="15"/>
  <c r="F32" i="15" l="1"/>
  <c r="G32" i="15" s="1"/>
  <c r="G30" i="15"/>
  <c r="N29" i="15"/>
  <c r="T31" i="14"/>
  <c r="F33" i="15" l="1"/>
  <c r="F34" i="15" s="1"/>
  <c r="F35" i="15" s="1"/>
  <c r="G35" i="15" s="1"/>
  <c r="W31" i="14"/>
  <c r="V31" i="14"/>
  <c r="P29" i="15"/>
  <c r="G33" i="15" l="1"/>
  <c r="O29" i="15"/>
  <c r="U31" i="14"/>
  <c r="G34" i="15"/>
  <c r="F36" i="15"/>
  <c r="F37" i="15" l="1"/>
  <c r="G36" i="15"/>
  <c r="H32" i="14"/>
  <c r="N30" i="15"/>
  <c r="G37" i="15" l="1"/>
  <c r="F38" i="15"/>
  <c r="P30" i="15"/>
  <c r="T32" i="14"/>
  <c r="W32" i="14" l="1"/>
  <c r="V32" i="14"/>
  <c r="O30" i="15"/>
  <c r="G38" i="15"/>
  <c r="F39" i="15"/>
  <c r="U32" i="14" l="1"/>
  <c r="G39" i="15"/>
  <c r="F40" i="15"/>
  <c r="N31" i="15"/>
  <c r="G40" i="15" l="1"/>
  <c r="F41" i="15"/>
  <c r="H33" i="14"/>
  <c r="P31" i="15"/>
  <c r="O31" i="15" l="1"/>
  <c r="T33" i="14"/>
  <c r="G41" i="15"/>
  <c r="F42" i="15"/>
  <c r="G42" i="15" l="1"/>
  <c r="F43" i="15"/>
  <c r="W33" i="14"/>
  <c r="V33" i="14"/>
  <c r="N32" i="15"/>
  <c r="U33" i="14" l="1"/>
  <c r="G43" i="15"/>
  <c r="F44" i="15"/>
  <c r="P32" i="15"/>
  <c r="G44" i="15" l="1"/>
  <c r="F45" i="15"/>
  <c r="O32" i="15"/>
  <c r="H34" i="14"/>
  <c r="T34" i="14" l="1"/>
  <c r="V34" i="14" s="1"/>
  <c r="G45" i="15"/>
  <c r="F46" i="15"/>
  <c r="N33" i="15"/>
  <c r="W34" i="14" l="1"/>
  <c r="P33" i="15"/>
  <c r="U34" i="14"/>
  <c r="G46" i="15"/>
  <c r="F47" i="15"/>
  <c r="G47" i="15" l="1"/>
  <c r="F48" i="15"/>
  <c r="O33" i="15"/>
  <c r="H35" i="14"/>
  <c r="T35" i="14" l="1"/>
  <c r="W35" i="14" s="1"/>
  <c r="N34" i="15"/>
  <c r="G48" i="15"/>
  <c r="F49" i="15"/>
  <c r="V35" i="14" l="1"/>
  <c r="U35" i="14" s="1"/>
  <c r="P34" i="15"/>
  <c r="G49" i="15"/>
  <c r="F50" i="15"/>
  <c r="O34" i="15" l="1"/>
  <c r="N35" i="15" s="1"/>
  <c r="P35" i="15" s="1"/>
  <c r="H36" i="14"/>
  <c r="G50" i="15"/>
  <c r="F51" i="15"/>
  <c r="T36" i="14" l="1"/>
  <c r="G51" i="15"/>
  <c r="F52" i="15"/>
  <c r="O35" i="15"/>
  <c r="N36" i="15" s="1"/>
  <c r="P36" i="15" l="1"/>
  <c r="G52" i="15"/>
  <c r="F53" i="15"/>
  <c r="W36" i="14"/>
  <c r="V36" i="14"/>
  <c r="M29" i="15" l="1"/>
  <c r="L29" i="15" s="1"/>
  <c r="Q29" i="15"/>
  <c r="G53" i="15"/>
  <c r="F54" i="15"/>
  <c r="K30" i="15"/>
  <c r="U36" i="14"/>
  <c r="O36" i="15"/>
  <c r="N37" i="15" s="1"/>
  <c r="P37" i="15" s="1"/>
  <c r="H37" i="14" l="1"/>
  <c r="G54" i="15"/>
  <c r="F55" i="15"/>
  <c r="M30" i="15"/>
  <c r="L30" i="15" s="1"/>
  <c r="Q30" i="15"/>
  <c r="O37" i="15"/>
  <c r="N38" i="15" s="1"/>
  <c r="T37" i="14" l="1"/>
  <c r="W37" i="14" s="1"/>
  <c r="G55" i="15"/>
  <c r="F56" i="15"/>
  <c r="K31" i="15"/>
  <c r="P38" i="15"/>
  <c r="V37" i="14" l="1"/>
  <c r="U37" i="14" s="1"/>
  <c r="M31" i="15"/>
  <c r="L31" i="15" s="1"/>
  <c r="K32" i="15" s="1"/>
  <c r="Q31" i="15"/>
  <c r="O38" i="15"/>
  <c r="N39" i="15" s="1"/>
  <c r="G56" i="15"/>
  <c r="F57" i="15"/>
  <c r="M32" i="15" l="1"/>
  <c r="L32" i="15" s="1"/>
  <c r="K33" i="15" s="1"/>
  <c r="Q32" i="15"/>
  <c r="P39" i="15"/>
  <c r="H38" i="14"/>
  <c r="G57" i="15"/>
  <c r="F58" i="15"/>
  <c r="T38" i="14" l="1"/>
  <c r="W38" i="14" s="1"/>
  <c r="G58" i="15"/>
  <c r="G59" i="15" s="1"/>
  <c r="F59" i="15"/>
  <c r="O39" i="15"/>
  <c r="N40" i="15" s="1"/>
  <c r="M33" i="15"/>
  <c r="L33" i="15" s="1"/>
  <c r="K34" i="15" s="1"/>
  <c r="Q33" i="15"/>
  <c r="V38" i="14" l="1"/>
  <c r="U38" i="14" s="1"/>
  <c r="I11" i="15"/>
  <c r="F5" i="15" s="1"/>
  <c r="M34" i="15"/>
  <c r="L34" i="15" s="1"/>
  <c r="K35" i="15" s="1"/>
  <c r="Q34" i="15"/>
  <c r="P40" i="15"/>
  <c r="H39" i="14" l="1"/>
  <c r="O40" i="15"/>
  <c r="N41" i="15" s="1"/>
  <c r="P41" i="15" s="1"/>
  <c r="M35" i="15"/>
  <c r="L35" i="15" s="1"/>
  <c r="K36" i="15" s="1"/>
  <c r="Q35" i="15"/>
  <c r="M36" i="15" l="1"/>
  <c r="L36" i="15" s="1"/>
  <c r="K37" i="15" s="1"/>
  <c r="Q36" i="15"/>
  <c r="O41" i="15"/>
  <c r="N42" i="15" s="1"/>
  <c r="T39" i="14"/>
  <c r="P42" i="15" l="1"/>
  <c r="M37" i="15"/>
  <c r="L37" i="15" s="1"/>
  <c r="K38" i="15" s="1"/>
  <c r="Q37" i="15"/>
  <c r="W39" i="14"/>
  <c r="V39" i="14"/>
  <c r="O42" i="15" l="1"/>
  <c r="N43" i="15" s="1"/>
  <c r="P43" i="15" s="1"/>
  <c r="U39" i="14"/>
  <c r="M38" i="15"/>
  <c r="L38" i="15" s="1"/>
  <c r="K39" i="15" s="1"/>
  <c r="Q38" i="15"/>
  <c r="H40" i="14" l="1"/>
  <c r="O43" i="15"/>
  <c r="N44" i="15" s="1"/>
  <c r="M39" i="15"/>
  <c r="L39" i="15" s="1"/>
  <c r="K40" i="15" s="1"/>
  <c r="Q39" i="15"/>
  <c r="P44" i="15" l="1"/>
  <c r="M40" i="15"/>
  <c r="L40" i="15" s="1"/>
  <c r="K41" i="15" s="1"/>
  <c r="Q40" i="15"/>
  <c r="T40" i="14"/>
  <c r="M41" i="15" l="1"/>
  <c r="L41" i="15" s="1"/>
  <c r="K42" i="15" s="1"/>
  <c r="Q41" i="15"/>
  <c r="W40" i="14"/>
  <c r="V40" i="14"/>
  <c r="O44" i="15"/>
  <c r="N45" i="15" s="1"/>
  <c r="P45" i="15" s="1"/>
  <c r="O45" i="15" l="1"/>
  <c r="N46" i="15" s="1"/>
  <c r="U40" i="14"/>
  <c r="M42" i="15"/>
  <c r="L42" i="15" s="1"/>
  <c r="K43" i="15" s="1"/>
  <c r="Q42" i="15"/>
  <c r="M43" i="15" l="1"/>
  <c r="L43" i="15" s="1"/>
  <c r="K44" i="15" s="1"/>
  <c r="Q43" i="15"/>
  <c r="P46" i="15"/>
  <c r="H41" i="14"/>
  <c r="T41" i="14" l="1"/>
  <c r="V41" i="14" s="1"/>
  <c r="O46" i="15"/>
  <c r="N47" i="15" s="1"/>
  <c r="M44" i="15"/>
  <c r="L44" i="15" s="1"/>
  <c r="K45" i="15" s="1"/>
  <c r="Q44" i="15"/>
  <c r="W41" i="14" l="1"/>
  <c r="M45" i="15"/>
  <c r="L45" i="15" s="1"/>
  <c r="K46" i="15" s="1"/>
  <c r="Q45" i="15"/>
  <c r="P47" i="15"/>
  <c r="U41" i="14"/>
  <c r="M46" i="15" l="1"/>
  <c r="L46" i="15" s="1"/>
  <c r="K47" i="15" s="1"/>
  <c r="Q46" i="15"/>
  <c r="O47" i="15"/>
  <c r="N48" i="15" s="1"/>
  <c r="H42" i="14"/>
  <c r="T42" i="14" l="1"/>
  <c r="W42" i="14" s="1"/>
  <c r="M47" i="15"/>
  <c r="L47" i="15" s="1"/>
  <c r="K48" i="15" s="1"/>
  <c r="Q47" i="15"/>
  <c r="P48" i="15"/>
  <c r="V42" i="14" l="1"/>
  <c r="U42" i="14" s="1"/>
  <c r="O48" i="15"/>
  <c r="N49" i="15" s="1"/>
  <c r="M48" i="15"/>
  <c r="L48" i="15" s="1"/>
  <c r="K49" i="15" s="1"/>
  <c r="Q48" i="15"/>
  <c r="H43" i="14" l="1"/>
  <c r="M49" i="15"/>
  <c r="L49" i="15" s="1"/>
  <c r="K50" i="15" s="1"/>
  <c r="Q49" i="15"/>
  <c r="P49" i="15"/>
  <c r="T43" i="14" l="1"/>
  <c r="W43" i="14" s="1"/>
  <c r="M50" i="15"/>
  <c r="L50" i="15" s="1"/>
  <c r="K51" i="15" s="1"/>
  <c r="O49" i="15"/>
  <c r="N50" i="15" s="1"/>
  <c r="P50" i="15" s="1"/>
  <c r="V43" i="14" l="1"/>
  <c r="U43" i="14" s="1"/>
  <c r="O50" i="15"/>
  <c r="N51" i="15" s="1"/>
  <c r="Q50" i="15"/>
  <c r="M51" i="15"/>
  <c r="L51" i="15" s="1"/>
  <c r="K52" i="15" s="1"/>
  <c r="Q51" i="15" l="1"/>
  <c r="H44" i="14"/>
  <c r="M52" i="15"/>
  <c r="L52" i="15" s="1"/>
  <c r="K53" i="15" s="1"/>
  <c r="P51" i="15"/>
  <c r="T44" i="14" l="1"/>
  <c r="V44" i="14" s="1"/>
  <c r="M53" i="15"/>
  <c r="L53" i="15" s="1"/>
  <c r="K54" i="15" s="1"/>
  <c r="O51" i="15"/>
  <c r="N52" i="15" s="1"/>
  <c r="P52" i="15" s="1"/>
  <c r="W44" i="14" l="1"/>
  <c r="O52" i="15"/>
  <c r="N53" i="15" s="1"/>
  <c r="M54" i="15"/>
  <c r="L54" i="15" s="1"/>
  <c r="K55" i="15" s="1"/>
  <c r="Q52" i="15"/>
  <c r="U44" i="14"/>
  <c r="M55" i="15" l="1"/>
  <c r="L55" i="15" s="1"/>
  <c r="K56" i="15" s="1"/>
  <c r="H45" i="14"/>
  <c r="Q53" i="15"/>
  <c r="P53" i="15"/>
  <c r="M56" i="15" l="1"/>
  <c r="L56" i="15" s="1"/>
  <c r="K57" i="15" s="1"/>
  <c r="T45" i="14"/>
  <c r="O53" i="15"/>
  <c r="N54" i="15" s="1"/>
  <c r="Q54" i="15" l="1"/>
  <c r="P54" i="15"/>
  <c r="W45" i="14"/>
  <c r="V45" i="14"/>
  <c r="M57" i="15"/>
  <c r="L57" i="15" s="1"/>
  <c r="K58" i="15" s="1"/>
  <c r="M58" i="15" l="1"/>
  <c r="K59" i="15"/>
  <c r="K60" i="15" s="1"/>
  <c r="U45" i="14"/>
  <c r="O54" i="15"/>
  <c r="N55" i="15" s="1"/>
  <c r="Q55" i="15" l="1"/>
  <c r="H46" i="14"/>
  <c r="K61" i="15"/>
  <c r="L58" i="15"/>
  <c r="L59" i="15" s="1"/>
  <c r="P55" i="15"/>
  <c r="I15" i="15" l="1"/>
  <c r="F9" i="15" s="1"/>
  <c r="T46" i="14"/>
  <c r="O55" i="15"/>
  <c r="N56" i="15" s="1"/>
  <c r="P56" i="15" s="1"/>
  <c r="F29" i="13" l="1"/>
  <c r="W46" i="14"/>
  <c r="V46" i="14"/>
  <c r="O56" i="15"/>
  <c r="N57" i="15" s="1"/>
  <c r="Q56" i="15"/>
  <c r="I21" i="13" l="1"/>
  <c r="F30" i="13"/>
  <c r="G30" i="13" s="1"/>
  <c r="G29" i="13"/>
  <c r="N29" i="13" s="1"/>
  <c r="Q57" i="15"/>
  <c r="P57" i="15"/>
  <c r="U46" i="14"/>
  <c r="F31" i="13" l="1"/>
  <c r="G31" i="13" s="1"/>
  <c r="P29" i="13"/>
  <c r="H47" i="14"/>
  <c r="T47" i="14" s="1"/>
  <c r="O57" i="15"/>
  <c r="N58" i="15" s="1"/>
  <c r="P58" i="15" s="1"/>
  <c r="O58" i="15" s="1"/>
  <c r="O59" i="15" s="1"/>
  <c r="F32" i="13" l="1"/>
  <c r="G32" i="13" s="1"/>
  <c r="O29" i="13"/>
  <c r="N30" i="13" s="1"/>
  <c r="W47" i="14"/>
  <c r="V47" i="14"/>
  <c r="Q58" i="15"/>
  <c r="N59" i="15"/>
  <c r="N60" i="15" s="1"/>
  <c r="N61" i="15" s="1"/>
  <c r="N65" i="15" s="1"/>
  <c r="P30" i="13" l="1"/>
  <c r="O30" i="13" s="1"/>
  <c r="N31" i="13" s="1"/>
  <c r="F33" i="13"/>
  <c r="G33" i="13" s="1"/>
  <c r="U47" i="14"/>
  <c r="F34" i="13" l="1"/>
  <c r="G34" i="13" s="1"/>
  <c r="P31" i="13"/>
  <c r="H48" i="14"/>
  <c r="F35" i="13" l="1"/>
  <c r="G35" i="13" s="1"/>
  <c r="O31" i="13"/>
  <c r="N32" i="13" s="1"/>
  <c r="P32" i="13" s="1"/>
  <c r="O32" i="13" s="1"/>
  <c r="T48" i="14"/>
  <c r="F36" i="13" l="1"/>
  <c r="G36" i="13" s="1"/>
  <c r="N33" i="13"/>
  <c r="W48" i="14"/>
  <c r="V48" i="14"/>
  <c r="F37" i="13" l="1"/>
  <c r="G37" i="13" s="1"/>
  <c r="P33" i="13"/>
  <c r="U48" i="14"/>
  <c r="F38" i="13" l="1"/>
  <c r="G38" i="13" s="1"/>
  <c r="O33" i="13"/>
  <c r="N34" i="13" s="1"/>
  <c r="P34" i="13" s="1"/>
  <c r="H49" i="14"/>
  <c r="F39" i="13" l="1"/>
  <c r="G39" i="13" s="1"/>
  <c r="O34" i="13"/>
  <c r="N35" i="13" s="1"/>
  <c r="T49" i="14"/>
  <c r="F40" i="13" l="1"/>
  <c r="F41" i="13" s="1"/>
  <c r="G41" i="13" s="1"/>
  <c r="P35" i="13"/>
  <c r="W49" i="14"/>
  <c r="V49" i="14"/>
  <c r="F42" i="13" l="1"/>
  <c r="F43" i="13" s="1"/>
  <c r="F44" i="13" s="1"/>
  <c r="G44" i="13" s="1"/>
  <c r="G40" i="13"/>
  <c r="O35" i="13"/>
  <c r="N36" i="13" s="1"/>
  <c r="U49" i="14"/>
  <c r="F45" i="13" l="1"/>
  <c r="G45" i="13" s="1"/>
  <c r="G42" i="13"/>
  <c r="G43" i="13"/>
  <c r="P36" i="13"/>
  <c r="H50" i="14"/>
  <c r="F46" i="13" l="1"/>
  <c r="G46" i="13" s="1"/>
  <c r="O36" i="13"/>
  <c r="N37" i="13" s="1"/>
  <c r="P37" i="13" s="1"/>
  <c r="T50" i="14"/>
  <c r="F47" i="13" l="1"/>
  <c r="G47" i="13" s="1"/>
  <c r="O37" i="13"/>
  <c r="N38" i="13" s="1"/>
  <c r="W50" i="14"/>
  <c r="V50" i="14"/>
  <c r="F48" i="13" l="1"/>
  <c r="G48" i="13" s="1"/>
  <c r="P38" i="13"/>
  <c r="U50" i="14"/>
  <c r="F49" i="13" l="1"/>
  <c r="F50" i="13" s="1"/>
  <c r="F51" i="13" s="1"/>
  <c r="G51" i="13" s="1"/>
  <c r="O38" i="13"/>
  <c r="N39" i="13" s="1"/>
  <c r="P39" i="13" s="1"/>
  <c r="O39" i="13" s="1"/>
  <c r="H51" i="14"/>
  <c r="T51" i="14" s="1"/>
  <c r="G49" i="13" l="1"/>
  <c r="G50" i="13"/>
  <c r="F52" i="13"/>
  <c r="G52" i="13" s="1"/>
  <c r="Q29" i="13"/>
  <c r="N40" i="13"/>
  <c r="W51" i="14"/>
  <c r="V51" i="14"/>
  <c r="F53" i="13" l="1"/>
  <c r="K30" i="13" s="1"/>
  <c r="P40" i="13"/>
  <c r="U51" i="14"/>
  <c r="M30" i="13" l="1"/>
  <c r="F54" i="13"/>
  <c r="G54" i="13" s="1"/>
  <c r="G53" i="13"/>
  <c r="O40" i="13"/>
  <c r="N41" i="13" s="1"/>
  <c r="H52" i="14"/>
  <c r="F55" i="13" l="1"/>
  <c r="G55" i="13" s="1"/>
  <c r="Q30" i="13"/>
  <c r="L30" i="13"/>
  <c r="K31" i="13" s="1"/>
  <c r="P41" i="13"/>
  <c r="T52" i="14"/>
  <c r="M31" i="13" l="1"/>
  <c r="L31" i="13" s="1"/>
  <c r="K32" i="13" s="1"/>
  <c r="M32" i="13" s="1"/>
  <c r="F56" i="13"/>
  <c r="G56" i="13" s="1"/>
  <c r="Q31" i="13"/>
  <c r="O41" i="13"/>
  <c r="N42" i="13" s="1"/>
  <c r="W52" i="14"/>
  <c r="V52" i="14"/>
  <c r="P42" i="13" l="1"/>
  <c r="O42" i="13" s="1"/>
  <c r="N43" i="13" s="1"/>
  <c r="F57" i="13"/>
  <c r="G57" i="13" s="1"/>
  <c r="Q32" i="13"/>
  <c r="L32" i="13"/>
  <c r="K33" i="13" s="1"/>
  <c r="U52" i="14"/>
  <c r="M33" i="13" l="1"/>
  <c r="L33" i="13" s="1"/>
  <c r="K34" i="13" s="1"/>
  <c r="M34" i="13" s="1"/>
  <c r="F58" i="13"/>
  <c r="Q33" i="13"/>
  <c r="P43" i="13"/>
  <c r="H53" i="14"/>
  <c r="G58" i="13" l="1"/>
  <c r="F59" i="13"/>
  <c r="L34" i="13"/>
  <c r="K35" i="13" s="1"/>
  <c r="M35" i="13" s="1"/>
  <c r="Q34" i="13"/>
  <c r="O43" i="13"/>
  <c r="T53" i="14"/>
  <c r="N44" i="13" l="1"/>
  <c r="G59" i="13"/>
  <c r="G60" i="13" s="1"/>
  <c r="F60" i="13"/>
  <c r="L35" i="13"/>
  <c r="K36" i="13" s="1"/>
  <c r="Q35" i="13"/>
  <c r="W53" i="14"/>
  <c r="V53" i="14"/>
  <c r="P44" i="13" l="1"/>
  <c r="O44" i="13" s="1"/>
  <c r="M36" i="13"/>
  <c r="L36" i="13" s="1"/>
  <c r="K37" i="13" s="1"/>
  <c r="M37" i="13" s="1"/>
  <c r="L37" i="13" s="1"/>
  <c r="K38" i="13" s="1"/>
  <c r="M38" i="13" s="1"/>
  <c r="I11" i="13"/>
  <c r="F5" i="13" s="1"/>
  <c r="Q36" i="13"/>
  <c r="U53" i="14"/>
  <c r="N45" i="13" l="1"/>
  <c r="Q37" i="13"/>
  <c r="L38" i="13"/>
  <c r="K39" i="13" s="1"/>
  <c r="M39" i="13" s="1"/>
  <c r="Q38" i="13"/>
  <c r="H54" i="14"/>
  <c r="P45" i="13" l="1"/>
  <c r="O45" i="13" s="1"/>
  <c r="L39" i="13"/>
  <c r="K40" i="13" s="1"/>
  <c r="M40" i="13" s="1"/>
  <c r="Q39" i="13"/>
  <c r="T54" i="14"/>
  <c r="N46" i="13" l="1"/>
  <c r="L40" i="13"/>
  <c r="K41" i="13" s="1"/>
  <c r="M41" i="13" s="1"/>
  <c r="Q40" i="13"/>
  <c r="W54" i="14"/>
  <c r="V54" i="14"/>
  <c r="P46" i="13" l="1"/>
  <c r="L41" i="13"/>
  <c r="K42" i="13" s="1"/>
  <c r="M42" i="13" s="1"/>
  <c r="Q41" i="13"/>
  <c r="U54" i="14"/>
  <c r="O46" i="13" l="1"/>
  <c r="L42" i="13"/>
  <c r="K43" i="13" s="1"/>
  <c r="M43" i="13" s="1"/>
  <c r="Q42" i="13"/>
  <c r="H55" i="14"/>
  <c r="N47" i="13" l="1"/>
  <c r="L43" i="13"/>
  <c r="K44" i="13" s="1"/>
  <c r="M44" i="13" s="1"/>
  <c r="Q43" i="13"/>
  <c r="T55" i="14"/>
  <c r="V55" i="14" s="1"/>
  <c r="P47" i="13" l="1"/>
  <c r="O47" i="13" s="1"/>
  <c r="L44" i="13"/>
  <c r="K45" i="13" s="1"/>
  <c r="M45" i="13" s="1"/>
  <c r="Q44" i="13"/>
  <c r="W55" i="14"/>
  <c r="U55" i="14"/>
  <c r="N48" i="13" l="1"/>
  <c r="L45" i="13"/>
  <c r="K46" i="13" s="1"/>
  <c r="Q45" i="13"/>
  <c r="H56" i="14"/>
  <c r="P48" i="13" l="1"/>
  <c r="M46" i="13"/>
  <c r="L46" i="13" s="1"/>
  <c r="K47" i="13" s="1"/>
  <c r="M47" i="13" s="1"/>
  <c r="Q46" i="13"/>
  <c r="T56" i="14"/>
  <c r="W56" i="14" s="1"/>
  <c r="O48" i="13" l="1"/>
  <c r="N49" i="13" s="1"/>
  <c r="P49" i="13" s="1"/>
  <c r="O49" i="13" s="1"/>
  <c r="N50" i="13" s="1"/>
  <c r="P50" i="13" s="1"/>
  <c r="L47" i="13"/>
  <c r="K48" i="13" s="1"/>
  <c r="M48" i="13" s="1"/>
  <c r="Q47" i="13"/>
  <c r="V56" i="14"/>
  <c r="U56" i="14" s="1"/>
  <c r="O50" i="13" l="1"/>
  <c r="N51" i="13" s="1"/>
  <c r="P51" i="13" s="1"/>
  <c r="O51" i="13" s="1"/>
  <c r="N52" i="13" s="1"/>
  <c r="P52" i="13" s="1"/>
  <c r="O52" i="13" s="1"/>
  <c r="N53" i="13" s="1"/>
  <c r="L48" i="13"/>
  <c r="K49" i="13" s="1"/>
  <c r="M49" i="13" s="1"/>
  <c r="Q48" i="13"/>
  <c r="H57" i="14"/>
  <c r="P53" i="13" l="1"/>
  <c r="L49" i="13"/>
  <c r="K50" i="13" s="1"/>
  <c r="M50" i="13" s="1"/>
  <c r="Q49" i="13"/>
  <c r="T57" i="14"/>
  <c r="W57" i="14" s="1"/>
  <c r="L50" i="13" l="1"/>
  <c r="K51" i="13" s="1"/>
  <c r="M51" i="13" s="1"/>
  <c r="Q50" i="13"/>
  <c r="O53" i="13"/>
  <c r="N54" i="13" s="1"/>
  <c r="P54" i="13" s="1"/>
  <c r="V57" i="14"/>
  <c r="U57" i="14" s="1"/>
  <c r="O54" i="13" l="1"/>
  <c r="N55" i="13" s="1"/>
  <c r="L51" i="13"/>
  <c r="K52" i="13" s="1"/>
  <c r="Q51" i="13"/>
  <c r="H58" i="14"/>
  <c r="N66" i="13" l="1"/>
  <c r="N67" i="13" s="1"/>
  <c r="N68" i="13" s="1"/>
  <c r="M52" i="13"/>
  <c r="L52" i="13" s="1"/>
  <c r="K53" i="13" s="1"/>
  <c r="M53" i="13" s="1"/>
  <c r="Q52" i="13"/>
  <c r="P55" i="13"/>
  <c r="H59" i="14"/>
  <c r="I12" i="14" s="1"/>
  <c r="T58" i="14"/>
  <c r="O55" i="13" l="1"/>
  <c r="L53" i="13"/>
  <c r="K54" i="13" s="1"/>
  <c r="M54" i="13" s="1"/>
  <c r="Q53" i="13"/>
  <c r="W58" i="14"/>
  <c r="T59" i="14"/>
  <c r="T60" i="14" s="1"/>
  <c r="T61" i="14" s="1"/>
  <c r="I16" i="14" s="1"/>
  <c r="V58" i="14"/>
  <c r="U58" i="14" s="1"/>
  <c r="U59" i="14" s="1"/>
  <c r="N56" i="13" l="1"/>
  <c r="P56" i="13" s="1"/>
  <c r="O56" i="13" s="1"/>
  <c r="O67" i="13"/>
  <c r="O69" i="13" s="1"/>
  <c r="L54" i="13"/>
  <c r="K55" i="13" s="1"/>
  <c r="K66" i="13" s="1"/>
  <c r="Q54" i="13"/>
  <c r="F16" i="14"/>
  <c r="M55" i="13" l="1"/>
  <c r="K67" i="13"/>
  <c r="K68" i="13" s="1"/>
  <c r="M70" i="13" s="1"/>
  <c r="N57" i="13"/>
  <c r="P57" i="13" s="1"/>
  <c r="Q55" i="13"/>
  <c r="L55" i="13" l="1"/>
  <c r="K56" i="13" s="1"/>
  <c r="M56" i="13" s="1"/>
  <c r="M75" i="13"/>
  <c r="O57" i="13"/>
  <c r="Q56" i="13" l="1"/>
  <c r="N58" i="13"/>
  <c r="P58" i="13" s="1"/>
  <c r="O58" i="13" s="1"/>
  <c r="N59" i="13" s="1"/>
  <c r="P59" i="13" s="1"/>
  <c r="O59" i="13" s="1"/>
  <c r="O60" i="13" s="1"/>
  <c r="L56" i="13"/>
  <c r="K57" i="13" s="1"/>
  <c r="M57" i="13" s="1"/>
  <c r="P66" i="13" l="1"/>
  <c r="N60" i="13"/>
  <c r="N61" i="13" s="1"/>
  <c r="N62" i="13" s="1"/>
  <c r="L57" i="13"/>
  <c r="K58" i="13" s="1"/>
  <c r="M58" i="13" s="1"/>
  <c r="Q57" i="13"/>
  <c r="P65" i="13" l="1"/>
  <c r="L58" i="13"/>
  <c r="K59" i="13" s="1"/>
  <c r="M59" i="13" s="1"/>
  <c r="Q58" i="13"/>
  <c r="K60" i="13" l="1"/>
  <c r="K61" i="13" s="1"/>
  <c r="Q59" i="13"/>
  <c r="K62" i="13" l="1"/>
  <c r="M65" i="13" s="1"/>
  <c r="M72" i="13" s="1"/>
  <c r="L59" i="13"/>
  <c r="L60" i="13" l="1"/>
  <c r="S70" i="13" s="1"/>
  <c r="N74" i="13"/>
  <c r="I19" i="14"/>
  <c r="F9" i="13" l="1"/>
  <c r="F11" i="13" s="1"/>
  <c r="F4" i="14" s="1"/>
  <c r="I21" i="14"/>
  <c r="F29" i="14"/>
  <c r="F11" i="15"/>
  <c r="F14" i="15" s="1"/>
  <c r="F14" i="13" l="1"/>
  <c r="F30" i="14"/>
  <c r="F31" i="14" s="1"/>
  <c r="G29" i="14"/>
  <c r="N29" i="14" l="1"/>
  <c r="G30" i="14"/>
  <c r="F32" i="14"/>
  <c r="G31" i="14"/>
  <c r="G32" i="14" l="1"/>
  <c r="F33" i="14"/>
  <c r="G33" i="14" s="1"/>
  <c r="P29" i="14"/>
  <c r="O29" i="14" l="1"/>
  <c r="N30" i="14" s="1"/>
  <c r="P30" i="14" s="1"/>
  <c r="F34" i="14"/>
  <c r="O30" i="14" l="1"/>
  <c r="N31" i="14" s="1"/>
  <c r="G34" i="14"/>
  <c r="F35" i="14"/>
  <c r="G35" i="14" s="1"/>
  <c r="F36" i="14" l="1"/>
  <c r="G36" i="14" s="1"/>
  <c r="P31" i="14"/>
  <c r="F37" i="14" l="1"/>
  <c r="G37" i="14" s="1"/>
  <c r="O31" i="14"/>
  <c r="N32" i="14" s="1"/>
  <c r="P32" i="14" s="1"/>
  <c r="F38" i="14" l="1"/>
  <c r="G38" i="14" s="1"/>
  <c r="O32" i="14"/>
  <c r="N33" i="14" s="1"/>
  <c r="F39" i="14" l="1"/>
  <c r="G39" i="14" s="1"/>
  <c r="P33" i="14"/>
  <c r="F40" i="14" l="1"/>
  <c r="G40" i="14" s="1"/>
  <c r="O33" i="14"/>
  <c r="N34" i="14" s="1"/>
  <c r="P34" i="14" s="1"/>
  <c r="O34" i="14" s="1"/>
  <c r="N35" i="14" s="1"/>
  <c r="F41" i="14" l="1"/>
  <c r="G41" i="14" s="1"/>
  <c r="P35" i="14"/>
  <c r="F42" i="14" l="1"/>
  <c r="G42" i="14" s="1"/>
  <c r="O35" i="14"/>
  <c r="N36" i="14" s="1"/>
  <c r="P36" i="14" s="1"/>
  <c r="F43" i="14" l="1"/>
  <c r="G43" i="14" s="1"/>
  <c r="O36" i="14"/>
  <c r="N37" i="14" s="1"/>
  <c r="F44" i="14" l="1"/>
  <c r="G44" i="14" s="1"/>
  <c r="P37" i="14"/>
  <c r="F45" i="14" l="1"/>
  <c r="G45" i="14" s="1"/>
  <c r="O37" i="14"/>
  <c r="N38" i="14" s="1"/>
  <c r="P38" i="14" s="1"/>
  <c r="F46" i="14" l="1"/>
  <c r="F47" i="14" s="1"/>
  <c r="O38" i="14"/>
  <c r="N39" i="14" s="1"/>
  <c r="G46" i="14" l="1"/>
  <c r="P39" i="14"/>
  <c r="G47" i="14"/>
  <c r="F48" i="14"/>
  <c r="G48" i="14" l="1"/>
  <c r="F49" i="14"/>
  <c r="O39" i="14"/>
  <c r="N40" i="14" s="1"/>
  <c r="P40" i="14" s="1"/>
  <c r="O40" i="14" l="1"/>
  <c r="N41" i="14" s="1"/>
  <c r="G49" i="14"/>
  <c r="F50" i="14"/>
  <c r="P41" i="14" l="1"/>
  <c r="G50" i="14"/>
  <c r="F51" i="14"/>
  <c r="G51" i="14" l="1"/>
  <c r="F52" i="14"/>
  <c r="O41" i="14"/>
  <c r="N42" i="14" s="1"/>
  <c r="P42" i="14" s="1"/>
  <c r="O42" i="14" l="1"/>
  <c r="N43" i="14" s="1"/>
  <c r="G52" i="14"/>
  <c r="F53" i="14"/>
  <c r="P43" i="14" l="1"/>
  <c r="G53" i="14"/>
  <c r="K29" i="14"/>
  <c r="F54" i="14"/>
  <c r="Q29" i="14" l="1"/>
  <c r="M29" i="14"/>
  <c r="L29" i="14" s="1"/>
  <c r="K30" i="14" s="1"/>
  <c r="G54" i="14"/>
  <c r="F55" i="14"/>
  <c r="O43" i="14"/>
  <c r="N44" i="14" s="1"/>
  <c r="P44" i="14" s="1"/>
  <c r="M30" i="14" l="1"/>
  <c r="L30" i="14" s="1"/>
  <c r="K31" i="14" s="1"/>
  <c r="Q30" i="14"/>
  <c r="O44" i="14"/>
  <c r="N45" i="14" s="1"/>
  <c r="G55" i="14"/>
  <c r="F56" i="14"/>
  <c r="G56" i="14" l="1"/>
  <c r="F57" i="14"/>
  <c r="M31" i="14"/>
  <c r="L31" i="14" s="1"/>
  <c r="K32" i="14" s="1"/>
  <c r="Q31" i="14"/>
  <c r="P45" i="14"/>
  <c r="G57" i="14" l="1"/>
  <c r="F58" i="14"/>
  <c r="O45" i="14"/>
  <c r="N46" i="14" s="1"/>
  <c r="P46" i="14" s="1"/>
  <c r="M32" i="14"/>
  <c r="L32" i="14" s="1"/>
  <c r="K33" i="14" s="1"/>
  <c r="Q32" i="14"/>
  <c r="G58" i="14" l="1"/>
  <c r="G59" i="14" s="1"/>
  <c r="F59" i="14"/>
  <c r="M33" i="14"/>
  <c r="L33" i="14" s="1"/>
  <c r="K34" i="14" s="1"/>
  <c r="Q33" i="14"/>
  <c r="O46" i="14"/>
  <c r="N47" i="14" s="1"/>
  <c r="P47" i="14" l="1"/>
  <c r="I11" i="14"/>
  <c r="F5" i="14" s="1"/>
  <c r="M34" i="14"/>
  <c r="L34" i="14" s="1"/>
  <c r="K35" i="14" s="1"/>
  <c r="Q34" i="14"/>
  <c r="M35" i="14" l="1"/>
  <c r="L35" i="14" s="1"/>
  <c r="K36" i="14" s="1"/>
  <c r="Q35" i="14"/>
  <c r="O47" i="14"/>
  <c r="N48" i="14" s="1"/>
  <c r="P48" i="14" s="1"/>
  <c r="M36" i="14" l="1"/>
  <c r="L36" i="14" s="1"/>
  <c r="K37" i="14" s="1"/>
  <c r="Q36" i="14"/>
  <c r="O48" i="14"/>
  <c r="N49" i="14" s="1"/>
  <c r="P49" i="14" s="1"/>
  <c r="O49" i="14" l="1"/>
  <c r="N50" i="14" s="1"/>
  <c r="M37" i="14"/>
  <c r="L37" i="14" s="1"/>
  <c r="K38" i="14" s="1"/>
  <c r="Q37" i="14"/>
  <c r="P50" i="14" l="1"/>
  <c r="M38" i="14"/>
  <c r="L38" i="14" s="1"/>
  <c r="K39" i="14" s="1"/>
  <c r="Q38" i="14"/>
  <c r="M39" i="14" l="1"/>
  <c r="L39" i="14" s="1"/>
  <c r="K40" i="14" s="1"/>
  <c r="Q39" i="14"/>
  <c r="O50" i="14"/>
  <c r="N51" i="14" s="1"/>
  <c r="P51" i="14" s="1"/>
  <c r="O51" i="14" l="1"/>
  <c r="N52" i="14" s="1"/>
  <c r="Q40" i="14"/>
  <c r="M40" i="14"/>
  <c r="L40" i="14" s="1"/>
  <c r="K41" i="14" s="1"/>
  <c r="P52" i="14" l="1"/>
  <c r="M41" i="14"/>
  <c r="L41" i="14" s="1"/>
  <c r="K42" i="14" s="1"/>
  <c r="Q41" i="14"/>
  <c r="M42" i="14" l="1"/>
  <c r="L42" i="14" s="1"/>
  <c r="K43" i="14" s="1"/>
  <c r="Q42" i="14"/>
  <c r="O52" i="14"/>
  <c r="N53" i="14" s="1"/>
  <c r="P53" i="14" s="1"/>
  <c r="M43" i="14" l="1"/>
  <c r="L43" i="14" s="1"/>
  <c r="K44" i="14" s="1"/>
  <c r="Q43" i="14"/>
  <c r="O53" i="14"/>
  <c r="N54" i="14" s="1"/>
  <c r="M44" i="14" l="1"/>
  <c r="L44" i="14" s="1"/>
  <c r="K45" i="14" s="1"/>
  <c r="Q44" i="14"/>
  <c r="P54" i="14"/>
  <c r="M45" i="14" l="1"/>
  <c r="L45" i="14" s="1"/>
  <c r="K46" i="14" s="1"/>
  <c r="Q45" i="14"/>
  <c r="O54" i="14"/>
  <c r="N55" i="14" s="1"/>
  <c r="P55" i="14" s="1"/>
  <c r="O55" i="14" l="1"/>
  <c r="N56" i="14" s="1"/>
  <c r="M46" i="14"/>
  <c r="L46" i="14" s="1"/>
  <c r="K47" i="14" s="1"/>
  <c r="Q46" i="14"/>
  <c r="P56" i="14" l="1"/>
  <c r="M47" i="14"/>
  <c r="L47" i="14" s="1"/>
  <c r="K48" i="14" s="1"/>
  <c r="Q47" i="14"/>
  <c r="M48" i="14" l="1"/>
  <c r="L48" i="14" s="1"/>
  <c r="K49" i="14" s="1"/>
  <c r="Q48" i="14"/>
  <c r="O56" i="14"/>
  <c r="N57" i="14" s="1"/>
  <c r="P57" i="14" s="1"/>
  <c r="M49" i="14" l="1"/>
  <c r="L49" i="14" s="1"/>
  <c r="K50" i="14" s="1"/>
  <c r="Q49" i="14"/>
  <c r="O57" i="14"/>
  <c r="N58" i="14" s="1"/>
  <c r="N61" i="14" l="1"/>
  <c r="N59" i="14"/>
  <c r="N60" i="14" s="1"/>
  <c r="P58" i="14"/>
  <c r="O58" i="14" s="1"/>
  <c r="O59" i="14" s="1"/>
  <c r="M50" i="14"/>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<sst xmlns="http://schemas.openxmlformats.org/spreadsheetml/2006/main" count="488" uniqueCount="76">
  <si>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</si>
  <si>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</si>
  <si>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</si>
  <si>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</si>
  <si>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</si>
  <si>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</si>
  <si>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</si>
  <si>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</si>
  <si>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</si>
  <si>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</si>
  <si>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</si>
  <si>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</si>
  <si>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</si>
  <si>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</si>
  <si>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</si>
  <si>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</si>
  <si>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</si>
  <si>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</si>
  <si>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</si>
  <si>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</si>
  <si>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</si>
  <si>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</si>
  <si>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</si>
  <si>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</si>
  <si>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</si>
  <si>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</si>
  <si>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</si>
  <si>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</si>
  <si>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</si>
  <si>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</si>
  <si>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</si>
  <si>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</si>
  <si>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</si>
  <si>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</si>
  <si>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</si>
  <si>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</si>
  <si>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</si>
  <si>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</si>
  <si>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</si>
  <si>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</si>
  <si>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</si>
  <si>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</si>
  <si>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</si>
  <si>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</si>
  <si>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</si>
  <si>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</si>
  <si>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</si>
  <si>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</si>
  <si>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</si>
  <si>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</si>
  <si>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</si>
  <si>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</si>
  <si>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</si>
  <si>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</si>
  <si>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</si>
  <si>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</si>
  <si>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</si>
  <si>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</si>
  <si>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</si>
  <si>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</si>
  <si>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</si>
  <si>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</si>
  <si>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</si>
  <si>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</si>
  <si>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</si>
  <si>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</si>
  <si>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</si>
  <si>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</si>
  <si>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</si>
  <si>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</si>
  <si>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</si>
  <si>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</si>
  <si>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</si>
  <si>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</si>
  <si>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 xml:space="preserve">Interest calculated as per excel </t>
  </si>
  <si>
    <t xml:space="preserve">Interest posted as per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</si>
</sst>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9"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
      <sz val="11"/>
      <color rgb="FFFF0000"/>
      <name val="Calibri"/>
      <family val="2"/>
      <scheme val="minor"/>
    </font>
    <font>
      <b/>
      <sz val="11"/>
      <color rgb="FFFF0000"/>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18" xfId="0" applyNumberFormat="1" applyFill="1" applyBorder="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8" xfId="0" applyNumberFormat="1" applyFill="1" applyBorder="1"/>
    <xf numFmtId="164" fontId="0" fillId="16" borderId="10" xfId="0" applyNumberFormat="1" applyFill="1" applyBorder="1"/>
    <xf numFmtId="0" fontId="0" fillId="16" borderId="0" xfId="0" applyFill="1"/>
    <xf numFmtId="164" fontId="8" fillId="9" borderId="1" xfId="0" applyNumberFormat="1" applyFont="1" applyFill="1" applyBorder="1"/>
    <xf numFmtId="164" fontId="7" fillId="9" borderId="0" xfId="0" applyNumberFormat="1" applyFont="1" applyFill="1"/>
    <xf numFmtId="0" fontId="7" fillId="9" borderId="0" xfId="0" applyFont="1" applyFill="1"/>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16" t="s">
        <v>50</v>
      </c>
      <c r="F2" s="117"/>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103" t="s">
        <v>40</v>
      </c>
      <c r="I6" s="104"/>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103" t="s">
        <v>41</v>
      </c>
      <c r="I10" s="104"/>
    </row>
    <row r="11" spans="2:12" x14ac:dyDescent="0.35">
      <c r="B11" s="30" t="s">
        <v>13</v>
      </c>
      <c r="C11" s="39">
        <v>44926</v>
      </c>
      <c r="E11" s="55" t="s">
        <v>30</v>
      </c>
      <c r="F11" s="56">
        <f>F4+F6+F7+F8+F9-F5</f>
        <v>0</v>
      </c>
      <c r="G11" s="61"/>
      <c r="H11" s="7" t="s">
        <v>42</v>
      </c>
      <c r="I11" s="8">
        <f>SUM(F60:G60)</f>
        <v>0</v>
      </c>
      <c r="J11" s="114" t="s">
        <v>73</v>
      </c>
    </row>
    <row r="12" spans="2:12" ht="15" thickBot="1" x14ac:dyDescent="0.4">
      <c r="B12" s="30" t="s">
        <v>14</v>
      </c>
      <c r="C12" s="40">
        <v>31</v>
      </c>
      <c r="E12" s="4"/>
      <c r="F12" s="6"/>
      <c r="H12" s="49" t="s">
        <v>43</v>
      </c>
      <c r="I12" s="50">
        <f>H60</f>
        <v>0</v>
      </c>
      <c r="J12" s="115"/>
    </row>
    <row r="13" spans="2:12" ht="15" thickBot="1" x14ac:dyDescent="0.4">
      <c r="B13" s="31" t="s">
        <v>15</v>
      </c>
      <c r="C13" s="41">
        <v>44951</v>
      </c>
      <c r="E13" s="53" t="s">
        <v>31</v>
      </c>
      <c r="F13" s="54">
        <v>5000</v>
      </c>
    </row>
    <row r="14" spans="2:12" x14ac:dyDescent="0.35">
      <c r="E14" s="51" t="s">
        <v>32</v>
      </c>
      <c r="F14" s="52">
        <f>F13-F11</f>
        <v>5000</v>
      </c>
      <c r="H14" s="103" t="s">
        <v>44</v>
      </c>
      <c r="I14" s="104"/>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103" t="s">
        <v>51</v>
      </c>
      <c r="I18" s="104"/>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103" t="s">
        <v>17</v>
      </c>
      <c r="C21" s="104"/>
      <c r="E21" s="103" t="s">
        <v>22</v>
      </c>
      <c r="F21" s="104"/>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5" t="s">
        <v>10</v>
      </c>
      <c r="E27" s="106"/>
      <c r="F27" s="106"/>
      <c r="G27" s="106"/>
      <c r="H27" s="107"/>
      <c r="I27" s="111" t="s">
        <v>47</v>
      </c>
      <c r="J27" s="112"/>
      <c r="K27" s="112"/>
      <c r="L27" s="112"/>
      <c r="M27" s="112"/>
      <c r="N27" s="112"/>
      <c r="O27" s="112"/>
      <c r="P27" s="112"/>
      <c r="Q27" s="113"/>
      <c r="R27" s="108" t="s">
        <v>48</v>
      </c>
      <c r="S27" s="109"/>
      <c r="T27" s="109"/>
      <c r="U27" s="109"/>
      <c r="V27" s="109"/>
      <c r="W27" s="110"/>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J11:J12"/>
    <mergeCell ref="E2:F2"/>
    <mergeCell ref="H6:I6"/>
    <mergeCell ref="H10:I10"/>
    <mergeCell ref="H14:I14"/>
    <mergeCell ref="H18:I18"/>
    <mergeCell ref="D27:H27"/>
    <mergeCell ref="R27:W27"/>
    <mergeCell ref="B21:C21"/>
    <mergeCell ref="E21:F21"/>
    <mergeCell ref="I27:Q2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16" t="s">
        <v>50</v>
      </c>
      <c r="F2" s="117"/>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103" t="s">
        <v>40</v>
      </c>
      <c r="I6" s="104"/>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5" t="s">
        <v>41</v>
      </c>
      <c r="I10" s="126"/>
      <c r="J10" s="127"/>
    </row>
    <row r="11" spans="2:13" ht="14.5" customHeight="1" x14ac:dyDescent="0.35">
      <c r="B11" s="30" t="s">
        <v>13</v>
      </c>
      <c r="C11" s="39">
        <f>C10+C12-1</f>
        <v>44957</v>
      </c>
      <c r="E11" s="55" t="s">
        <v>30</v>
      </c>
      <c r="F11" s="56">
        <f>F4+F6+F7+F8+F9-F5</f>
        <v>0</v>
      </c>
      <c r="H11" s="72" t="s">
        <v>42</v>
      </c>
      <c r="I11" s="73">
        <f>SUM(F57:G57)</f>
        <v>0</v>
      </c>
      <c r="J11" s="114" t="s">
        <v>73</v>
      </c>
      <c r="K11" s="124"/>
    </row>
    <row r="12" spans="2:13" ht="15" thickBot="1" x14ac:dyDescent="0.4">
      <c r="B12" s="30" t="s">
        <v>14</v>
      </c>
      <c r="C12" s="40">
        <v>31</v>
      </c>
      <c r="E12" s="4"/>
      <c r="F12" s="6"/>
      <c r="H12" s="49" t="s">
        <v>43</v>
      </c>
      <c r="I12" s="50">
        <f>H57</f>
        <v>0</v>
      </c>
      <c r="J12" s="115"/>
      <c r="K12" s="124"/>
    </row>
    <row r="13" spans="2:13" ht="15" thickBot="1" x14ac:dyDescent="0.4">
      <c r="B13" s="31" t="s">
        <v>15</v>
      </c>
      <c r="C13" s="41">
        <f>C11+C3</f>
        <v>44982</v>
      </c>
      <c r="E13" s="53" t="s">
        <v>31</v>
      </c>
      <c r="F13" s="91">
        <v>2895.94</v>
      </c>
    </row>
    <row r="14" spans="2:13" x14ac:dyDescent="0.35">
      <c r="E14" s="51" t="s">
        <v>32</v>
      </c>
      <c r="F14" s="52">
        <f>F13-F11</f>
        <v>2895.94</v>
      </c>
      <c r="H14" s="103" t="s">
        <v>44</v>
      </c>
      <c r="I14" s="104"/>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103" t="s">
        <v>51</v>
      </c>
      <c r="I18" s="104"/>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22" t="s">
        <v>49</v>
      </c>
      <c r="C57" s="123"/>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E46" zoomScale="66" zoomScaleNormal="66" workbookViewId="0">
      <selection activeCell="J44" sqref="J4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1000</v>
      </c>
      <c r="H6" s="103" t="s">
        <v>40</v>
      </c>
      <c r="I6" s="104"/>
    </row>
    <row r="7" spans="2:12" ht="29" x14ac:dyDescent="0.35">
      <c r="B7" s="30" t="s">
        <v>6</v>
      </c>
      <c r="C7" s="40">
        <v>31</v>
      </c>
      <c r="E7" s="34" t="s">
        <v>27</v>
      </c>
      <c r="F7" s="35">
        <f>R60</f>
        <v>0</v>
      </c>
      <c r="H7" s="7" t="s">
        <v>37</v>
      </c>
      <c r="I7" s="8">
        <f>J60</f>
        <v>44</v>
      </c>
      <c r="L7" s="61"/>
    </row>
    <row r="8" spans="2:12" ht="29.5" thickBot="1" x14ac:dyDescent="0.4">
      <c r="B8" s="31" t="s">
        <v>7</v>
      </c>
      <c r="C8" s="41">
        <f>C6+C3</f>
        <v>44982</v>
      </c>
      <c r="E8" s="34" t="s">
        <v>28</v>
      </c>
      <c r="F8" s="35">
        <f>SUM(I7:I8)</f>
        <v>44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25" t="s">
        <v>41</v>
      </c>
      <c r="I10" s="126"/>
      <c r="J10" s="127"/>
    </row>
    <row r="11" spans="2:12" ht="14.5" customHeight="1" x14ac:dyDescent="0.35">
      <c r="B11" s="30" t="s">
        <v>13</v>
      </c>
      <c r="C11" s="39">
        <f>C10+C12-1</f>
        <v>44985</v>
      </c>
      <c r="E11" s="55" t="s">
        <v>30</v>
      </c>
      <c r="F11" s="56">
        <f>F4+F6+F7+F8+F9-F5</f>
        <v>1044</v>
      </c>
      <c r="H11" s="72" t="s">
        <v>42</v>
      </c>
      <c r="I11" s="73">
        <f>SUM(F60:G60)</f>
        <v>0</v>
      </c>
      <c r="J11" s="114" t="s">
        <v>73</v>
      </c>
      <c r="K11" s="124"/>
    </row>
    <row r="12" spans="2:12" ht="15" thickBot="1" x14ac:dyDescent="0.4">
      <c r="B12" s="30" t="s">
        <v>14</v>
      </c>
      <c r="C12" s="40">
        <v>28</v>
      </c>
      <c r="E12" s="4"/>
      <c r="F12" s="6"/>
      <c r="H12" s="49" t="s">
        <v>43</v>
      </c>
      <c r="I12" s="50">
        <f>H60</f>
        <v>0</v>
      </c>
      <c r="J12" s="115"/>
      <c r="K12" s="124"/>
    </row>
    <row r="13" spans="2:12" ht="15" thickBot="1" x14ac:dyDescent="0.4">
      <c r="B13" s="31" t="s">
        <v>15</v>
      </c>
      <c r="C13" s="41">
        <v>45010</v>
      </c>
      <c r="E13" s="53" t="s">
        <v>31</v>
      </c>
      <c r="F13" s="54">
        <v>0</v>
      </c>
    </row>
    <row r="14" spans="2:12" x14ac:dyDescent="0.35">
      <c r="E14" s="51" t="s">
        <v>32</v>
      </c>
      <c r="F14" s="52">
        <f>F13-F11</f>
        <v>-1044</v>
      </c>
      <c r="H14" s="103" t="s">
        <v>44</v>
      </c>
      <c r="I14" s="104"/>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103" t="s">
        <v>51</v>
      </c>
      <c r="I18" s="104"/>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IF(SUM($F$29:$F$53)&gt;=$I$19,0,$I$19+'Feb Statement'!N59-$F$29)</f>
        <v>0</v>
      </c>
      <c r="L29" s="12">
        <f>M29</f>
        <v>0</v>
      </c>
      <c r="M29" s="12">
        <f>K29*$F$22</f>
        <v>0</v>
      </c>
      <c r="N29" s="12">
        <f>I29+J29-G29</f>
        <v>40</v>
      </c>
      <c r="O29" s="12">
        <f>P29</f>
        <v>2.4646575342465754E-2</v>
      </c>
      <c r="P29" s="12">
        <f>N29*$F$22</f>
        <v>2.4646575342465754E-2</v>
      </c>
      <c r="Q29" s="12">
        <f>K29+N29</f>
        <v>40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40.020000000000003</v>
      </c>
      <c r="O30" s="13">
        <f>P30-P29</f>
        <v>2.5353424657534249E-2</v>
      </c>
      <c r="P30" s="13">
        <f>ROUND(P29+N30*$F$22,2)</f>
        <v>0.05</v>
      </c>
      <c r="Q30" s="13">
        <f>ROUND(N30+K30-M29-P29,2)</f>
        <v>40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40.049999999999997</v>
      </c>
      <c r="O31" s="13">
        <f t="shared" ref="O31:O59" si="9">P31-P30</f>
        <v>2.0000000000000004E-2</v>
      </c>
      <c r="P31" s="13">
        <f t="shared" ref="P31:P58" si="10">ROUND(P30+N31*$F$22,2)</f>
        <v>7.0000000000000007E-2</v>
      </c>
      <c r="Q31" s="13">
        <f t="shared" ref="Q31:Q59" si="11">ROUND(N31+K31-M30-P30,2)</f>
        <v>40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40.19</v>
      </c>
      <c r="O38" s="13">
        <f t="shared" si="9"/>
        <v>1.999999999999999E-2</v>
      </c>
      <c r="P38" s="13">
        <f t="shared" si="10"/>
        <v>0.21</v>
      </c>
      <c r="Q38" s="13">
        <f t="shared" si="11"/>
        <v>40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40.21</v>
      </c>
      <c r="O39" s="13">
        <f>P39-P38</f>
        <v>2.0000000000000018E-2</v>
      </c>
      <c r="P39" s="13">
        <f t="shared" si="10"/>
        <v>0.23</v>
      </c>
      <c r="Q39" s="13">
        <f t="shared" si="11"/>
        <v>40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40.229999999999997</v>
      </c>
      <c r="O40" s="13">
        <f t="shared" si="9"/>
        <v>1.999999999999999E-2</v>
      </c>
      <c r="P40" s="13">
        <f t="shared" si="10"/>
        <v>0.25</v>
      </c>
      <c r="Q40" s="13">
        <f t="shared" si="11"/>
        <v>40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40.25</v>
      </c>
      <c r="O41" s="13">
        <f t="shared" si="9"/>
        <v>2.0000000000000018E-2</v>
      </c>
      <c r="P41" s="13">
        <f t="shared" si="10"/>
        <v>0.27</v>
      </c>
      <c r="Q41" s="13">
        <f t="shared" si="11"/>
        <v>40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40.270000000000003</v>
      </c>
      <c r="O42" s="13">
        <f t="shared" si="9"/>
        <v>1.9999999999999962E-2</v>
      </c>
      <c r="P42" s="13">
        <f t="shared" si="10"/>
        <v>0.28999999999999998</v>
      </c>
      <c r="Q42" s="13">
        <f t="shared" si="11"/>
        <v>40</v>
      </c>
      <c r="R42" s="17"/>
      <c r="S42" s="17"/>
      <c r="T42" s="17">
        <f>T41+U41+R42+S42-H42</f>
        <v>0</v>
      </c>
      <c r="U42" s="17">
        <f>V42-V41</f>
        <v>0</v>
      </c>
      <c r="V42" s="18">
        <f t="shared" si="12"/>
        <v>0</v>
      </c>
      <c r="W42" s="16">
        <f t="shared" si="13"/>
        <v>0</v>
      </c>
    </row>
    <row r="43" spans="2:23" s="90" customFormat="1" x14ac:dyDescent="0.35">
      <c r="B43" s="84">
        <f t="shared" si="0"/>
        <v>44999</v>
      </c>
      <c r="C43" s="85">
        <f t="shared" si="1"/>
        <v>45000</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v>1000</v>
      </c>
      <c r="J43" s="87">
        <v>4</v>
      </c>
      <c r="K43" s="87">
        <f t="shared" si="6"/>
        <v>0</v>
      </c>
      <c r="L43" s="87">
        <f t="shared" si="7"/>
        <v>0</v>
      </c>
      <c r="M43" s="87">
        <f t="shared" si="8"/>
        <v>0</v>
      </c>
      <c r="N43" s="87">
        <f t="shared" si="3"/>
        <v>1044.29</v>
      </c>
      <c r="O43" s="87">
        <f t="shared" si="9"/>
        <v>0.64000000000000012</v>
      </c>
      <c r="P43" s="87">
        <f t="shared" si="10"/>
        <v>0.93</v>
      </c>
      <c r="Q43" s="87">
        <f t="shared" si="11"/>
        <v>1044</v>
      </c>
      <c r="R43" s="87"/>
      <c r="S43" s="87"/>
      <c r="T43" s="87">
        <f>T42+U42+R43+S43-H43</f>
        <v>0</v>
      </c>
      <c r="U43" s="87">
        <f t="shared" si="4"/>
        <v>0</v>
      </c>
      <c r="V43" s="88">
        <f t="shared" si="12"/>
        <v>0</v>
      </c>
      <c r="W43" s="89">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1044.93</v>
      </c>
      <c r="O44" s="13">
        <f t="shared" si="9"/>
        <v>0.64</v>
      </c>
      <c r="P44" s="13">
        <f t="shared" si="10"/>
        <v>1.57</v>
      </c>
      <c r="Q44" s="13">
        <f t="shared" si="11"/>
        <v>1044</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1045.57</v>
      </c>
      <c r="O45" s="13">
        <f t="shared" si="9"/>
        <v>0.6399999999999999</v>
      </c>
      <c r="P45" s="13">
        <f t="shared" si="10"/>
        <v>2.21</v>
      </c>
      <c r="Q45" s="13">
        <f t="shared" si="11"/>
        <v>1044</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1046.21</v>
      </c>
      <c r="O46" s="13">
        <f t="shared" si="9"/>
        <v>0.64000000000000012</v>
      </c>
      <c r="P46" s="13">
        <f t="shared" si="10"/>
        <v>2.85</v>
      </c>
      <c r="Q46" s="13">
        <f t="shared" si="11"/>
        <v>1044</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1046.8499999999999</v>
      </c>
      <c r="O47" s="13">
        <f t="shared" si="9"/>
        <v>0.64999999999999991</v>
      </c>
      <c r="P47" s="13">
        <f t="shared" si="10"/>
        <v>3.5</v>
      </c>
      <c r="Q47" s="13">
        <f t="shared" si="11"/>
        <v>1044</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1047.5</v>
      </c>
      <c r="O48" s="13">
        <f t="shared" si="9"/>
        <v>0.65000000000000036</v>
      </c>
      <c r="P48" s="13">
        <f t="shared" si="10"/>
        <v>4.1500000000000004</v>
      </c>
      <c r="Q48" s="13">
        <f t="shared" si="11"/>
        <v>1044</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1048.1500000000001</v>
      </c>
      <c r="O49" s="13">
        <f t="shared" si="9"/>
        <v>0.64999999999999947</v>
      </c>
      <c r="P49" s="13">
        <f t="shared" si="10"/>
        <v>4.8</v>
      </c>
      <c r="Q49" s="13">
        <f t="shared" si="11"/>
        <v>1044</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1048.8</v>
      </c>
      <c r="O50" s="13">
        <f t="shared" si="9"/>
        <v>0.65000000000000036</v>
      </c>
      <c r="P50" s="13">
        <f t="shared" si="10"/>
        <v>5.45</v>
      </c>
      <c r="Q50" s="13">
        <f t="shared" si="11"/>
        <v>1044</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1049.45</v>
      </c>
      <c r="O51" s="13">
        <f t="shared" si="9"/>
        <v>0.64999999999999947</v>
      </c>
      <c r="P51" s="13">
        <f t="shared" si="10"/>
        <v>6.1</v>
      </c>
      <c r="Q51" s="13">
        <f t="shared" si="11"/>
        <v>1044</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1050.0999999999999</v>
      </c>
      <c r="O52" s="13">
        <f t="shared" si="9"/>
        <v>0.65000000000000036</v>
      </c>
      <c r="P52" s="13">
        <f t="shared" si="10"/>
        <v>6.75</v>
      </c>
      <c r="Q52" s="13">
        <f t="shared" si="11"/>
        <v>1044</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1050.75</v>
      </c>
      <c r="O53" s="13">
        <f t="shared" si="9"/>
        <v>0.65000000000000036</v>
      </c>
      <c r="P53" s="13">
        <f t="shared" si="10"/>
        <v>7.4</v>
      </c>
      <c r="Q53" s="13">
        <f t="shared" si="11"/>
        <v>1044</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1051.4000000000001</v>
      </c>
      <c r="O54" s="13">
        <f t="shared" si="9"/>
        <v>0.65000000000000036</v>
      </c>
      <c r="P54" s="13">
        <f t="shared" si="10"/>
        <v>8.0500000000000007</v>
      </c>
      <c r="Q54" s="13">
        <f t="shared" si="11"/>
        <v>1044</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1052.05</v>
      </c>
      <c r="O55" s="13">
        <f t="shared" si="9"/>
        <v>0.64999999999999858</v>
      </c>
      <c r="P55" s="13">
        <f t="shared" si="10"/>
        <v>8.6999999999999993</v>
      </c>
      <c r="Q55" s="13">
        <f t="shared" si="11"/>
        <v>1044</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1052.7</v>
      </c>
      <c r="O56" s="13">
        <f t="shared" si="9"/>
        <v>0.65000000000000036</v>
      </c>
      <c r="P56" s="13">
        <f t="shared" si="10"/>
        <v>9.35</v>
      </c>
      <c r="Q56" s="13">
        <f t="shared" si="11"/>
        <v>1044</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1053.3499999999999</v>
      </c>
      <c r="O57" s="13">
        <f t="shared" si="9"/>
        <v>0.65000000000000036</v>
      </c>
      <c r="P57" s="13">
        <f t="shared" si="10"/>
        <v>10</v>
      </c>
      <c r="Q57" s="13">
        <f t="shared" si="11"/>
        <v>1044</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1054</v>
      </c>
      <c r="O58" s="13">
        <f t="shared" si="9"/>
        <v>0.65000000000000036</v>
      </c>
      <c r="P58" s="13">
        <f t="shared" si="10"/>
        <v>10.65</v>
      </c>
      <c r="Q58" s="13">
        <f t="shared" si="11"/>
        <v>1044</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1054.6500000000001</v>
      </c>
      <c r="O59" s="13">
        <f t="shared" si="9"/>
        <v>0.65000000000000036</v>
      </c>
      <c r="P59" s="13">
        <f>ROUND(P58+N59*$F$22,2)</f>
        <v>11.3</v>
      </c>
      <c r="Q59" s="13">
        <f t="shared" si="11"/>
        <v>1044</v>
      </c>
      <c r="R59" s="17"/>
      <c r="S59" s="17"/>
      <c r="T59" s="17">
        <f t="shared" si="14"/>
        <v>0</v>
      </c>
      <c r="U59" s="17">
        <f t="shared" si="4"/>
        <v>0</v>
      </c>
      <c r="V59" s="18">
        <f t="shared" si="12"/>
        <v>0</v>
      </c>
      <c r="W59" s="16">
        <f t="shared" si="13"/>
        <v>0</v>
      </c>
    </row>
    <row r="60" spans="2:23" ht="15" thickBot="1" x14ac:dyDescent="0.4">
      <c r="B60" s="122" t="s">
        <v>49</v>
      </c>
      <c r="C60" s="123"/>
      <c r="D60" s="67">
        <f t="shared" ref="D60:L60" si="15">SUM(D29:D59)</f>
        <v>0</v>
      </c>
      <c r="E60" s="21">
        <f t="shared" si="15"/>
        <v>0</v>
      </c>
      <c r="F60" s="21">
        <f t="shared" si="15"/>
        <v>0</v>
      </c>
      <c r="G60" s="21">
        <f t="shared" si="15"/>
        <v>0</v>
      </c>
      <c r="H60" s="22">
        <f t="shared" si="15"/>
        <v>0</v>
      </c>
      <c r="I60" s="20">
        <f t="shared" si="15"/>
        <v>1000</v>
      </c>
      <c r="J60" s="21">
        <f t="shared" si="15"/>
        <v>44</v>
      </c>
      <c r="K60" s="21">
        <f t="shared" si="15"/>
        <v>0</v>
      </c>
      <c r="L60" s="74">
        <f t="shared" si="15"/>
        <v>0</v>
      </c>
      <c r="M60" s="20"/>
      <c r="N60" s="21">
        <f>SUM(N29:N59)</f>
        <v>18402.690000000002</v>
      </c>
      <c r="O60" s="21">
        <f>SUM(O29:O59)</f>
        <v>11.3</v>
      </c>
      <c r="P60" s="20"/>
      <c r="Q60" s="20"/>
      <c r="R60" s="22">
        <f>SUM(R29:R59)</f>
        <v>0</v>
      </c>
      <c r="S60" s="22">
        <f>SUM(S29:S59)</f>
        <v>0</v>
      </c>
      <c r="T60" s="22">
        <f>SUM(T29:T59)</f>
        <v>0</v>
      </c>
      <c r="U60" s="22">
        <f>SUM(U29:U59)</f>
        <v>0</v>
      </c>
      <c r="V60" s="23"/>
      <c r="W60" s="23"/>
    </row>
    <row r="61" spans="2:23" ht="15" thickBot="1" x14ac:dyDescent="0.4">
      <c r="G61" s="61"/>
      <c r="J61" s="82" t="s">
        <v>71</v>
      </c>
      <c r="K61" s="82">
        <f>K60/$C$18</f>
        <v>0</v>
      </c>
      <c r="M61" s="82" t="s">
        <v>69</v>
      </c>
      <c r="N61" s="82">
        <f>N60/$C$18</f>
        <v>593.63516129032269</v>
      </c>
      <c r="O61" s="61"/>
      <c r="S61" s="82" t="s">
        <v>65</v>
      </c>
      <c r="T61" s="82">
        <f>T60/$C$18</f>
        <v>0</v>
      </c>
    </row>
    <row r="62" spans="2:23" ht="15" thickBot="1" x14ac:dyDescent="0.4">
      <c r="H62" s="2"/>
      <c r="J62" s="82" t="s">
        <v>72</v>
      </c>
      <c r="K62" s="82">
        <f>M59</f>
        <v>0</v>
      </c>
      <c r="M62" s="82" t="s">
        <v>70</v>
      </c>
      <c r="N62" s="82">
        <f>IF(ROUND(N59,2)=0,0,N61*$F$22*$C$18)</f>
        <v>11.339082139726029</v>
      </c>
      <c r="S62" s="82" t="s">
        <v>64</v>
      </c>
      <c r="T62" s="82">
        <f>T61*$F$23*$C$18</f>
        <v>0</v>
      </c>
    </row>
    <row r="63" spans="2:23" x14ac:dyDescent="0.35">
      <c r="M63" s="61"/>
      <c r="N63" s="61"/>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6"/>
  <sheetViews>
    <sheetView topLeftCell="F44" zoomScale="66" zoomScaleNormal="66" workbookViewId="0">
      <selection activeCell="L62" sqref="L62"/>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41.08984375"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103" t="s">
        <v>40</v>
      </c>
      <c r="I6" s="104"/>
    </row>
    <row r="7" spans="2:12" ht="29" x14ac:dyDescent="0.35">
      <c r="B7" s="30" t="s">
        <v>6</v>
      </c>
      <c r="C7" s="40">
        <v>28</v>
      </c>
      <c r="E7" s="34" t="s">
        <v>27</v>
      </c>
      <c r="F7" s="35">
        <f>R59</f>
        <v>0</v>
      </c>
      <c r="H7" s="7" t="s">
        <v>37</v>
      </c>
      <c r="I7" s="8">
        <f>J59</f>
        <v>44</v>
      </c>
      <c r="L7" s="61"/>
    </row>
    <row r="8" spans="2:12" ht="29.5" thickBot="1" x14ac:dyDescent="0.4">
      <c r="B8" s="31" t="s">
        <v>7</v>
      </c>
      <c r="C8" s="41">
        <f>C6+C3</f>
        <v>45010</v>
      </c>
      <c r="E8" s="34" t="s">
        <v>28</v>
      </c>
      <c r="F8" s="35">
        <f>SUM(I7:I8)</f>
        <v>44</v>
      </c>
      <c r="H8" s="49" t="s">
        <v>38</v>
      </c>
      <c r="I8" s="50">
        <f>S59</f>
        <v>0</v>
      </c>
      <c r="L8" s="61"/>
    </row>
    <row r="9" spans="2:12" ht="29.5" customHeight="1" thickBot="1" x14ac:dyDescent="0.4">
      <c r="B9"/>
      <c r="C9" s="3"/>
      <c r="E9" s="34" t="s">
        <v>29</v>
      </c>
      <c r="F9" s="35">
        <f>SUM(I15:I16)</f>
        <v>19.471657150684933</v>
      </c>
      <c r="L9" s="61"/>
    </row>
    <row r="10" spans="2:12" ht="15" thickBot="1" x14ac:dyDescent="0.4">
      <c r="B10" s="29" t="s">
        <v>12</v>
      </c>
      <c r="C10" s="38">
        <v>44986</v>
      </c>
      <c r="E10" s="4"/>
      <c r="F10" s="6"/>
      <c r="H10" s="125" t="s">
        <v>41</v>
      </c>
      <c r="I10" s="126"/>
      <c r="J10" s="127"/>
    </row>
    <row r="11" spans="2:12" ht="14.5" customHeight="1" x14ac:dyDescent="0.35">
      <c r="B11" s="30" t="s">
        <v>13</v>
      </c>
      <c r="C11" s="39">
        <f>C10+C12-1</f>
        <v>45016</v>
      </c>
      <c r="E11" s="55" t="s">
        <v>30</v>
      </c>
      <c r="F11" s="56">
        <f>F4+F6+F7+F8+F9-F5</f>
        <v>1063.4716571506849</v>
      </c>
      <c r="H11" s="72" t="s">
        <v>42</v>
      </c>
      <c r="I11" s="73">
        <f>SUM(F59:G59)</f>
        <v>0</v>
      </c>
      <c r="J11" s="114" t="s">
        <v>73</v>
      </c>
      <c r="K11" s="124"/>
    </row>
    <row r="12" spans="2:12" ht="15" thickBot="1" x14ac:dyDescent="0.4">
      <c r="B12" s="30" t="s">
        <v>14</v>
      </c>
      <c r="C12" s="40">
        <v>31</v>
      </c>
      <c r="E12" s="4"/>
      <c r="F12" s="6"/>
      <c r="H12" s="49" t="s">
        <v>43</v>
      </c>
      <c r="I12" s="50">
        <f>H59</f>
        <v>0</v>
      </c>
      <c r="J12" s="115"/>
      <c r="K12" s="124"/>
    </row>
    <row r="13" spans="2:12" ht="15" thickBot="1" x14ac:dyDescent="0.4">
      <c r="B13" s="31" t="s">
        <v>15</v>
      </c>
      <c r="C13" s="41">
        <v>45041</v>
      </c>
      <c r="E13" s="53" t="s">
        <v>31</v>
      </c>
      <c r="F13" s="54">
        <v>50000</v>
      </c>
    </row>
    <row r="14" spans="2:12" x14ac:dyDescent="0.35">
      <c r="E14" s="51" t="s">
        <v>32</v>
      </c>
      <c r="F14" s="52">
        <f>F13-F11</f>
        <v>48936.528342849313</v>
      </c>
      <c r="H14" s="103" t="s">
        <v>44</v>
      </c>
      <c r="I14" s="104"/>
    </row>
    <row r="15" spans="2:12" ht="29.5" thickBot="1" x14ac:dyDescent="0.4">
      <c r="B15"/>
      <c r="C15" s="3"/>
      <c r="E15" s="53" t="s">
        <v>33</v>
      </c>
      <c r="F15" s="54">
        <v>20000</v>
      </c>
      <c r="H15" s="7" t="s">
        <v>45</v>
      </c>
      <c r="I15" s="8">
        <f>K61</f>
        <v>19.471657150684933</v>
      </c>
    </row>
    <row r="16" spans="2:12" ht="29.5" thickBot="1" x14ac:dyDescent="0.4">
      <c r="B16" s="29" t="s">
        <v>3</v>
      </c>
      <c r="C16" s="38">
        <f>C10+C12</f>
        <v>45017</v>
      </c>
      <c r="E16" s="51" t="s">
        <v>34</v>
      </c>
      <c r="F16" s="52">
        <f>F15-F7-I16</f>
        <v>20000</v>
      </c>
      <c r="H16" s="49" t="s">
        <v>43</v>
      </c>
      <c r="I16" s="50">
        <f>T61</f>
        <v>0</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103" t="s">
        <v>51</v>
      </c>
      <c r="I18" s="104"/>
    </row>
    <row r="19" spans="2:23" ht="15" thickBot="1" x14ac:dyDescent="0.4">
      <c r="B19" s="31" t="s">
        <v>16</v>
      </c>
      <c r="C19" s="41">
        <f>C17+C3</f>
        <v>45071</v>
      </c>
      <c r="H19" s="7" t="s">
        <v>42</v>
      </c>
      <c r="I19" s="8">
        <f>'March Statement'!I19+'March Statement'!F6+'March Statement'!I7+'March Statement'!I15-'March Statement'!I11</f>
        <v>1044</v>
      </c>
    </row>
    <row r="20" spans="2:23" ht="15" thickBot="1" x14ac:dyDescent="0.4">
      <c r="H20" s="49" t="s">
        <v>43</v>
      </c>
      <c r="I20" s="50">
        <f>'May Statement'!I20+'May Statement'!F7+'May Statement'!I8+'May Statement'!I16-'May Statement'!I12</f>
        <v>0</v>
      </c>
      <c r="J20" s="5"/>
    </row>
    <row r="21" spans="2:23" x14ac:dyDescent="0.35">
      <c r="B21" s="103" t="s">
        <v>17</v>
      </c>
      <c r="C21" s="104"/>
      <c r="E21" s="103" t="s">
        <v>22</v>
      </c>
      <c r="F21" s="104"/>
      <c r="I21" s="62">
        <f>SUM(I19:I20)</f>
        <v>1044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1044</v>
      </c>
      <c r="L29" s="12">
        <f>M29</f>
        <v>0.64327561643835618</v>
      </c>
      <c r="M29" s="12">
        <f>K29*$F$22</f>
        <v>0.64327561643835618</v>
      </c>
      <c r="N29" s="12">
        <f>I29+J29-G29</f>
        <v>0</v>
      </c>
      <c r="O29" s="12">
        <f>P29</f>
        <v>0</v>
      </c>
      <c r="P29" s="12">
        <f>N29*$F$22</f>
        <v>0</v>
      </c>
      <c r="Q29" s="12">
        <f>K29+N29</f>
        <v>1044</v>
      </c>
      <c r="R29" s="15"/>
      <c r="S29" s="15"/>
      <c r="T29" s="15">
        <f>$I$20+R29+S29-H29</f>
        <v>0</v>
      </c>
      <c r="U29" s="15">
        <f>V29</f>
        <v>0</v>
      </c>
      <c r="V29" s="16">
        <f>T29*$F$23</f>
        <v>0</v>
      </c>
      <c r="W29" s="16">
        <f>IF(T29=0,0,$I$20+R29+S29-H29)</f>
        <v>0</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1044.6400000000001</v>
      </c>
      <c r="L30" s="13">
        <f>M30-M29</f>
        <v>0.6436699616438355</v>
      </c>
      <c r="M30" s="13">
        <f>IF(K30=0,0,M29+K30*$F$22)</f>
        <v>1.2869455780821917</v>
      </c>
      <c r="N30" s="13">
        <f t="shared" ref="N30:N58" si="3">ROUND(N29+I30+J30+O29-G30,2)</f>
        <v>0</v>
      </c>
      <c r="O30" s="13">
        <f>P30-P29</f>
        <v>0</v>
      </c>
      <c r="P30" s="13">
        <f>ROUND(P29+N30*$F$22,2)</f>
        <v>0</v>
      </c>
      <c r="Q30" s="13">
        <f>ROUND(N30+K30-M29-P29,2)</f>
        <v>1044</v>
      </c>
      <c r="R30" s="17"/>
      <c r="S30" s="17"/>
      <c r="T30" s="17">
        <f>T29+U29+R30+S30-H30</f>
        <v>0</v>
      </c>
      <c r="U30" s="17">
        <f t="shared" ref="U30:U58" si="4">V30-V29</f>
        <v>0</v>
      </c>
      <c r="V30" s="18">
        <f>V29+T30*$F$23</f>
        <v>0</v>
      </c>
      <c r="W30" s="16">
        <f>IF(T30=0,0,W29+R30+S30-H30)</f>
        <v>0</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1045.28</v>
      </c>
      <c r="L31" s="13">
        <f t="shared" ref="L31:L58" si="7">M31-M30</f>
        <v>0.64406430684931504</v>
      </c>
      <c r="M31" s="13">
        <f t="shared" ref="M31:M58" si="8">IF(K31=0,0,M30+K31*$F$22)</f>
        <v>1.9310098849315067</v>
      </c>
      <c r="N31" s="13">
        <f t="shared" si="3"/>
        <v>0</v>
      </c>
      <c r="O31" s="13">
        <f t="shared" ref="O31:O58" si="9">P31-P30</f>
        <v>0</v>
      </c>
      <c r="P31" s="13">
        <f t="shared" ref="P31:P56" si="10">ROUND(P30+N31*$F$22,2)</f>
        <v>0</v>
      </c>
      <c r="Q31" s="13">
        <f t="shared" ref="Q31:Q58" si="11">ROUND(N31+K31-M30-P30,2)</f>
        <v>1043.99</v>
      </c>
      <c r="R31" s="17"/>
      <c r="S31" s="17"/>
      <c r="T31" s="17">
        <f>T30+U30+R31+S31-H31</f>
        <v>0</v>
      </c>
      <c r="U31" s="17">
        <f t="shared" si="4"/>
        <v>0</v>
      </c>
      <c r="V31" s="18">
        <f t="shared" ref="V31:V58" si="12">V30+T31*$F$23</f>
        <v>0</v>
      </c>
      <c r="W31" s="16">
        <f t="shared" ref="W31:W58" si="13">IF(T31=0,0,W30+R31+S31-H31)</f>
        <v>0</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1045.92</v>
      </c>
      <c r="L32" s="13">
        <f t="shared" si="7"/>
        <v>0.6444586520547948</v>
      </c>
      <c r="M32" s="13">
        <f t="shared" si="8"/>
        <v>2.5754685369863015</v>
      </c>
      <c r="N32" s="13">
        <f t="shared" si="3"/>
        <v>0</v>
      </c>
      <c r="O32" s="13">
        <f t="shared" si="9"/>
        <v>0</v>
      </c>
      <c r="P32" s="13">
        <f t="shared" si="10"/>
        <v>0</v>
      </c>
      <c r="Q32" s="13">
        <f t="shared" si="11"/>
        <v>1043.99</v>
      </c>
      <c r="R32" s="17"/>
      <c r="S32" s="17"/>
      <c r="T32" s="17">
        <f>T31+U31+R32+S32-H32</f>
        <v>0</v>
      </c>
      <c r="U32" s="17">
        <f t="shared" si="4"/>
        <v>0</v>
      </c>
      <c r="V32" s="18">
        <f t="shared" si="12"/>
        <v>0</v>
      </c>
      <c r="W32" s="16">
        <f t="shared" si="13"/>
        <v>0</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1046.56</v>
      </c>
      <c r="L33" s="13">
        <f t="shared" si="7"/>
        <v>0.64485299726027367</v>
      </c>
      <c r="M33" s="13">
        <f t="shared" si="8"/>
        <v>3.2203215342465752</v>
      </c>
      <c r="N33" s="13">
        <f t="shared" si="3"/>
        <v>0</v>
      </c>
      <c r="O33" s="13">
        <f t="shared" si="9"/>
        <v>0</v>
      </c>
      <c r="P33" s="13">
        <f t="shared" si="10"/>
        <v>0</v>
      </c>
      <c r="Q33" s="13">
        <f t="shared" si="11"/>
        <v>1043.98</v>
      </c>
      <c r="R33" s="17"/>
      <c r="S33" s="17"/>
      <c r="T33" s="17">
        <f t="shared" ref="T33:T58" si="14">T32+U32+R33+S33-H33</f>
        <v>0</v>
      </c>
      <c r="U33" s="17">
        <f t="shared" si="4"/>
        <v>0</v>
      </c>
      <c r="V33" s="18">
        <f t="shared" si="12"/>
        <v>0</v>
      </c>
      <c r="W33" s="16">
        <f t="shared" si="13"/>
        <v>0</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1047.2</v>
      </c>
      <c r="L34" s="13">
        <f t="shared" si="7"/>
        <v>0.64524734246575344</v>
      </c>
      <c r="M34" s="13">
        <f t="shared" si="8"/>
        <v>3.8655688767123286</v>
      </c>
      <c r="N34" s="13">
        <f t="shared" si="3"/>
        <v>0</v>
      </c>
      <c r="O34" s="13">
        <f t="shared" si="9"/>
        <v>0</v>
      </c>
      <c r="P34" s="13">
        <f t="shared" si="10"/>
        <v>0</v>
      </c>
      <c r="Q34" s="13">
        <f t="shared" si="11"/>
        <v>1043.98</v>
      </c>
      <c r="R34" s="17"/>
      <c r="S34" s="17"/>
      <c r="T34" s="17">
        <f t="shared" si="14"/>
        <v>0</v>
      </c>
      <c r="U34" s="17">
        <f t="shared" si="4"/>
        <v>0</v>
      </c>
      <c r="V34" s="18">
        <f t="shared" si="12"/>
        <v>0</v>
      </c>
      <c r="W34" s="16">
        <f t="shared" si="13"/>
        <v>0</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1047.8499999999999</v>
      </c>
      <c r="L35" s="13">
        <f t="shared" si="7"/>
        <v>0.6456478493150688</v>
      </c>
      <c r="M35" s="13">
        <f t="shared" si="8"/>
        <v>4.5112167260273974</v>
      </c>
      <c r="N35" s="13">
        <f t="shared" si="3"/>
        <v>0</v>
      </c>
      <c r="O35" s="13">
        <f t="shared" si="9"/>
        <v>0</v>
      </c>
      <c r="P35" s="13">
        <f t="shared" si="10"/>
        <v>0</v>
      </c>
      <c r="Q35" s="13">
        <f t="shared" si="11"/>
        <v>1043.98</v>
      </c>
      <c r="R35" s="17"/>
      <c r="S35" s="17"/>
      <c r="T35" s="17">
        <f>T34+U34+R35+S35-H35</f>
        <v>0</v>
      </c>
      <c r="U35" s="17">
        <f t="shared" si="4"/>
        <v>0</v>
      </c>
      <c r="V35" s="18">
        <f t="shared" si="12"/>
        <v>0</v>
      </c>
      <c r="W35" s="16">
        <f t="shared" si="13"/>
        <v>0</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1048.5</v>
      </c>
      <c r="L36" s="13">
        <f t="shared" si="7"/>
        <v>0.64604835616438372</v>
      </c>
      <c r="M36" s="13">
        <f t="shared" si="8"/>
        <v>5.1572650821917811</v>
      </c>
      <c r="N36" s="13">
        <f t="shared" si="3"/>
        <v>0</v>
      </c>
      <c r="O36" s="13">
        <f t="shared" si="9"/>
        <v>0</v>
      </c>
      <c r="P36" s="13">
        <f t="shared" si="10"/>
        <v>0</v>
      </c>
      <c r="Q36" s="13">
        <f t="shared" si="11"/>
        <v>1043.99</v>
      </c>
      <c r="R36" s="17"/>
      <c r="S36" s="17"/>
      <c r="T36" s="17">
        <f t="shared" si="14"/>
        <v>0</v>
      </c>
      <c r="U36" s="17">
        <f t="shared" si="4"/>
        <v>0</v>
      </c>
      <c r="V36" s="18">
        <f t="shared" si="12"/>
        <v>0</v>
      </c>
      <c r="W36" s="16">
        <f t="shared" si="13"/>
        <v>0</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1049.1500000000001</v>
      </c>
      <c r="L37" s="13">
        <f t="shared" si="7"/>
        <v>0.64644886301369908</v>
      </c>
      <c r="M37" s="13">
        <f t="shared" si="8"/>
        <v>5.8037139452054802</v>
      </c>
      <c r="N37" s="13">
        <f t="shared" si="3"/>
        <v>0</v>
      </c>
      <c r="O37" s="13">
        <f t="shared" si="9"/>
        <v>0</v>
      </c>
      <c r="P37" s="13">
        <f t="shared" si="10"/>
        <v>0</v>
      </c>
      <c r="Q37" s="13">
        <f t="shared" si="11"/>
        <v>1043.99</v>
      </c>
      <c r="R37" s="17"/>
      <c r="S37" s="17"/>
      <c r="T37" s="17">
        <f t="shared" si="14"/>
        <v>0</v>
      </c>
      <c r="U37" s="17">
        <f t="shared" si="4"/>
        <v>0</v>
      </c>
      <c r="V37" s="18">
        <f t="shared" si="12"/>
        <v>0</v>
      </c>
      <c r="W37" s="16">
        <f t="shared" si="13"/>
        <v>0</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1049.8</v>
      </c>
      <c r="L38" s="13">
        <f t="shared" si="7"/>
        <v>0.64684936986301356</v>
      </c>
      <c r="M38" s="13">
        <f t="shared" si="8"/>
        <v>6.4505633150684938</v>
      </c>
      <c r="N38" s="13">
        <f t="shared" si="3"/>
        <v>0</v>
      </c>
      <c r="O38" s="13">
        <f t="shared" si="9"/>
        <v>0</v>
      </c>
      <c r="P38" s="13">
        <f t="shared" si="10"/>
        <v>0</v>
      </c>
      <c r="Q38" s="13">
        <f t="shared" si="11"/>
        <v>1044</v>
      </c>
      <c r="R38" s="17"/>
      <c r="S38" s="17"/>
      <c r="T38" s="17">
        <f t="shared" si="14"/>
        <v>0</v>
      </c>
      <c r="U38" s="17">
        <f t="shared" si="4"/>
        <v>0</v>
      </c>
      <c r="V38" s="18">
        <f t="shared" si="12"/>
        <v>0</v>
      </c>
      <c r="W38" s="16">
        <f t="shared" si="13"/>
        <v>0</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1050.45</v>
      </c>
      <c r="L39" s="13">
        <f t="shared" si="7"/>
        <v>0.64724987671232892</v>
      </c>
      <c r="M39" s="13">
        <f t="shared" si="8"/>
        <v>7.0978131917808227</v>
      </c>
      <c r="N39" s="13">
        <f t="shared" si="3"/>
        <v>0</v>
      </c>
      <c r="O39" s="13">
        <f>P39-P38</f>
        <v>0</v>
      </c>
      <c r="P39" s="13">
        <f t="shared" si="10"/>
        <v>0</v>
      </c>
      <c r="Q39" s="13">
        <f t="shared" si="11"/>
        <v>1044</v>
      </c>
      <c r="R39" s="17"/>
      <c r="S39" s="17"/>
      <c r="T39" s="17">
        <f t="shared" si="14"/>
        <v>0</v>
      </c>
      <c r="U39" s="17">
        <f t="shared" si="4"/>
        <v>0</v>
      </c>
      <c r="V39" s="18">
        <f t="shared" si="12"/>
        <v>0</v>
      </c>
      <c r="W39" s="16">
        <f t="shared" si="13"/>
        <v>0</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1051.0999999999999</v>
      </c>
      <c r="L40" s="13">
        <f t="shared" si="7"/>
        <v>0.64765038356164339</v>
      </c>
      <c r="M40" s="13">
        <f t="shared" si="8"/>
        <v>7.7454635753424661</v>
      </c>
      <c r="N40" s="13">
        <f t="shared" si="3"/>
        <v>0</v>
      </c>
      <c r="O40" s="13">
        <f t="shared" si="9"/>
        <v>0</v>
      </c>
      <c r="P40" s="13">
        <f t="shared" si="10"/>
        <v>0</v>
      </c>
      <c r="Q40" s="13">
        <f t="shared" si="11"/>
        <v>1044</v>
      </c>
      <c r="R40" s="17"/>
      <c r="S40" s="17"/>
      <c r="T40" s="17">
        <f t="shared" si="14"/>
        <v>0</v>
      </c>
      <c r="U40" s="17">
        <f t="shared" si="4"/>
        <v>0</v>
      </c>
      <c r="V40" s="18">
        <f t="shared" si="12"/>
        <v>0</v>
      </c>
      <c r="W40" s="16">
        <f t="shared" si="13"/>
        <v>0</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1051.75</v>
      </c>
      <c r="L41" s="13">
        <f t="shared" si="7"/>
        <v>0.64805089041095876</v>
      </c>
      <c r="M41" s="13">
        <f t="shared" si="8"/>
        <v>8.3935144657534249</v>
      </c>
      <c r="N41" s="13">
        <f t="shared" si="3"/>
        <v>0</v>
      </c>
      <c r="O41" s="13">
        <f t="shared" si="9"/>
        <v>0</v>
      </c>
      <c r="P41" s="13">
        <f t="shared" si="10"/>
        <v>0</v>
      </c>
      <c r="Q41" s="13">
        <f t="shared" si="11"/>
        <v>1044</v>
      </c>
      <c r="R41" s="17"/>
      <c r="S41" s="17"/>
      <c r="T41" s="17">
        <f t="shared" si="14"/>
        <v>0</v>
      </c>
      <c r="U41" s="17">
        <f t="shared" si="4"/>
        <v>0</v>
      </c>
      <c r="V41" s="18">
        <f t="shared" si="12"/>
        <v>0</v>
      </c>
      <c r="W41" s="16">
        <f t="shared" si="13"/>
        <v>0</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1052.4000000000001</v>
      </c>
      <c r="L42" s="13">
        <f t="shared" si="7"/>
        <v>0.64845139726027412</v>
      </c>
      <c r="M42" s="13">
        <f t="shared" si="8"/>
        <v>9.041965863013699</v>
      </c>
      <c r="N42" s="13">
        <f t="shared" si="3"/>
        <v>0</v>
      </c>
      <c r="O42" s="13">
        <f t="shared" si="9"/>
        <v>0</v>
      </c>
      <c r="P42" s="13">
        <f t="shared" si="10"/>
        <v>0</v>
      </c>
      <c r="Q42" s="13">
        <f t="shared" si="11"/>
        <v>1044.01</v>
      </c>
      <c r="R42" s="17"/>
      <c r="S42" s="17"/>
      <c r="T42" s="17">
        <f>T41+U41+R42+S42-H42</f>
        <v>0</v>
      </c>
      <c r="U42" s="17">
        <f>V42-V41</f>
        <v>0</v>
      </c>
      <c r="V42" s="18">
        <f t="shared" si="12"/>
        <v>0</v>
      </c>
      <c r="W42" s="16">
        <f t="shared" si="13"/>
        <v>0</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v>4</v>
      </c>
      <c r="K43" s="13">
        <f t="shared" si="6"/>
        <v>1053.05</v>
      </c>
      <c r="L43" s="13">
        <f t="shared" si="7"/>
        <v>0.64885190410958948</v>
      </c>
      <c r="M43" s="13">
        <f t="shared" si="8"/>
        <v>9.6908177671232885</v>
      </c>
      <c r="N43" s="13">
        <f t="shared" si="3"/>
        <v>1004</v>
      </c>
      <c r="O43" s="13">
        <f t="shared" si="9"/>
        <v>0.62</v>
      </c>
      <c r="P43" s="13">
        <f t="shared" si="10"/>
        <v>0.62</v>
      </c>
      <c r="Q43" s="13">
        <f t="shared" si="11"/>
        <v>2048.0100000000002</v>
      </c>
      <c r="R43" s="17"/>
      <c r="S43" s="17"/>
      <c r="T43" s="17">
        <f>T42+U42+R43+S43-H43</f>
        <v>0</v>
      </c>
      <c r="U43" s="17">
        <f t="shared" si="4"/>
        <v>0</v>
      </c>
      <c r="V43" s="18">
        <f t="shared" si="12"/>
        <v>0</v>
      </c>
      <c r="W43" s="16">
        <f t="shared" si="13"/>
        <v>0</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1053.7</v>
      </c>
      <c r="L44" s="13">
        <f t="shared" si="7"/>
        <v>0.64925241095890485</v>
      </c>
      <c r="M44" s="13">
        <f t="shared" si="8"/>
        <v>10.340070178082193</v>
      </c>
      <c r="N44" s="13">
        <f t="shared" si="3"/>
        <v>1004.62</v>
      </c>
      <c r="O44" s="13">
        <f t="shared" si="9"/>
        <v>0.62</v>
      </c>
      <c r="P44" s="13">
        <f t="shared" si="10"/>
        <v>1.24</v>
      </c>
      <c r="Q44" s="13">
        <f t="shared" si="11"/>
        <v>2048.0100000000002</v>
      </c>
      <c r="R44" s="17"/>
      <c r="S44" s="17"/>
      <c r="T44" s="17">
        <f t="shared" si="14"/>
        <v>0</v>
      </c>
      <c r="U44" s="17">
        <f t="shared" si="4"/>
        <v>0</v>
      </c>
      <c r="V44" s="18">
        <f t="shared" si="12"/>
        <v>0</v>
      </c>
      <c r="W44" s="16">
        <f t="shared" si="13"/>
        <v>0</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1054.3499999999999</v>
      </c>
      <c r="L45" s="13">
        <f t="shared" si="7"/>
        <v>0.64965291780821843</v>
      </c>
      <c r="M45" s="13">
        <f t="shared" si="8"/>
        <v>10.989723095890412</v>
      </c>
      <c r="N45" s="13">
        <f t="shared" si="3"/>
        <v>1005.24</v>
      </c>
      <c r="O45" s="13">
        <f t="shared" si="9"/>
        <v>0.62000000000000011</v>
      </c>
      <c r="P45" s="13">
        <f t="shared" si="10"/>
        <v>1.86</v>
      </c>
      <c r="Q45" s="13">
        <f t="shared" si="11"/>
        <v>2048.0100000000002</v>
      </c>
      <c r="R45" s="17"/>
      <c r="S45" s="17"/>
      <c r="T45" s="17">
        <f t="shared" si="14"/>
        <v>0</v>
      </c>
      <c r="U45" s="17">
        <f t="shared" si="4"/>
        <v>0</v>
      </c>
      <c r="V45" s="18">
        <f t="shared" si="12"/>
        <v>0</v>
      </c>
      <c r="W45" s="16">
        <f>IF(T45=0,0,W44+R45+S45-H45)</f>
        <v>0</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1055</v>
      </c>
      <c r="L46" s="13">
        <f t="shared" si="7"/>
        <v>0.6500534246575338</v>
      </c>
      <c r="M46" s="13">
        <f t="shared" si="8"/>
        <v>11.639776520547946</v>
      </c>
      <c r="N46" s="13">
        <f t="shared" si="3"/>
        <v>1005.86</v>
      </c>
      <c r="O46" s="13">
        <f t="shared" si="9"/>
        <v>0.61999999999999988</v>
      </c>
      <c r="P46" s="13">
        <f t="shared" si="10"/>
        <v>2.48</v>
      </c>
      <c r="Q46" s="13">
        <f t="shared" si="11"/>
        <v>2048.0100000000002</v>
      </c>
      <c r="R46" s="17"/>
      <c r="S46" s="17"/>
      <c r="T46" s="17">
        <f t="shared" si="14"/>
        <v>0</v>
      </c>
      <c r="U46" s="17">
        <f t="shared" si="4"/>
        <v>0</v>
      </c>
      <c r="V46" s="18">
        <f t="shared" si="12"/>
        <v>0</v>
      </c>
      <c r="W46" s="16">
        <f>IF(T46=0,0,W45+R46+S46-H46)</f>
        <v>0</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1055.6500000000001</v>
      </c>
      <c r="L47" s="13">
        <f t="shared" si="7"/>
        <v>0.65045393150684916</v>
      </c>
      <c r="M47" s="13">
        <f t="shared" si="8"/>
        <v>12.290230452054795</v>
      </c>
      <c r="N47" s="13">
        <f t="shared" si="3"/>
        <v>1006.48</v>
      </c>
      <c r="O47" s="13">
        <f t="shared" si="9"/>
        <v>0.62000000000000011</v>
      </c>
      <c r="P47" s="13">
        <f t="shared" si="10"/>
        <v>3.1</v>
      </c>
      <c r="Q47" s="13">
        <f t="shared" si="11"/>
        <v>2048.0100000000002</v>
      </c>
      <c r="R47" s="17"/>
      <c r="S47" s="17"/>
      <c r="T47" s="17">
        <f t="shared" si="14"/>
        <v>0</v>
      </c>
      <c r="U47" s="17">
        <f t="shared" si="4"/>
        <v>0</v>
      </c>
      <c r="V47" s="18">
        <f t="shared" si="12"/>
        <v>0</v>
      </c>
      <c r="W47" s="16">
        <f t="shared" si="13"/>
        <v>0</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1056.3</v>
      </c>
      <c r="L48" s="13">
        <f t="shared" si="7"/>
        <v>0.65085443835616452</v>
      </c>
      <c r="M48" s="13">
        <f t="shared" si="8"/>
        <v>12.941084890410959</v>
      </c>
      <c r="N48" s="13">
        <f t="shared" si="3"/>
        <v>1007.1</v>
      </c>
      <c r="O48" s="13">
        <f t="shared" si="9"/>
        <v>0.62000000000000011</v>
      </c>
      <c r="P48" s="13">
        <f t="shared" si="10"/>
        <v>3.72</v>
      </c>
      <c r="Q48" s="13">
        <f t="shared" si="11"/>
        <v>2048.0100000000002</v>
      </c>
      <c r="R48" s="17"/>
      <c r="S48" s="17"/>
      <c r="T48" s="17">
        <f t="shared" si="14"/>
        <v>0</v>
      </c>
      <c r="U48" s="17">
        <f t="shared" si="4"/>
        <v>0</v>
      </c>
      <c r="V48" s="18">
        <f t="shared" si="12"/>
        <v>0</v>
      </c>
      <c r="W48" s="16">
        <f t="shared" si="13"/>
        <v>0</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1056.95</v>
      </c>
      <c r="L49" s="13">
        <f t="shared" si="7"/>
        <v>0.65125494520547988</v>
      </c>
      <c r="M49" s="13">
        <f t="shared" si="8"/>
        <v>13.592339835616439</v>
      </c>
      <c r="N49" s="13">
        <f t="shared" si="3"/>
        <v>1007.72</v>
      </c>
      <c r="O49" s="13">
        <f t="shared" si="9"/>
        <v>0.61999999999999966</v>
      </c>
      <c r="P49" s="13">
        <f t="shared" si="10"/>
        <v>4.34</v>
      </c>
      <c r="Q49" s="13">
        <f t="shared" si="11"/>
        <v>2048.0100000000002</v>
      </c>
      <c r="R49" s="17"/>
      <c r="S49" s="17"/>
      <c r="T49" s="17">
        <f t="shared" si="14"/>
        <v>0</v>
      </c>
      <c r="U49" s="17">
        <f t="shared" si="4"/>
        <v>0</v>
      </c>
      <c r="V49" s="18">
        <f t="shared" si="12"/>
        <v>0</v>
      </c>
      <c r="W49" s="16">
        <f t="shared" si="13"/>
        <v>0</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1057.5999999999999</v>
      </c>
      <c r="L50" s="13">
        <f t="shared" si="7"/>
        <v>0.65165545205479525</v>
      </c>
      <c r="M50" s="13">
        <f t="shared" si="8"/>
        <v>14.243995287671234</v>
      </c>
      <c r="N50" s="13">
        <f t="shared" si="3"/>
        <v>1008.34</v>
      </c>
      <c r="O50" s="13">
        <f t="shared" si="9"/>
        <v>0.62000000000000011</v>
      </c>
      <c r="P50" s="13">
        <f t="shared" si="10"/>
        <v>4.96</v>
      </c>
      <c r="Q50" s="13">
        <f t="shared" si="11"/>
        <v>2048.0100000000002</v>
      </c>
      <c r="R50" s="17"/>
      <c r="S50" s="17"/>
      <c r="T50" s="17">
        <f t="shared" si="14"/>
        <v>0</v>
      </c>
      <c r="U50" s="17">
        <f t="shared" si="4"/>
        <v>0</v>
      </c>
      <c r="V50" s="18">
        <f t="shared" si="12"/>
        <v>0</v>
      </c>
      <c r="W50" s="16">
        <f t="shared" si="13"/>
        <v>0</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1058.25</v>
      </c>
      <c r="L51" s="13">
        <f t="shared" si="7"/>
        <v>0.65205595890410883</v>
      </c>
      <c r="M51" s="13">
        <f t="shared" si="8"/>
        <v>14.896051246575343</v>
      </c>
      <c r="N51" s="13">
        <f t="shared" si="3"/>
        <v>1008.96</v>
      </c>
      <c r="O51" s="13">
        <f t="shared" si="9"/>
        <v>0.62000000000000011</v>
      </c>
      <c r="P51" s="13">
        <f t="shared" si="10"/>
        <v>5.58</v>
      </c>
      <c r="Q51" s="13">
        <f t="shared" si="11"/>
        <v>2048.0100000000002</v>
      </c>
      <c r="R51" s="17"/>
      <c r="S51" s="17"/>
      <c r="T51" s="17">
        <f t="shared" si="14"/>
        <v>0</v>
      </c>
      <c r="U51" s="17">
        <f t="shared" si="4"/>
        <v>0</v>
      </c>
      <c r="V51" s="18">
        <f t="shared" si="12"/>
        <v>0</v>
      </c>
      <c r="W51" s="16">
        <f t="shared" si="13"/>
        <v>0</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1058.9000000000001</v>
      </c>
      <c r="L52" s="13">
        <f t="shared" si="7"/>
        <v>0.6524564657534242</v>
      </c>
      <c r="M52" s="13">
        <f t="shared" si="8"/>
        <v>15.548507712328767</v>
      </c>
      <c r="N52" s="13">
        <f>ROUND(N51+I52+J52+O51-G52,2)</f>
        <v>1009.58</v>
      </c>
      <c r="O52" s="13">
        <f t="shared" si="9"/>
        <v>0.62000000000000011</v>
      </c>
      <c r="P52" s="13">
        <f t="shared" si="10"/>
        <v>6.2</v>
      </c>
      <c r="Q52" s="13">
        <f t="shared" si="11"/>
        <v>2048</v>
      </c>
      <c r="R52" s="17"/>
      <c r="S52" s="17"/>
      <c r="T52" s="17">
        <f t="shared" si="14"/>
        <v>0</v>
      </c>
      <c r="U52" s="17">
        <f t="shared" si="4"/>
        <v>0</v>
      </c>
      <c r="V52" s="18">
        <f t="shared" si="12"/>
        <v>0</v>
      </c>
      <c r="W52" s="16">
        <f t="shared" si="13"/>
        <v>0</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1059.55</v>
      </c>
      <c r="L53" s="13">
        <f t="shared" si="7"/>
        <v>0.65285697260274134</v>
      </c>
      <c r="M53" s="13">
        <f t="shared" si="8"/>
        <v>16.201364684931509</v>
      </c>
      <c r="N53" s="13">
        <f t="shared" si="3"/>
        <v>1010.2</v>
      </c>
      <c r="O53" s="13">
        <f t="shared" si="9"/>
        <v>0.62000000000000011</v>
      </c>
      <c r="P53" s="13">
        <f t="shared" si="10"/>
        <v>6.82</v>
      </c>
      <c r="Q53" s="13">
        <f t="shared" si="11"/>
        <v>2048</v>
      </c>
      <c r="R53" s="17"/>
      <c r="S53" s="17"/>
      <c r="T53" s="17">
        <f t="shared" si="14"/>
        <v>0</v>
      </c>
      <c r="U53" s="17">
        <f t="shared" si="4"/>
        <v>0</v>
      </c>
      <c r="V53" s="18">
        <f t="shared" si="12"/>
        <v>0</v>
      </c>
      <c r="W53" s="16">
        <f t="shared" si="13"/>
        <v>0</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1060.2</v>
      </c>
      <c r="L54" s="13">
        <f t="shared" si="7"/>
        <v>0.65325747945205492</v>
      </c>
      <c r="M54" s="13">
        <f t="shared" si="8"/>
        <v>16.854622164383564</v>
      </c>
      <c r="N54" s="13">
        <f t="shared" si="3"/>
        <v>1010.82</v>
      </c>
      <c r="O54" s="13">
        <f t="shared" si="9"/>
        <v>0.62000000000000011</v>
      </c>
      <c r="P54" s="13">
        <f>ROUND(P53+N54*$F$22,2)</f>
        <v>7.44</v>
      </c>
      <c r="Q54" s="13">
        <f t="shared" si="11"/>
        <v>2048</v>
      </c>
      <c r="R54" s="17"/>
      <c r="S54" s="17"/>
      <c r="T54" s="17">
        <f t="shared" si="14"/>
        <v>0</v>
      </c>
      <c r="U54" s="17">
        <f t="shared" si="4"/>
        <v>0</v>
      </c>
      <c r="V54" s="18">
        <f t="shared" si="12"/>
        <v>0</v>
      </c>
      <c r="W54" s="16">
        <f t="shared" si="13"/>
        <v>0</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1060.8499999999999</v>
      </c>
      <c r="L55" s="13">
        <f t="shared" si="7"/>
        <v>0.65365798630136851</v>
      </c>
      <c r="M55" s="13">
        <f t="shared" si="8"/>
        <v>17.508280150684932</v>
      </c>
      <c r="N55" s="13">
        <f t="shared" si="3"/>
        <v>1011.44</v>
      </c>
      <c r="O55" s="13">
        <f t="shared" si="9"/>
        <v>0.62000000000000011</v>
      </c>
      <c r="P55" s="13">
        <f t="shared" si="10"/>
        <v>8.06</v>
      </c>
      <c r="Q55" s="13">
        <f t="shared" si="11"/>
        <v>2048</v>
      </c>
      <c r="R55" s="17"/>
      <c r="S55" s="17"/>
      <c r="T55" s="17">
        <f t="shared" si="14"/>
        <v>0</v>
      </c>
      <c r="U55" s="17">
        <f t="shared" si="4"/>
        <v>0</v>
      </c>
      <c r="V55" s="18">
        <f t="shared" si="12"/>
        <v>0</v>
      </c>
      <c r="W55" s="16">
        <f t="shared" si="13"/>
        <v>0</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1061.5</v>
      </c>
      <c r="L56" s="13">
        <f t="shared" si="7"/>
        <v>0.65405849315068565</v>
      </c>
      <c r="M56" s="13">
        <f t="shared" si="8"/>
        <v>18.162338643835618</v>
      </c>
      <c r="N56" s="13">
        <f t="shared" si="3"/>
        <v>1012.06</v>
      </c>
      <c r="O56" s="13">
        <f t="shared" si="9"/>
        <v>0.61999999999999922</v>
      </c>
      <c r="P56" s="13">
        <f t="shared" si="10"/>
        <v>8.68</v>
      </c>
      <c r="Q56" s="13">
        <f t="shared" si="11"/>
        <v>2047.99</v>
      </c>
      <c r="R56" s="17"/>
      <c r="S56" s="17"/>
      <c r="T56" s="17">
        <f t="shared" si="14"/>
        <v>0</v>
      </c>
      <c r="U56" s="17">
        <f t="shared" si="4"/>
        <v>0</v>
      </c>
      <c r="V56" s="18">
        <f t="shared" si="12"/>
        <v>0</v>
      </c>
      <c r="W56" s="16">
        <f t="shared" si="13"/>
        <v>0</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1062.1500000000001</v>
      </c>
      <c r="L57" s="13">
        <f t="shared" si="7"/>
        <v>0.65445899999999924</v>
      </c>
      <c r="M57" s="13">
        <f t="shared" si="8"/>
        <v>18.816797643835617</v>
      </c>
      <c r="N57" s="13">
        <f t="shared" si="3"/>
        <v>1012.68</v>
      </c>
      <c r="O57" s="13">
        <f t="shared" si="9"/>
        <v>0.62000000000000099</v>
      </c>
      <c r="P57" s="13">
        <f>ROUND(P56+N57*$F$22,2)</f>
        <v>9.3000000000000007</v>
      </c>
      <c r="Q57" s="13">
        <f t="shared" si="11"/>
        <v>2047.99</v>
      </c>
      <c r="R57" s="17"/>
      <c r="S57" s="17"/>
      <c r="T57" s="17">
        <f t="shared" si="14"/>
        <v>0</v>
      </c>
      <c r="U57" s="17">
        <f t="shared" si="4"/>
        <v>0</v>
      </c>
      <c r="V57" s="18">
        <f t="shared" si="12"/>
        <v>0</v>
      </c>
      <c r="W57" s="16">
        <f t="shared" si="13"/>
        <v>0</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v>40</v>
      </c>
      <c r="K58" s="13">
        <f t="shared" si="6"/>
        <v>1062.8</v>
      </c>
      <c r="L58" s="13">
        <f t="shared" si="7"/>
        <v>0.65485950684931638</v>
      </c>
      <c r="M58" s="13">
        <f t="shared" si="8"/>
        <v>19.471657150684933</v>
      </c>
      <c r="N58" s="13">
        <f t="shared" si="3"/>
        <v>1053.3</v>
      </c>
      <c r="O58" s="13">
        <f t="shared" si="9"/>
        <v>0.64999999999999858</v>
      </c>
      <c r="P58" s="13">
        <f>ROUND(P57+N58*$F$22,2)</f>
        <v>9.9499999999999993</v>
      </c>
      <c r="Q58" s="13">
        <f t="shared" si="11"/>
        <v>2087.98</v>
      </c>
      <c r="R58" s="17"/>
      <c r="S58" s="17"/>
      <c r="T58" s="17">
        <f t="shared" si="14"/>
        <v>0</v>
      </c>
      <c r="U58" s="17">
        <f t="shared" si="4"/>
        <v>0</v>
      </c>
      <c r="V58" s="18">
        <f t="shared" si="12"/>
        <v>0</v>
      </c>
      <c r="W58" s="16">
        <f t="shared" si="13"/>
        <v>0</v>
      </c>
    </row>
    <row r="59" spans="2:23" ht="15" thickBot="1" x14ac:dyDescent="0.4">
      <c r="B59" s="122" t="s">
        <v>49</v>
      </c>
      <c r="C59" s="123"/>
      <c r="D59" s="67">
        <f t="shared" ref="D59:L59" si="15">SUM(D29:D58)</f>
        <v>0</v>
      </c>
      <c r="E59" s="21">
        <f t="shared" si="15"/>
        <v>0</v>
      </c>
      <c r="F59" s="21">
        <f t="shared" si="15"/>
        <v>0</v>
      </c>
      <c r="G59" s="21">
        <f t="shared" si="15"/>
        <v>0</v>
      </c>
      <c r="H59" s="22">
        <f t="shared" si="15"/>
        <v>0</v>
      </c>
      <c r="I59" s="20">
        <f t="shared" si="15"/>
        <v>1000</v>
      </c>
      <c r="J59" s="21">
        <f t="shared" si="15"/>
        <v>44</v>
      </c>
      <c r="K59" s="21">
        <f t="shared" si="15"/>
        <v>31601.399999999998</v>
      </c>
      <c r="L59" s="74">
        <f t="shared" si="15"/>
        <v>19.471657150684933</v>
      </c>
      <c r="M59" s="20"/>
      <c r="N59" s="21">
        <f>SUM(N29:N58)</f>
        <v>16178.4</v>
      </c>
      <c r="O59" s="21">
        <f>SUM(O29:O58)</f>
        <v>9.9499999999999993</v>
      </c>
      <c r="P59" s="20"/>
      <c r="Q59" s="20"/>
      <c r="R59" s="22">
        <f>SUM(R29:R58)</f>
        <v>0</v>
      </c>
      <c r="S59" s="22">
        <f>SUM(S29:S58)</f>
        <v>0</v>
      </c>
      <c r="T59" s="22">
        <f>SUM(T29:T58)</f>
        <v>0</v>
      </c>
      <c r="U59" s="22">
        <f>SUM(U29:U58)</f>
        <v>0</v>
      </c>
      <c r="V59" s="23"/>
      <c r="W59" s="23"/>
    </row>
    <row r="60" spans="2:23" ht="15" thickBot="1" x14ac:dyDescent="0.4">
      <c r="G60" s="61"/>
      <c r="J60" s="82" t="s">
        <v>71</v>
      </c>
      <c r="K60" s="82">
        <f>K59/$C$18</f>
        <v>1053.3799999999999</v>
      </c>
      <c r="M60" s="82" t="s">
        <v>69</v>
      </c>
      <c r="N60" s="82">
        <f>N59/$C$18</f>
        <v>539.28</v>
      </c>
      <c r="O60" s="61"/>
      <c r="S60" s="82" t="s">
        <v>65</v>
      </c>
      <c r="T60" s="82">
        <f>T59/$C$18</f>
        <v>0</v>
      </c>
    </row>
    <row r="61" spans="2:23" ht="15" thickBot="1" x14ac:dyDescent="0.4">
      <c r="H61" s="2"/>
      <c r="J61" s="82" t="s">
        <v>72</v>
      </c>
      <c r="K61" s="82">
        <f>M58</f>
        <v>19.471657150684933</v>
      </c>
      <c r="M61" s="82" t="s">
        <v>70</v>
      </c>
      <c r="N61" s="82">
        <f>IF(ROUND(N58,2)=0,0,N60*$F$22*$C$18)</f>
        <v>9.9685538630136978</v>
      </c>
      <c r="S61" s="82" t="s">
        <v>64</v>
      </c>
      <c r="T61" s="82">
        <f>T60*$F$23*$C$18</f>
        <v>0</v>
      </c>
    </row>
    <row r="62" spans="2:23" x14ac:dyDescent="0.35">
      <c r="M62" s="61"/>
      <c r="N62" s="61"/>
    </row>
    <row r="65" spans="13:14" x14ac:dyDescent="0.35">
      <c r="M65" s="101" t="s">
        <v>74</v>
      </c>
      <c r="N65" s="101">
        <f>K61+N61</f>
        <v>29.440211013698629</v>
      </c>
    </row>
    <row r="66" spans="13:14" x14ac:dyDescent="0.35">
      <c r="M66" s="102" t="s">
        <v>75</v>
      </c>
      <c r="N66" s="102">
        <v>29.41</v>
      </c>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0"/>
  <sheetViews>
    <sheetView tabSelected="1" topLeftCell="C57" zoomScale="53" zoomScaleNormal="53" workbookViewId="0">
      <selection activeCell="J49" sqref="J49"/>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2119.48</v>
      </c>
    </row>
    <row r="6" spans="2:12" x14ac:dyDescent="0.35">
      <c r="B6" s="30" t="s">
        <v>8</v>
      </c>
      <c r="C6" s="39">
        <v>45016</v>
      </c>
      <c r="E6" s="34" t="s">
        <v>26</v>
      </c>
      <c r="F6" s="35">
        <f>I60</f>
        <v>0</v>
      </c>
      <c r="H6" s="103" t="s">
        <v>40</v>
      </c>
      <c r="I6" s="104"/>
    </row>
    <row r="7" spans="2:12" ht="29" x14ac:dyDescent="0.35">
      <c r="B7" s="30" t="s">
        <v>6</v>
      </c>
      <c r="C7" s="40">
        <v>31</v>
      </c>
      <c r="E7" s="34" t="s">
        <v>27</v>
      </c>
      <c r="F7" s="35">
        <f>R60</f>
        <v>0</v>
      </c>
      <c r="H7" s="7" t="s">
        <v>37</v>
      </c>
      <c r="I7" s="8">
        <f>J60</f>
        <v>0</v>
      </c>
      <c r="L7" s="61"/>
    </row>
    <row r="8" spans="2:12" ht="29.5" thickBot="1" x14ac:dyDescent="0.4">
      <c r="B8" s="31" t="s">
        <v>7</v>
      </c>
      <c r="C8" s="41">
        <f>C6+C3</f>
        <v>45041</v>
      </c>
      <c r="E8" s="34" t="s">
        <v>28</v>
      </c>
      <c r="F8" s="35">
        <f>SUM(I7:I8)</f>
        <v>0</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25" t="s">
        <v>41</v>
      </c>
      <c r="I10" s="126"/>
      <c r="J10" s="127"/>
    </row>
    <row r="11" spans="2:12" ht="14.5" customHeight="1" x14ac:dyDescent="0.35">
      <c r="B11" s="30" t="s">
        <v>13</v>
      </c>
      <c r="C11" s="39">
        <f>C10+C12-1</f>
        <v>45046</v>
      </c>
      <c r="E11" s="55" t="s">
        <v>30</v>
      </c>
      <c r="F11" s="56">
        <f>F4+F6+F7+F8+F9-F5</f>
        <v>-2119.48</v>
      </c>
      <c r="H11" s="72" t="s">
        <v>42</v>
      </c>
      <c r="I11" s="73">
        <f>SUM(F60:G60)</f>
        <v>2119.48</v>
      </c>
      <c r="J11" s="114" t="s">
        <v>73</v>
      </c>
      <c r="K11" s="124"/>
    </row>
    <row r="12" spans="2:12" ht="15" thickBot="1" x14ac:dyDescent="0.4">
      <c r="B12" s="30" t="s">
        <v>14</v>
      </c>
      <c r="C12" s="40">
        <v>30</v>
      </c>
      <c r="E12" s="4"/>
      <c r="F12" s="6"/>
      <c r="H12" s="49" t="s">
        <v>43</v>
      </c>
      <c r="I12" s="50">
        <f>H60</f>
        <v>0</v>
      </c>
      <c r="J12" s="115"/>
      <c r="K12" s="124"/>
    </row>
    <row r="13" spans="2:12" ht="15" thickBot="1" x14ac:dyDescent="0.4">
      <c r="B13" s="31" t="s">
        <v>15</v>
      </c>
      <c r="C13" s="41">
        <v>45071</v>
      </c>
      <c r="E13" s="53" t="s">
        <v>31</v>
      </c>
      <c r="F13" s="54">
        <v>48960</v>
      </c>
    </row>
    <row r="14" spans="2:12" x14ac:dyDescent="0.35">
      <c r="E14" s="51" t="s">
        <v>32</v>
      </c>
      <c r="F14" s="52">
        <f>F13-F11</f>
        <v>51079.48</v>
      </c>
      <c r="H14" s="103" t="s">
        <v>44</v>
      </c>
      <c r="I14" s="104"/>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3" ht="15" thickBot="1" x14ac:dyDescent="0.4">
      <c r="B17" s="30" t="s">
        <v>9</v>
      </c>
      <c r="C17" s="39">
        <f>C16+C18-1</f>
        <v>45077</v>
      </c>
      <c r="E17" s="42" t="s">
        <v>0</v>
      </c>
      <c r="F17" s="39">
        <f>C17</f>
        <v>45077</v>
      </c>
    </row>
    <row r="18" spans="2:23" ht="15" thickBot="1" x14ac:dyDescent="0.4">
      <c r="B18" s="30" t="s">
        <v>4</v>
      </c>
      <c r="C18" s="40">
        <v>31</v>
      </c>
      <c r="E18" s="43" t="s">
        <v>2</v>
      </c>
      <c r="F18" s="44">
        <f>C18</f>
        <v>31</v>
      </c>
      <c r="H18" s="103" t="s">
        <v>51</v>
      </c>
      <c r="I18" s="104"/>
    </row>
    <row r="19" spans="2:23" ht="15" thickBot="1" x14ac:dyDescent="0.4">
      <c r="B19" s="31" t="s">
        <v>16</v>
      </c>
      <c r="C19" s="41">
        <f>C17+C3</f>
        <v>45102</v>
      </c>
      <c r="H19" s="7" t="s">
        <v>42</v>
      </c>
      <c r="I19" s="8">
        <v>2119.48</v>
      </c>
    </row>
    <row r="20" spans="2:23" ht="15" thickBot="1" x14ac:dyDescent="0.4">
      <c r="H20" s="49" t="s">
        <v>43</v>
      </c>
      <c r="I20" s="50">
        <f>'Feb Statement'!I20+'Feb Statement'!F7+'Feb Statement'!I8+'Feb Statement'!I16-'Feb Statement'!I12</f>
        <v>0</v>
      </c>
      <c r="J20" s="5"/>
    </row>
    <row r="21" spans="2:23" x14ac:dyDescent="0.35">
      <c r="B21" s="103" t="s">
        <v>17</v>
      </c>
      <c r="C21" s="104"/>
      <c r="E21" s="103" t="s">
        <v>22</v>
      </c>
      <c r="F21" s="104"/>
      <c r="I21" s="62">
        <f>SUM(I19:I20)</f>
        <v>2119.48</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110.48</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2119.48</v>
      </c>
      <c r="L29" s="12">
        <f>M29</f>
        <v>1.31</v>
      </c>
      <c r="M29" s="12">
        <f>ROUND(K29*$F$22,2)</f>
        <v>1.31</v>
      </c>
      <c r="N29" s="12">
        <f>I29+J29-G29</f>
        <v>0</v>
      </c>
      <c r="O29" s="12">
        <f>P29</f>
        <v>0</v>
      </c>
      <c r="P29" s="12">
        <f>N29*$F$22</f>
        <v>0</v>
      </c>
      <c r="Q29" s="12">
        <f>K29+N29</f>
        <v>2119.48</v>
      </c>
      <c r="R29" s="15"/>
      <c r="S29" s="15"/>
      <c r="T29" s="15">
        <f>$I$20+R29+S29-H29</f>
        <v>0</v>
      </c>
      <c r="U29" s="15">
        <f>V29</f>
        <v>0</v>
      </c>
      <c r="V29" s="16">
        <f>T29*$F$23</f>
        <v>0</v>
      </c>
      <c r="W29" s="16">
        <f>IF(T29=0,0,$I$20+R29+S29-H29)</f>
        <v>0</v>
      </c>
    </row>
    <row r="30" spans="2:23"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2120.79</v>
      </c>
      <c r="L30" s="13">
        <f>M30-M29</f>
        <v>1.31</v>
      </c>
      <c r="M30" s="13">
        <f>IF(K30=0,0,M29+ROUND(K30*$F$22,2))</f>
        <v>2.62</v>
      </c>
      <c r="N30" s="13">
        <f t="shared" ref="N30:N58" si="3">ROUND(N29+I30+J30+O29-G30,2)</f>
        <v>0</v>
      </c>
      <c r="O30" s="13">
        <f>P30-P29</f>
        <v>0</v>
      </c>
      <c r="P30" s="13">
        <f>ROUND(P29+N30*$F$22,2)</f>
        <v>0</v>
      </c>
      <c r="Q30" s="13">
        <f>ROUND(N30+K30-M29-P29,2)</f>
        <v>2119.48</v>
      </c>
      <c r="R30" s="17"/>
      <c r="S30" s="17"/>
      <c r="T30" s="17">
        <f>T29+U29+R30+S30-H30</f>
        <v>0</v>
      </c>
      <c r="U30" s="17">
        <f t="shared" ref="U30:U58" si="4">V30-V29</f>
        <v>0</v>
      </c>
      <c r="V30" s="18">
        <f>V29+T30*$F$23</f>
        <v>0</v>
      </c>
      <c r="W30" s="16">
        <f>IF(T30=0,0,W29+R30+S30-H30)</f>
        <v>0</v>
      </c>
    </row>
    <row r="31" spans="2:23"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2122.1</v>
      </c>
      <c r="L31" s="13">
        <f t="shared" ref="L31:L58" si="7">M31-M30</f>
        <v>1.31</v>
      </c>
      <c r="M31" s="13">
        <f t="shared" ref="M31:M59" si="8">IF(K31=0,0,M30+ROUND(K31*$F$22,2))</f>
        <v>3.93</v>
      </c>
      <c r="N31" s="13">
        <f t="shared" si="3"/>
        <v>0</v>
      </c>
      <c r="O31" s="13">
        <f t="shared" ref="O31:O58" si="9">P31-P30</f>
        <v>0</v>
      </c>
      <c r="P31" s="13">
        <f t="shared" ref="P31:P58" si="10">ROUND(P30+N31*$F$22,2)</f>
        <v>0</v>
      </c>
      <c r="Q31" s="13">
        <f t="shared" ref="Q31:Q58" si="11">ROUND(N31+K31-M30-P30,2)</f>
        <v>2119.48</v>
      </c>
      <c r="R31" s="17"/>
      <c r="S31" s="17"/>
      <c r="T31" s="17">
        <f>T30+U30+R31+S31-H31</f>
        <v>0</v>
      </c>
      <c r="U31" s="17">
        <f t="shared" si="4"/>
        <v>0</v>
      </c>
      <c r="V31" s="18">
        <f t="shared" ref="V31:V58" si="12">V30+T31*$F$23</f>
        <v>0</v>
      </c>
      <c r="W31" s="16">
        <f t="shared" ref="W31:W58" si="13">IF(T31=0,0,W30+R31+S31-H31)</f>
        <v>0</v>
      </c>
    </row>
    <row r="32" spans="2:23"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2123.41</v>
      </c>
      <c r="L32" s="13">
        <f t="shared" si="7"/>
        <v>1.31</v>
      </c>
      <c r="M32" s="13">
        <f t="shared" si="8"/>
        <v>5.24</v>
      </c>
      <c r="N32" s="13">
        <f t="shared" si="3"/>
        <v>0</v>
      </c>
      <c r="O32" s="13">
        <f t="shared" si="9"/>
        <v>0</v>
      </c>
      <c r="P32" s="13">
        <f t="shared" si="10"/>
        <v>0</v>
      </c>
      <c r="Q32" s="13">
        <f t="shared" si="11"/>
        <v>2119.48</v>
      </c>
      <c r="R32" s="17"/>
      <c r="S32" s="17"/>
      <c r="T32" s="17">
        <f>T31+U31+R32+S32-H32</f>
        <v>0</v>
      </c>
      <c r="U32" s="17">
        <f t="shared" si="4"/>
        <v>0</v>
      </c>
      <c r="V32" s="18">
        <f t="shared" si="12"/>
        <v>0</v>
      </c>
      <c r="W32" s="16">
        <f t="shared" si="13"/>
        <v>0</v>
      </c>
    </row>
    <row r="33" spans="2:23"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2124.7199999999998</v>
      </c>
      <c r="L33" s="13">
        <f t="shared" si="7"/>
        <v>1.3100000000000005</v>
      </c>
      <c r="M33" s="13">
        <f t="shared" si="8"/>
        <v>6.5500000000000007</v>
      </c>
      <c r="N33" s="13">
        <f t="shared" si="3"/>
        <v>0</v>
      </c>
      <c r="O33" s="13">
        <f t="shared" si="9"/>
        <v>0</v>
      </c>
      <c r="P33" s="13">
        <f t="shared" si="10"/>
        <v>0</v>
      </c>
      <c r="Q33" s="13">
        <f t="shared" si="11"/>
        <v>2119.48</v>
      </c>
      <c r="R33" s="17"/>
      <c r="S33" s="17"/>
      <c r="T33" s="17">
        <f t="shared" ref="T33:T58" si="14">T32+U32+R33+S33-H33</f>
        <v>0</v>
      </c>
      <c r="U33" s="17">
        <f t="shared" si="4"/>
        <v>0</v>
      </c>
      <c r="V33" s="18">
        <f t="shared" si="12"/>
        <v>0</v>
      </c>
      <c r="W33" s="16">
        <f t="shared" si="13"/>
        <v>0</v>
      </c>
    </row>
    <row r="34" spans="2:23"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2126.0300000000002</v>
      </c>
      <c r="L34" s="13">
        <f t="shared" si="7"/>
        <v>1.3100000000000005</v>
      </c>
      <c r="M34" s="13">
        <f t="shared" si="8"/>
        <v>7.8600000000000012</v>
      </c>
      <c r="N34" s="13">
        <f t="shared" si="3"/>
        <v>0</v>
      </c>
      <c r="O34" s="13">
        <f t="shared" si="9"/>
        <v>0</v>
      </c>
      <c r="P34" s="13">
        <f t="shared" si="10"/>
        <v>0</v>
      </c>
      <c r="Q34" s="13">
        <f t="shared" si="11"/>
        <v>2119.48</v>
      </c>
      <c r="R34" s="17"/>
      <c r="S34" s="17"/>
      <c r="T34" s="17">
        <f t="shared" si="14"/>
        <v>0</v>
      </c>
      <c r="U34" s="17">
        <f t="shared" si="4"/>
        <v>0</v>
      </c>
      <c r="V34" s="18">
        <f t="shared" si="12"/>
        <v>0</v>
      </c>
      <c r="W34" s="16">
        <f t="shared" si="13"/>
        <v>0</v>
      </c>
    </row>
    <row r="35" spans="2:23"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2127.34</v>
      </c>
      <c r="L35" s="13">
        <f t="shared" si="7"/>
        <v>1.3100000000000005</v>
      </c>
      <c r="M35" s="13">
        <f t="shared" si="8"/>
        <v>9.1700000000000017</v>
      </c>
      <c r="N35" s="13">
        <f t="shared" si="3"/>
        <v>0</v>
      </c>
      <c r="O35" s="13">
        <f t="shared" si="9"/>
        <v>0</v>
      </c>
      <c r="P35" s="13">
        <f t="shared" si="10"/>
        <v>0</v>
      </c>
      <c r="Q35" s="13">
        <f t="shared" si="11"/>
        <v>2119.48</v>
      </c>
      <c r="R35" s="17"/>
      <c r="S35" s="17"/>
      <c r="T35" s="17">
        <f>T34+U34+R35+S35-H35</f>
        <v>0</v>
      </c>
      <c r="U35" s="17">
        <f t="shared" si="4"/>
        <v>0</v>
      </c>
      <c r="V35" s="18">
        <f t="shared" si="12"/>
        <v>0</v>
      </c>
      <c r="W35" s="16">
        <f t="shared" si="13"/>
        <v>0</v>
      </c>
    </row>
    <row r="36" spans="2:23"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2128.65</v>
      </c>
      <c r="L36" s="13">
        <f t="shared" si="7"/>
        <v>1.3100000000000005</v>
      </c>
      <c r="M36" s="13">
        <f t="shared" si="8"/>
        <v>10.480000000000002</v>
      </c>
      <c r="N36" s="13">
        <f t="shared" si="3"/>
        <v>0</v>
      </c>
      <c r="O36" s="13">
        <f t="shared" si="9"/>
        <v>0</v>
      </c>
      <c r="P36" s="13">
        <f t="shared" si="10"/>
        <v>0</v>
      </c>
      <c r="Q36" s="13">
        <f t="shared" si="11"/>
        <v>2119.48</v>
      </c>
      <c r="R36" s="17"/>
      <c r="S36" s="17"/>
      <c r="T36" s="17">
        <f t="shared" si="14"/>
        <v>0</v>
      </c>
      <c r="U36" s="17">
        <f t="shared" si="4"/>
        <v>0</v>
      </c>
      <c r="V36" s="18">
        <f t="shared" si="12"/>
        <v>0</v>
      </c>
      <c r="W36" s="16">
        <f t="shared" si="13"/>
        <v>0</v>
      </c>
    </row>
    <row r="37" spans="2:23"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2129.96</v>
      </c>
      <c r="L37" s="13">
        <f t="shared" si="7"/>
        <v>1.3100000000000005</v>
      </c>
      <c r="M37" s="13">
        <f t="shared" si="8"/>
        <v>11.790000000000003</v>
      </c>
      <c r="N37" s="13">
        <f t="shared" si="3"/>
        <v>0</v>
      </c>
      <c r="O37" s="13">
        <f t="shared" si="9"/>
        <v>0</v>
      </c>
      <c r="P37" s="13">
        <f t="shared" si="10"/>
        <v>0</v>
      </c>
      <c r="Q37" s="13">
        <f t="shared" si="11"/>
        <v>2119.48</v>
      </c>
      <c r="R37" s="17"/>
      <c r="S37" s="17"/>
      <c r="T37" s="17">
        <f t="shared" si="14"/>
        <v>0</v>
      </c>
      <c r="U37" s="17">
        <f t="shared" si="4"/>
        <v>0</v>
      </c>
      <c r="V37" s="18">
        <f t="shared" si="12"/>
        <v>0</v>
      </c>
      <c r="W37" s="16">
        <f t="shared" si="13"/>
        <v>0</v>
      </c>
    </row>
    <row r="38" spans="2:23"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2131.27</v>
      </c>
      <c r="L38" s="13">
        <f t="shared" si="7"/>
        <v>1.3100000000000005</v>
      </c>
      <c r="M38" s="13">
        <f t="shared" si="8"/>
        <v>13.100000000000003</v>
      </c>
      <c r="N38" s="13">
        <f t="shared" si="3"/>
        <v>0</v>
      </c>
      <c r="O38" s="13">
        <f t="shared" si="9"/>
        <v>0</v>
      </c>
      <c r="P38" s="13">
        <f t="shared" si="10"/>
        <v>0</v>
      </c>
      <c r="Q38" s="13">
        <f t="shared" si="11"/>
        <v>2119.48</v>
      </c>
      <c r="R38" s="17"/>
      <c r="S38" s="17"/>
      <c r="T38" s="17">
        <f t="shared" si="14"/>
        <v>0</v>
      </c>
      <c r="U38" s="17">
        <f t="shared" si="4"/>
        <v>0</v>
      </c>
      <c r="V38" s="18">
        <f t="shared" si="12"/>
        <v>0</v>
      </c>
      <c r="W38" s="16">
        <f t="shared" si="13"/>
        <v>0</v>
      </c>
    </row>
    <row r="39" spans="2:23"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2132.58</v>
      </c>
      <c r="L39" s="13">
        <f t="shared" si="7"/>
        <v>1.3100000000000005</v>
      </c>
      <c r="M39" s="13">
        <f t="shared" si="8"/>
        <v>14.410000000000004</v>
      </c>
      <c r="N39" s="13">
        <f t="shared" si="3"/>
        <v>0</v>
      </c>
      <c r="O39" s="13">
        <f>P39-P38</f>
        <v>0</v>
      </c>
      <c r="P39" s="13">
        <f t="shared" si="10"/>
        <v>0</v>
      </c>
      <c r="Q39" s="13">
        <f t="shared" si="11"/>
        <v>2119.48</v>
      </c>
      <c r="R39" s="17"/>
      <c r="S39" s="17"/>
      <c r="T39" s="17">
        <f t="shared" si="14"/>
        <v>0</v>
      </c>
      <c r="U39" s="17">
        <f t="shared" si="4"/>
        <v>0</v>
      </c>
      <c r="V39" s="18">
        <f t="shared" si="12"/>
        <v>0</v>
      </c>
      <c r="W39" s="16">
        <f t="shared" si="13"/>
        <v>0</v>
      </c>
    </row>
    <row r="40" spans="2:23"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2133.89</v>
      </c>
      <c r="L40" s="13">
        <f t="shared" si="7"/>
        <v>1.3100000000000005</v>
      </c>
      <c r="M40" s="13">
        <f t="shared" si="8"/>
        <v>15.720000000000004</v>
      </c>
      <c r="N40" s="13">
        <f t="shared" si="3"/>
        <v>0</v>
      </c>
      <c r="O40" s="13">
        <f t="shared" si="9"/>
        <v>0</v>
      </c>
      <c r="P40" s="13">
        <f t="shared" si="10"/>
        <v>0</v>
      </c>
      <c r="Q40" s="13">
        <f t="shared" si="11"/>
        <v>2119.48</v>
      </c>
      <c r="R40" s="17"/>
      <c r="S40" s="17"/>
      <c r="T40" s="17">
        <f t="shared" si="14"/>
        <v>0</v>
      </c>
      <c r="U40" s="17">
        <f t="shared" si="4"/>
        <v>0</v>
      </c>
      <c r="V40" s="18">
        <f t="shared" si="12"/>
        <v>0</v>
      </c>
      <c r="W40" s="16">
        <f t="shared" si="13"/>
        <v>0</v>
      </c>
    </row>
    <row r="41" spans="2:23"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2135.1999999999998</v>
      </c>
      <c r="L41" s="13">
        <f t="shared" si="7"/>
        <v>1.3199999999999985</v>
      </c>
      <c r="M41" s="13">
        <f t="shared" si="8"/>
        <v>17.040000000000003</v>
      </c>
      <c r="N41" s="13">
        <f t="shared" si="3"/>
        <v>0</v>
      </c>
      <c r="O41" s="13">
        <f t="shared" si="9"/>
        <v>0</v>
      </c>
      <c r="P41" s="13">
        <f t="shared" si="10"/>
        <v>0</v>
      </c>
      <c r="Q41" s="13">
        <f t="shared" si="11"/>
        <v>2119.48</v>
      </c>
      <c r="R41" s="17"/>
      <c r="S41" s="17"/>
      <c r="T41" s="17">
        <f t="shared" si="14"/>
        <v>0</v>
      </c>
      <c r="U41" s="17">
        <f t="shared" si="4"/>
        <v>0</v>
      </c>
      <c r="V41" s="18">
        <f t="shared" si="12"/>
        <v>0</v>
      </c>
      <c r="W41" s="16">
        <f t="shared" si="13"/>
        <v>0</v>
      </c>
    </row>
    <row r="42" spans="2:23"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2136.52</v>
      </c>
      <c r="L42" s="13">
        <f t="shared" si="7"/>
        <v>1.3200000000000003</v>
      </c>
      <c r="M42" s="13">
        <f t="shared" si="8"/>
        <v>18.360000000000003</v>
      </c>
      <c r="N42" s="13">
        <f t="shared" si="3"/>
        <v>0</v>
      </c>
      <c r="O42" s="13">
        <f t="shared" si="9"/>
        <v>0</v>
      </c>
      <c r="P42" s="13">
        <f t="shared" si="10"/>
        <v>0</v>
      </c>
      <c r="Q42" s="13">
        <f t="shared" si="11"/>
        <v>2119.48</v>
      </c>
      <c r="R42" s="17"/>
      <c r="S42" s="17"/>
      <c r="T42" s="17">
        <f>T41+U41+R42+S42-H42</f>
        <v>0</v>
      </c>
      <c r="U42" s="17">
        <f>V42-V41</f>
        <v>0</v>
      </c>
      <c r="V42" s="18">
        <f t="shared" si="12"/>
        <v>0</v>
      </c>
      <c r="W42" s="16">
        <f t="shared" si="13"/>
        <v>0</v>
      </c>
    </row>
    <row r="43" spans="2:23"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2137.84</v>
      </c>
      <c r="L43" s="87">
        <f t="shared" si="7"/>
        <v>1.3200000000000003</v>
      </c>
      <c r="M43" s="87">
        <f t="shared" si="8"/>
        <v>19.680000000000003</v>
      </c>
      <c r="N43" s="87">
        <f>ROUND(N42+I43+J43+O42-G43,2)</f>
        <v>0</v>
      </c>
      <c r="O43" s="87">
        <f t="shared" si="9"/>
        <v>0</v>
      </c>
      <c r="P43" s="87">
        <f t="shared" si="10"/>
        <v>0</v>
      </c>
      <c r="Q43" s="87">
        <f t="shared" si="11"/>
        <v>2119.48</v>
      </c>
      <c r="R43" s="87"/>
      <c r="S43" s="87"/>
      <c r="T43" s="87">
        <f>T42+U42+R43+S43-H43</f>
        <v>0</v>
      </c>
      <c r="U43" s="87">
        <f t="shared" si="4"/>
        <v>0</v>
      </c>
      <c r="V43" s="88">
        <f t="shared" si="12"/>
        <v>0</v>
      </c>
      <c r="W43" s="89">
        <f t="shared" si="13"/>
        <v>0</v>
      </c>
    </row>
    <row r="44" spans="2:23"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2139.16</v>
      </c>
      <c r="L44" s="13">
        <f t="shared" si="7"/>
        <v>1.3200000000000003</v>
      </c>
      <c r="M44" s="13">
        <f t="shared" si="8"/>
        <v>21.000000000000004</v>
      </c>
      <c r="N44" s="13">
        <f t="shared" si="3"/>
        <v>0</v>
      </c>
      <c r="O44" s="13">
        <f t="shared" si="9"/>
        <v>0</v>
      </c>
      <c r="P44" s="13">
        <f t="shared" si="10"/>
        <v>0</v>
      </c>
      <c r="Q44" s="13">
        <f t="shared" si="11"/>
        <v>2119.48</v>
      </c>
      <c r="R44" s="17"/>
      <c r="S44" s="17"/>
      <c r="T44" s="17">
        <f t="shared" si="14"/>
        <v>0</v>
      </c>
      <c r="U44" s="17">
        <f t="shared" si="4"/>
        <v>0</v>
      </c>
      <c r="V44" s="18">
        <f t="shared" si="12"/>
        <v>0</v>
      </c>
      <c r="W44" s="16">
        <f t="shared" si="13"/>
        <v>0</v>
      </c>
    </row>
    <row r="45" spans="2:23"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2140.48</v>
      </c>
      <c r="L45" s="13">
        <f t="shared" si="7"/>
        <v>1.3200000000000003</v>
      </c>
      <c r="M45" s="13">
        <f t="shared" si="8"/>
        <v>22.320000000000004</v>
      </c>
      <c r="N45" s="13">
        <f t="shared" si="3"/>
        <v>0</v>
      </c>
      <c r="O45" s="13">
        <f t="shared" si="9"/>
        <v>0</v>
      </c>
      <c r="P45" s="13">
        <f t="shared" si="10"/>
        <v>0</v>
      </c>
      <c r="Q45" s="13">
        <f t="shared" si="11"/>
        <v>2119.48</v>
      </c>
      <c r="R45" s="17"/>
      <c r="S45" s="17"/>
      <c r="T45" s="17">
        <f t="shared" si="14"/>
        <v>0</v>
      </c>
      <c r="U45" s="17">
        <f t="shared" si="4"/>
        <v>0</v>
      </c>
      <c r="V45" s="18">
        <f t="shared" si="12"/>
        <v>0</v>
      </c>
      <c r="W45" s="16">
        <f>IF(T45=0,0,W44+R45+S45-H45)</f>
        <v>0</v>
      </c>
    </row>
    <row r="46" spans="2:23"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2141.8000000000002</v>
      </c>
      <c r="L46" s="13">
        <f t="shared" si="7"/>
        <v>1.3200000000000003</v>
      </c>
      <c r="M46" s="13">
        <f t="shared" si="8"/>
        <v>23.640000000000004</v>
      </c>
      <c r="N46" s="13">
        <f t="shared" si="3"/>
        <v>0</v>
      </c>
      <c r="O46" s="13">
        <f t="shared" si="9"/>
        <v>0</v>
      </c>
      <c r="P46" s="13">
        <f t="shared" si="10"/>
        <v>0</v>
      </c>
      <c r="Q46" s="13">
        <f t="shared" si="11"/>
        <v>2119.48</v>
      </c>
      <c r="R46" s="17"/>
      <c r="S46" s="17"/>
      <c r="T46" s="17">
        <f t="shared" si="14"/>
        <v>0</v>
      </c>
      <c r="U46" s="17">
        <f t="shared" si="4"/>
        <v>0</v>
      </c>
      <c r="V46" s="18">
        <f t="shared" si="12"/>
        <v>0</v>
      </c>
      <c r="W46" s="16">
        <f>IF(T46=0,0,W45+R46+S46-H46)</f>
        <v>0</v>
      </c>
    </row>
    <row r="47" spans="2:23"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2143.12</v>
      </c>
      <c r="L47" s="87">
        <f t="shared" si="7"/>
        <v>1.3200000000000003</v>
      </c>
      <c r="M47" s="13">
        <f t="shared" si="8"/>
        <v>24.960000000000004</v>
      </c>
      <c r="N47" s="87">
        <f t="shared" si="3"/>
        <v>0</v>
      </c>
      <c r="O47" s="87">
        <f t="shared" si="9"/>
        <v>0</v>
      </c>
      <c r="P47" s="87">
        <f t="shared" si="10"/>
        <v>0</v>
      </c>
      <c r="Q47" s="87">
        <f t="shared" si="11"/>
        <v>2119.48</v>
      </c>
      <c r="R47" s="87"/>
      <c r="S47" s="87"/>
      <c r="T47" s="87">
        <f t="shared" si="14"/>
        <v>0</v>
      </c>
      <c r="U47" s="87">
        <f t="shared" si="4"/>
        <v>0</v>
      </c>
      <c r="V47" s="88">
        <f t="shared" si="12"/>
        <v>0</v>
      </c>
      <c r="W47" s="89">
        <f t="shared" si="13"/>
        <v>0</v>
      </c>
    </row>
    <row r="48" spans="2:23" s="90" customFormat="1" x14ac:dyDescent="0.35">
      <c r="B48" s="84">
        <f t="shared" si="0"/>
        <v>45065</v>
      </c>
      <c r="C48" s="85">
        <f t="shared" si="1"/>
        <v>45066</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2144.44</v>
      </c>
      <c r="L48" s="87">
        <f t="shared" si="7"/>
        <v>1.3200000000000003</v>
      </c>
      <c r="M48" s="87">
        <f t="shared" si="8"/>
        <v>26.280000000000005</v>
      </c>
      <c r="N48" s="87">
        <f t="shared" si="3"/>
        <v>0</v>
      </c>
      <c r="O48" s="87">
        <f t="shared" si="9"/>
        <v>0</v>
      </c>
      <c r="P48" s="87">
        <f t="shared" si="10"/>
        <v>0</v>
      </c>
      <c r="Q48" s="87">
        <f t="shared" si="11"/>
        <v>2119.48</v>
      </c>
      <c r="R48" s="87"/>
      <c r="S48" s="87"/>
      <c r="T48" s="87">
        <f t="shared" si="14"/>
        <v>0</v>
      </c>
      <c r="U48" s="87">
        <f t="shared" si="4"/>
        <v>0</v>
      </c>
      <c r="V48" s="88">
        <f t="shared" si="12"/>
        <v>0</v>
      </c>
      <c r="W48" s="89">
        <f t="shared" si="13"/>
        <v>0</v>
      </c>
    </row>
    <row r="49" spans="2:23"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2145.7600000000002</v>
      </c>
      <c r="L49" s="13">
        <f t="shared" si="7"/>
        <v>1.3200000000000003</v>
      </c>
      <c r="M49" s="13">
        <f t="shared" si="8"/>
        <v>27.600000000000005</v>
      </c>
      <c r="N49" s="13">
        <f t="shared" si="3"/>
        <v>0</v>
      </c>
      <c r="O49" s="13">
        <f t="shared" si="9"/>
        <v>0</v>
      </c>
      <c r="P49" s="13">
        <f t="shared" si="10"/>
        <v>0</v>
      </c>
      <c r="Q49" s="13">
        <f t="shared" si="11"/>
        <v>2119.48</v>
      </c>
      <c r="R49" s="17"/>
      <c r="S49" s="17"/>
      <c r="T49" s="17">
        <f t="shared" si="14"/>
        <v>0</v>
      </c>
      <c r="U49" s="17">
        <f t="shared" si="4"/>
        <v>0</v>
      </c>
      <c r="V49" s="18">
        <f t="shared" si="12"/>
        <v>0</v>
      </c>
      <c r="W49" s="16">
        <f t="shared" si="13"/>
        <v>0</v>
      </c>
    </row>
    <row r="50" spans="2:23"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2147.08</v>
      </c>
      <c r="L50" s="13">
        <f t="shared" si="7"/>
        <v>1.3200000000000003</v>
      </c>
      <c r="M50" s="13">
        <f t="shared" si="8"/>
        <v>28.920000000000005</v>
      </c>
      <c r="N50" s="13">
        <f t="shared" si="3"/>
        <v>0</v>
      </c>
      <c r="O50" s="13">
        <f t="shared" si="9"/>
        <v>0</v>
      </c>
      <c r="P50" s="13">
        <f t="shared" si="10"/>
        <v>0</v>
      </c>
      <c r="Q50" s="13">
        <f t="shared" si="11"/>
        <v>2119.48</v>
      </c>
      <c r="R50" s="17"/>
      <c r="S50" s="17"/>
      <c r="T50" s="17">
        <f t="shared" si="14"/>
        <v>0</v>
      </c>
      <c r="U50" s="17">
        <f t="shared" si="4"/>
        <v>0</v>
      </c>
      <c r="V50" s="18">
        <f t="shared" si="12"/>
        <v>0</v>
      </c>
      <c r="W50" s="16">
        <f t="shared" si="13"/>
        <v>0</v>
      </c>
    </row>
    <row r="51" spans="2:23" s="90" customFormat="1" x14ac:dyDescent="0.35">
      <c r="B51" s="84">
        <f t="shared" si="0"/>
        <v>45068</v>
      </c>
      <c r="C51" s="85">
        <f t="shared" si="1"/>
        <v>45069</v>
      </c>
      <c r="D51" s="86"/>
      <c r="E51" s="87">
        <f>IF(SUM(E$29:E50)=$I$24,0,IF((D51&lt;=$I$24-SUM(E$29:E50)),D51,$I$24-SUM(E$29:E50)))</f>
        <v>0</v>
      </c>
      <c r="F51" s="87">
        <f>IF($I$19&gt;0,IF(SUM(F$29:F50)&lt;$I$19,IF((D51-E51)&gt;0,IF($I$20=0,IF($I$19-SUM(F$29:F50)&gt;D51,D51,$I$19-SUM(F$29:F50)),E51),D51),0)+IF($I$20&gt;0,IF(D51-$I$20-SUM($H$29:H50)-IF($I$19=0,0,E51)&gt;0,IF(D51-$I$20-SUM($H$29:H50)-IF($I$19=0,0,E51)&gt;$I$19,$I$19-SUM(F$29:F50)-E51,D51-$I$20-SUM($H$29:H50)-IF($I$19=0,0,E51)),0),0),0)</f>
        <v>0</v>
      </c>
      <c r="G51" s="87">
        <f t="shared" si="2"/>
        <v>0</v>
      </c>
      <c r="H51" s="87">
        <f t="shared" si="5"/>
        <v>0</v>
      </c>
      <c r="I51" s="87"/>
      <c r="J51" s="87"/>
      <c r="K51" s="87">
        <f t="shared" si="6"/>
        <v>2148.4</v>
      </c>
      <c r="L51" s="87">
        <f t="shared" si="7"/>
        <v>1.3200000000000003</v>
      </c>
      <c r="M51" s="87">
        <f t="shared" si="8"/>
        <v>30.240000000000006</v>
      </c>
      <c r="N51" s="87">
        <f t="shared" si="3"/>
        <v>0</v>
      </c>
      <c r="O51" s="87">
        <f t="shared" si="9"/>
        <v>0</v>
      </c>
      <c r="P51" s="87">
        <f t="shared" si="10"/>
        <v>0</v>
      </c>
      <c r="Q51" s="87">
        <f t="shared" si="11"/>
        <v>2119.48</v>
      </c>
      <c r="R51" s="87"/>
      <c r="S51" s="87"/>
      <c r="T51" s="87">
        <f t="shared" si="14"/>
        <v>0</v>
      </c>
      <c r="U51" s="87">
        <f t="shared" si="4"/>
        <v>0</v>
      </c>
      <c r="V51" s="88">
        <f t="shared" si="12"/>
        <v>0</v>
      </c>
      <c r="W51" s="89">
        <f t="shared" si="13"/>
        <v>0</v>
      </c>
    </row>
    <row r="52" spans="2:23"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2149.7199999999998</v>
      </c>
      <c r="L52" s="13">
        <f t="shared" si="7"/>
        <v>1.3200000000000003</v>
      </c>
      <c r="M52" s="13">
        <f t="shared" si="8"/>
        <v>31.560000000000006</v>
      </c>
      <c r="N52" s="13">
        <f t="shared" si="3"/>
        <v>0</v>
      </c>
      <c r="O52" s="13">
        <f t="shared" si="9"/>
        <v>0</v>
      </c>
      <c r="P52" s="13">
        <f t="shared" si="10"/>
        <v>0</v>
      </c>
      <c r="Q52" s="13">
        <f t="shared" si="11"/>
        <v>2119.48</v>
      </c>
      <c r="R52" s="17"/>
      <c r="S52" s="17"/>
      <c r="T52" s="17">
        <f t="shared" si="14"/>
        <v>0</v>
      </c>
      <c r="U52" s="17">
        <f t="shared" si="4"/>
        <v>0</v>
      </c>
      <c r="V52" s="18">
        <f t="shared" si="12"/>
        <v>0</v>
      </c>
      <c r="W52" s="16">
        <f t="shared" si="13"/>
        <v>0</v>
      </c>
    </row>
    <row r="53" spans="2:23"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2151.04</v>
      </c>
      <c r="L53" s="87">
        <f t="shared" si="7"/>
        <v>1.3300000000000018</v>
      </c>
      <c r="M53" s="87">
        <f t="shared" si="8"/>
        <v>32.890000000000008</v>
      </c>
      <c r="N53" s="87">
        <f t="shared" si="3"/>
        <v>0</v>
      </c>
      <c r="O53" s="87">
        <f t="shared" si="9"/>
        <v>0</v>
      </c>
      <c r="P53" s="87">
        <f t="shared" si="10"/>
        <v>0</v>
      </c>
      <c r="Q53" s="87">
        <f t="shared" si="11"/>
        <v>2119.48</v>
      </c>
      <c r="R53" s="87"/>
      <c r="S53" s="87"/>
      <c r="T53" s="87">
        <f t="shared" si="14"/>
        <v>0</v>
      </c>
      <c r="U53" s="87">
        <f t="shared" si="4"/>
        <v>0</v>
      </c>
      <c r="V53" s="88">
        <f t="shared" si="12"/>
        <v>0</v>
      </c>
      <c r="W53" s="89">
        <f t="shared" si="13"/>
        <v>0</v>
      </c>
    </row>
    <row r="54" spans="2:23"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2152.37</v>
      </c>
      <c r="L54" s="13">
        <f t="shared" si="7"/>
        <v>1.3299999999999983</v>
      </c>
      <c r="M54" s="13">
        <f t="shared" si="8"/>
        <v>34.220000000000006</v>
      </c>
      <c r="N54" s="13">
        <f t="shared" si="3"/>
        <v>0</v>
      </c>
      <c r="O54" s="13">
        <f t="shared" si="9"/>
        <v>0</v>
      </c>
      <c r="P54" s="13">
        <f t="shared" si="10"/>
        <v>0</v>
      </c>
      <c r="Q54" s="13">
        <f t="shared" si="11"/>
        <v>2119.48</v>
      </c>
      <c r="R54" s="17"/>
      <c r="S54" s="17"/>
      <c r="T54" s="17">
        <f t="shared" si="14"/>
        <v>0</v>
      </c>
      <c r="U54" s="17">
        <f t="shared" si="4"/>
        <v>0</v>
      </c>
      <c r="V54" s="18">
        <f t="shared" si="12"/>
        <v>0</v>
      </c>
      <c r="W54" s="16">
        <f t="shared" si="13"/>
        <v>0</v>
      </c>
    </row>
    <row r="55" spans="2:23" s="99" customFormat="1" x14ac:dyDescent="0.35">
      <c r="B55" s="93">
        <f t="shared" si="0"/>
        <v>45072</v>
      </c>
      <c r="C55" s="94">
        <f t="shared" si="1"/>
        <v>45073</v>
      </c>
      <c r="D55" s="95"/>
      <c r="E55" s="96">
        <f>IF(SUM(E$29:E54)=$I$24,0,IF((D55&lt;=$I$24-SUM(E$29:E54)),D55,$I$24-SUM(E$29:E54)))</f>
        <v>0</v>
      </c>
      <c r="F55" s="96">
        <f>IF($I$19&gt;0,IF(SUM(F$29:F54)&lt;$I$19,IF((D55-E55)&gt;0,IF($I$20=0,IF($I$19-SUM(F$29:F54)&gt;D55,D55,$I$19-SUM(F$29:F54)),E55),D55),0)+IF($I$20&gt;0,IF(D55-$I$20-SUM($H$29:H54)-IF($I$19=0,0,E55)&gt;0,IF(D55-$I$20-SUM($H$29:H54)-IF($I$19=0,0,E55)&gt;$I$19,$I$19-SUM(F$29:F54)-E55,D55-$I$20-SUM($H$29:H54)-IF($I$19=0,0,E55)),0),0),0)</f>
        <v>0</v>
      </c>
      <c r="G55" s="96">
        <f t="shared" si="2"/>
        <v>0</v>
      </c>
      <c r="H55" s="96">
        <f t="shared" si="5"/>
        <v>0</v>
      </c>
      <c r="I55" s="96"/>
      <c r="J55" s="96"/>
      <c r="K55" s="96">
        <f t="shared" si="6"/>
        <v>2153.6999999999998</v>
      </c>
      <c r="L55" s="96">
        <f t="shared" si="7"/>
        <v>1.3299999999999983</v>
      </c>
      <c r="M55" s="96">
        <f t="shared" si="8"/>
        <v>35.550000000000004</v>
      </c>
      <c r="N55" s="96">
        <f t="shared" si="3"/>
        <v>0</v>
      </c>
      <c r="O55" s="96">
        <f t="shared" si="9"/>
        <v>0</v>
      </c>
      <c r="P55" s="96">
        <f t="shared" si="10"/>
        <v>0</v>
      </c>
      <c r="Q55" s="96">
        <f t="shared" si="11"/>
        <v>2119.48</v>
      </c>
      <c r="R55" s="96"/>
      <c r="S55" s="96"/>
      <c r="T55" s="96">
        <f t="shared" si="14"/>
        <v>0</v>
      </c>
      <c r="U55" s="96">
        <f t="shared" si="4"/>
        <v>0</v>
      </c>
      <c r="V55" s="97">
        <f t="shared" si="12"/>
        <v>0</v>
      </c>
      <c r="W55" s="98">
        <f t="shared" si="13"/>
        <v>0</v>
      </c>
    </row>
    <row r="56" spans="2:23" s="90" customFormat="1" x14ac:dyDescent="0.35">
      <c r="B56" s="84">
        <f t="shared" si="0"/>
        <v>45073</v>
      </c>
      <c r="C56" s="85">
        <f t="shared" si="1"/>
        <v>45074</v>
      </c>
      <c r="D56" s="86">
        <v>2119.48</v>
      </c>
      <c r="E56" s="92">
        <f>IF(SUM(E$29:E55)=$I$24,0,IF((D56&lt;=$I$24-SUM(E$29:E55)),D56,$I$24-SUM(E$29:E55)))</f>
        <v>110.48</v>
      </c>
      <c r="F56" s="87">
        <f>IF($I$19&gt;0,IF(SUM(F$29:F55)&lt;$I$19,IF((D56-E56)&gt;0,IF($I$20=0,IF($I$19-SUM(F$29:F55)&gt;D56,D56,$I$19-SUM(F$29:F55)),E56),D56),0)+IF($I$20&gt;0,IF(D56-$I$20-SUM($H$29:H55)-IF($I$19=0,0,E56)&gt;0,IF(D56-$I$20-SUM($H$29:H55)-IF($I$19=0,0,E56)&gt;$I$19,$I$19-SUM(F$29:F55)-E56,D56-$I$20-SUM($H$29:H55)-IF($I$19=0,0,E56)),0),0),0)</f>
        <v>2119.48</v>
      </c>
      <c r="G56" s="87">
        <f t="shared" si="2"/>
        <v>0</v>
      </c>
      <c r="H56" s="87">
        <f t="shared" si="5"/>
        <v>0</v>
      </c>
      <c r="I56" s="87"/>
      <c r="J56" s="87"/>
      <c r="K56" s="87">
        <f t="shared" si="6"/>
        <v>35.549999999999997</v>
      </c>
      <c r="L56" s="87">
        <f t="shared" si="7"/>
        <v>2.0000000000003126E-2</v>
      </c>
      <c r="M56" s="87">
        <f t="shared" si="8"/>
        <v>35.570000000000007</v>
      </c>
      <c r="N56" s="87">
        <f t="shared" si="3"/>
        <v>0</v>
      </c>
      <c r="O56" s="87">
        <f t="shared" si="9"/>
        <v>0</v>
      </c>
      <c r="P56" s="87">
        <f t="shared" si="10"/>
        <v>0</v>
      </c>
      <c r="Q56" s="87">
        <f t="shared" si="11"/>
        <v>0</v>
      </c>
      <c r="R56" s="87"/>
      <c r="S56" s="87"/>
      <c r="T56" s="87">
        <f t="shared" si="14"/>
        <v>0</v>
      </c>
      <c r="U56" s="87">
        <f t="shared" si="4"/>
        <v>0</v>
      </c>
      <c r="V56" s="88">
        <f t="shared" si="12"/>
        <v>0</v>
      </c>
      <c r="W56" s="89">
        <f t="shared" si="13"/>
        <v>0</v>
      </c>
    </row>
    <row r="57" spans="2:23"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35.57</v>
      </c>
      <c r="L57" s="13">
        <f t="shared" si="7"/>
        <v>2.0000000000003126E-2</v>
      </c>
      <c r="M57" s="13">
        <f t="shared" si="8"/>
        <v>35.590000000000011</v>
      </c>
      <c r="N57" s="13">
        <f t="shared" si="3"/>
        <v>0</v>
      </c>
      <c r="O57" s="13">
        <f t="shared" si="9"/>
        <v>0</v>
      </c>
      <c r="P57" s="13">
        <f t="shared" si="10"/>
        <v>0</v>
      </c>
      <c r="Q57" s="13">
        <f t="shared" si="11"/>
        <v>0</v>
      </c>
      <c r="R57" s="17"/>
      <c r="S57" s="17"/>
      <c r="T57" s="17">
        <f t="shared" si="14"/>
        <v>0</v>
      </c>
      <c r="U57" s="17">
        <f t="shared" si="4"/>
        <v>0</v>
      </c>
      <c r="V57" s="18">
        <f t="shared" si="12"/>
        <v>0</v>
      </c>
      <c r="W57" s="16">
        <f t="shared" si="13"/>
        <v>0</v>
      </c>
    </row>
    <row r="58" spans="2:23"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35.590000000000003</v>
      </c>
      <c r="L58" s="13">
        <f t="shared" si="7"/>
        <v>2.0000000000003126E-2</v>
      </c>
      <c r="M58" s="13">
        <f t="shared" si="8"/>
        <v>35.610000000000014</v>
      </c>
      <c r="N58" s="13">
        <f t="shared" si="3"/>
        <v>0</v>
      </c>
      <c r="O58" s="13">
        <f t="shared" si="9"/>
        <v>0</v>
      </c>
      <c r="P58" s="13">
        <f t="shared" si="10"/>
        <v>0</v>
      </c>
      <c r="Q58" s="13">
        <f t="shared" si="11"/>
        <v>0</v>
      </c>
      <c r="R58" s="17"/>
      <c r="S58" s="17"/>
      <c r="T58" s="17">
        <f t="shared" si="14"/>
        <v>0</v>
      </c>
      <c r="U58" s="17">
        <f t="shared" si="4"/>
        <v>0</v>
      </c>
      <c r="V58" s="18">
        <f t="shared" si="12"/>
        <v>0</v>
      </c>
      <c r="W58" s="16">
        <f t="shared" si="13"/>
        <v>0</v>
      </c>
    </row>
    <row r="59" spans="2:23"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c r="K59" s="13">
        <f t="shared" si="6"/>
        <v>35.61</v>
      </c>
      <c r="L59" s="13">
        <f t="shared" ref="L59" si="18">M59-M58</f>
        <v>2.0000000000003126E-2</v>
      </c>
      <c r="M59" s="13">
        <f t="shared" si="8"/>
        <v>35.630000000000017</v>
      </c>
      <c r="N59" s="13">
        <f t="shared" ref="N59" si="19">ROUND(N58+I59+J59+O58-G59,2)</f>
        <v>0</v>
      </c>
      <c r="O59" s="13">
        <f t="shared" ref="O59" si="20">P59-P58</f>
        <v>0</v>
      </c>
      <c r="P59" s="13">
        <f>ROUND(P58+N59*$F$22,2)</f>
        <v>0</v>
      </c>
      <c r="Q59" s="13">
        <f t="shared" ref="Q59" si="21">ROUND(N59+K59-M58-P58,2)</f>
        <v>0</v>
      </c>
      <c r="R59" s="17"/>
      <c r="S59" s="17"/>
      <c r="T59" s="17">
        <f t="shared" ref="T59" si="22">T58+U58+R59+S59-H59</f>
        <v>0</v>
      </c>
      <c r="U59" s="17">
        <f t="shared" ref="U59" si="23">V59-V58</f>
        <v>0</v>
      </c>
      <c r="V59" s="18">
        <f t="shared" ref="V59" si="24">V58+T59*$F$23</f>
        <v>0</v>
      </c>
      <c r="W59" s="16">
        <f t="shared" ref="W59" si="25">IF(T59=0,0,W58+R59+S59-H59)</f>
        <v>0</v>
      </c>
    </row>
    <row r="60" spans="2:23" ht="15" thickBot="1" x14ac:dyDescent="0.4">
      <c r="B60" s="122" t="s">
        <v>49</v>
      </c>
      <c r="C60" s="123"/>
      <c r="D60" s="67">
        <f t="shared" ref="D60:L60" si="26">SUM(D29:D59)</f>
        <v>2119.48</v>
      </c>
      <c r="E60" s="21">
        <f t="shared" si="26"/>
        <v>110.48</v>
      </c>
      <c r="F60" s="21">
        <f t="shared" si="26"/>
        <v>2119.48</v>
      </c>
      <c r="G60" s="21">
        <f t="shared" si="26"/>
        <v>0</v>
      </c>
      <c r="H60" s="22">
        <f t="shared" si="26"/>
        <v>0</v>
      </c>
      <c r="I60" s="20">
        <f t="shared" si="26"/>
        <v>0</v>
      </c>
      <c r="J60" s="21">
        <f t="shared" si="26"/>
        <v>0</v>
      </c>
      <c r="K60" s="21">
        <f t="shared" si="26"/>
        <v>57829.17000000002</v>
      </c>
      <c r="L60" s="74">
        <f t="shared" si="26"/>
        <v>35.630000000000017</v>
      </c>
      <c r="M60" s="20"/>
      <c r="N60" s="21">
        <f>SUM(N29:N59)</f>
        <v>0</v>
      </c>
      <c r="O60" s="21">
        <f>SUM(O29:O59)</f>
        <v>0</v>
      </c>
      <c r="P60" s="20"/>
      <c r="Q60" s="20"/>
      <c r="R60" s="22">
        <f>SUM(R29:R59)</f>
        <v>0</v>
      </c>
      <c r="S60" s="22">
        <f>SUM(S29:S59)</f>
        <v>0</v>
      </c>
      <c r="T60" s="22">
        <f>SUM(T29:T59)</f>
        <v>0</v>
      </c>
      <c r="U60" s="22">
        <f>SUM(U29:U59)</f>
        <v>0</v>
      </c>
      <c r="V60" s="23"/>
      <c r="W60" s="23"/>
    </row>
    <row r="61" spans="2:23" ht="15" thickBot="1" x14ac:dyDescent="0.4">
      <c r="G61" s="61"/>
      <c r="J61" s="82" t="s">
        <v>71</v>
      </c>
      <c r="K61" s="82">
        <f>K60/$C$18</f>
        <v>1865.4570967741943</v>
      </c>
      <c r="M61" s="82" t="s">
        <v>69</v>
      </c>
      <c r="N61" s="82">
        <f>N60/$C$18</f>
        <v>0</v>
      </c>
      <c r="O61" s="61"/>
      <c r="S61" s="82" t="s">
        <v>65</v>
      </c>
      <c r="T61" s="82">
        <f>T60/$C$18</f>
        <v>0</v>
      </c>
    </row>
    <row r="62" spans="2:23" ht="15" thickBot="1" x14ac:dyDescent="0.4">
      <c r="H62" s="2"/>
      <c r="J62" s="82" t="s">
        <v>72</v>
      </c>
      <c r="K62" s="82">
        <f>ROUND(K61*$F$22*$C$18,2)</f>
        <v>35.630000000000003</v>
      </c>
      <c r="M62" s="82" t="s">
        <v>70</v>
      </c>
      <c r="N62" s="82">
        <f>IF(ROUND(N59,2)=0,0,N61*$F$22*$C$18)</f>
        <v>0</v>
      </c>
      <c r="S62" s="82" t="s">
        <v>64</v>
      </c>
      <c r="T62" s="82">
        <f>T61*$F$23*$C$18</f>
        <v>0</v>
      </c>
    </row>
    <row r="63" spans="2:23" x14ac:dyDescent="0.35">
      <c r="M63" s="61"/>
      <c r="N63" s="61"/>
    </row>
    <row r="64" spans="2:23" ht="15" thickBot="1" x14ac:dyDescent="0.4"/>
    <row r="65" spans="11:19" ht="15" thickBot="1" x14ac:dyDescent="0.4">
      <c r="M65" s="82">
        <f>K62+N62</f>
        <v>35.630000000000003</v>
      </c>
      <c r="P65" s="61">
        <f>N62-N68</f>
        <v>0</v>
      </c>
    </row>
    <row r="66" spans="11:19" ht="15" thickBot="1" x14ac:dyDescent="0.4">
      <c r="K66" s="61">
        <f>SUM(K29:K55)</f>
        <v>57686.85000000002</v>
      </c>
      <c r="N66" s="61">
        <f>SUM(N29:N55)</f>
        <v>0</v>
      </c>
      <c r="P66" s="61">
        <f>SUM(O56:O59)</f>
        <v>0</v>
      </c>
    </row>
    <row r="67" spans="11:19" ht="15" thickBot="1" x14ac:dyDescent="0.4">
      <c r="K67" s="82">
        <f>K66/$C$18</f>
        <v>1860.8661290322586</v>
      </c>
      <c r="N67" s="82">
        <f>N66/$C$18</f>
        <v>0</v>
      </c>
      <c r="O67" s="61">
        <f>SUM(O43:O55)</f>
        <v>0</v>
      </c>
    </row>
    <row r="68" spans="11:19" ht="15" thickBot="1" x14ac:dyDescent="0.4">
      <c r="K68" s="82">
        <f>ROUND(K67*$F$22*$C$18,2)</f>
        <v>35.54</v>
      </c>
      <c r="M68">
        <v>25.48</v>
      </c>
      <c r="N68" s="82">
        <f>ROUND(N67*$F$22*$C$18,2)</f>
        <v>0</v>
      </c>
      <c r="O68">
        <v>17.440000000000001</v>
      </c>
    </row>
    <row r="69" spans="11:19" x14ac:dyDescent="0.35">
      <c r="M69" s="61"/>
      <c r="O69" s="61">
        <f>SUM(O67,O68)</f>
        <v>17.440000000000001</v>
      </c>
    </row>
    <row r="70" spans="11:19" x14ac:dyDescent="0.35">
      <c r="M70" s="100">
        <f>K68+N68</f>
        <v>35.54</v>
      </c>
      <c r="S70" s="61">
        <f>N62+L60</f>
        <v>35.630000000000017</v>
      </c>
    </row>
    <row r="72" spans="11:19" x14ac:dyDescent="0.35">
      <c r="M72" s="61">
        <f>M65-M68</f>
        <v>10.150000000000002</v>
      </c>
    </row>
    <row r="74" spans="11:19" x14ac:dyDescent="0.35">
      <c r="N74" s="61">
        <f>(K68+N68)-(SUM(L56:L59)+SUM(O56:O59))</f>
        <v>35.459999999999987</v>
      </c>
    </row>
    <row r="75" spans="11:19" x14ac:dyDescent="0.35">
      <c r="M75" s="61">
        <f>M55+N68</f>
        <v>35.550000000000004</v>
      </c>
    </row>
    <row r="79" spans="11:19" x14ac:dyDescent="0.35">
      <c r="M79" s="61">
        <f>K29-D48</f>
        <v>2119.48</v>
      </c>
    </row>
    <row r="80" spans="11:19" x14ac:dyDescent="0.35">
      <c r="M80">
        <f>M79</f>
        <v>2119.48</v>
      </c>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45107</v>
      </c>
    </row>
    <row r="4" spans="2:12" ht="15" thickBot="1" x14ac:dyDescent="0.4">
      <c r="B4"/>
      <c r="C4"/>
      <c r="E4" s="62" t="s">
        <v>25</v>
      </c>
      <c r="F4" s="62">
        <f>'May Statement'!F11</f>
        <v>-2119.48</v>
      </c>
    </row>
    <row r="5" spans="2:12" ht="15" thickBot="1" x14ac:dyDescent="0.4">
      <c r="B5" s="29" t="s">
        <v>5</v>
      </c>
      <c r="C5" s="38">
        <v>45017</v>
      </c>
      <c r="E5" s="32" t="s">
        <v>10</v>
      </c>
      <c r="F5" s="33">
        <f>SUM(I11:I12)</f>
        <v>0</v>
      </c>
    </row>
    <row r="6" spans="2:12" x14ac:dyDescent="0.35">
      <c r="B6" s="30" t="s">
        <v>8</v>
      </c>
      <c r="C6" s="39">
        <v>45046</v>
      </c>
      <c r="E6" s="34" t="s">
        <v>26</v>
      </c>
      <c r="F6" s="35">
        <f>I59</f>
        <v>0</v>
      </c>
      <c r="H6" s="103" t="s">
        <v>40</v>
      </c>
      <c r="I6" s="104"/>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0</v>
      </c>
      <c r="L9" s="61"/>
    </row>
    <row r="10" spans="2:12" ht="15" thickBot="1" x14ac:dyDescent="0.4">
      <c r="B10" s="29" t="s">
        <v>12</v>
      </c>
      <c r="C10" s="38">
        <v>45047</v>
      </c>
      <c r="E10" s="4"/>
      <c r="F10" s="6"/>
      <c r="H10" s="125" t="s">
        <v>41</v>
      </c>
      <c r="I10" s="126"/>
      <c r="J10" s="127"/>
    </row>
    <row r="11" spans="2:12" ht="14.5" customHeight="1" x14ac:dyDescent="0.35">
      <c r="B11" s="30" t="s">
        <v>13</v>
      </c>
      <c r="C11" s="39">
        <f>C10+C12-1</f>
        <v>45077</v>
      </c>
      <c r="E11" s="55" t="s">
        <v>30</v>
      </c>
      <c r="F11" s="56">
        <f>F4+F6+F7+F8+F9-F5</f>
        <v>-2119.48</v>
      </c>
      <c r="H11" s="72" t="s">
        <v>42</v>
      </c>
      <c r="I11" s="73">
        <f>SUM(F59:G59)</f>
        <v>0</v>
      </c>
      <c r="J11" s="114" t="s">
        <v>73</v>
      </c>
      <c r="K11" s="124"/>
    </row>
    <row r="12" spans="2:12" ht="15" thickBot="1" x14ac:dyDescent="0.4">
      <c r="B12" s="30" t="s">
        <v>14</v>
      </c>
      <c r="C12" s="40">
        <v>31</v>
      </c>
      <c r="E12" s="4"/>
      <c r="F12" s="6"/>
      <c r="H12" s="49" t="s">
        <v>43</v>
      </c>
      <c r="I12" s="50">
        <f>H59</f>
        <v>0</v>
      </c>
      <c r="J12" s="115"/>
      <c r="K12" s="124"/>
    </row>
    <row r="13" spans="2:12" ht="15" thickBot="1" x14ac:dyDescent="0.4">
      <c r="B13" s="31" t="s">
        <v>15</v>
      </c>
      <c r="C13" s="41">
        <v>45102</v>
      </c>
      <c r="E13" s="53" t="s">
        <v>31</v>
      </c>
      <c r="F13" s="54">
        <v>18000</v>
      </c>
    </row>
    <row r="14" spans="2:12" x14ac:dyDescent="0.35">
      <c r="E14" s="51" t="s">
        <v>32</v>
      </c>
      <c r="F14" s="52">
        <f>F13-F11</f>
        <v>20119.48</v>
      </c>
      <c r="H14" s="103" t="s">
        <v>44</v>
      </c>
      <c r="I14" s="104"/>
    </row>
    <row r="15" spans="2:12" ht="29.5" thickBot="1" x14ac:dyDescent="0.4">
      <c r="B15"/>
      <c r="C15" s="3"/>
      <c r="E15" s="53" t="s">
        <v>33</v>
      </c>
      <c r="F15" s="54">
        <v>1200</v>
      </c>
      <c r="H15" s="7" t="s">
        <v>45</v>
      </c>
      <c r="I15" s="8">
        <f>K61</f>
        <v>0</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103" t="s">
        <v>51</v>
      </c>
      <c r="I18" s="104"/>
    </row>
    <row r="19" spans="2:23" ht="15" thickBot="1" x14ac:dyDescent="0.4">
      <c r="B19" s="31" t="s">
        <v>16</v>
      </c>
      <c r="C19" s="41">
        <f>C17+C3</f>
        <v>45132</v>
      </c>
      <c r="H19" s="7" t="s">
        <v>42</v>
      </c>
      <c r="I19" s="8">
        <f>'May Statement'!I19+'May Statement'!F6+'May Statement'!I7+'May Statement'!I15-'May Statement'!I11</f>
        <v>0</v>
      </c>
    </row>
    <row r="20" spans="2:23" ht="15" thickBot="1" x14ac:dyDescent="0.4">
      <c r="H20" s="49" t="s">
        <v>43</v>
      </c>
      <c r="I20" s="50">
        <f>'May Statement'!I20+'May Statement'!F7+'May Statement'!I8+'May Statement'!I16-'May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7" si="3">ROUND(N29+I30+J30+O29-G30,2)</f>
        <v>0</v>
      </c>
      <c r="O30" s="13">
        <f>P30-P29</f>
        <v>0</v>
      </c>
      <c r="P30" s="13">
        <f>ROUND(P29+N30*$F$22,2)</f>
        <v>0</v>
      </c>
      <c r="Q30" s="13">
        <f>ROUND(N30+K30-M29-P29,2)</f>
        <v>0</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0</v>
      </c>
      <c r="L31" s="13">
        <f t="shared" ref="L31:L57" si="7">M31-M30</f>
        <v>0</v>
      </c>
      <c r="M31" s="13">
        <f t="shared" ref="M31:M57" si="8">IF(K31=0,0,M30+K31*$F$22)</f>
        <v>0</v>
      </c>
      <c r="N31" s="13">
        <f t="shared" si="3"/>
        <v>0</v>
      </c>
      <c r="O31" s="13">
        <f t="shared" ref="O31:O57" si="9">P31-P30</f>
        <v>0</v>
      </c>
      <c r="P31" s="13">
        <f t="shared" ref="P31:P56" si="10">ROUND(P30+N31*$F$22,2)</f>
        <v>0</v>
      </c>
      <c r="Q31" s="13">
        <f t="shared" ref="Q31:Q57" si="11">ROUND(N31+K31-M30-P30,2)</f>
        <v>0</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ROUND(P53+N54*$F$22,2)</f>
        <v>0</v>
      </c>
      <c r="Q54" s="13">
        <f t="shared" si="11"/>
        <v>0</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0</v>
      </c>
      <c r="O56" s="13">
        <f t="shared" si="9"/>
        <v>0</v>
      </c>
      <c r="P56" s="13">
        <f t="shared" si="10"/>
        <v>0</v>
      </c>
      <c r="Q56" s="13">
        <f t="shared" si="11"/>
        <v>0</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ROUND(P56+N57*$F$22,2)</f>
        <v>0</v>
      </c>
      <c r="Q57" s="13">
        <f t="shared" si="11"/>
        <v>0</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0</v>
      </c>
      <c r="L58" s="13">
        <f t="shared" ref="L58" si="18">M58-M57</f>
        <v>0</v>
      </c>
      <c r="M58" s="13">
        <f t="shared" ref="M58" si="19">IF(K58=0,0,M57+K58*$F$22)</f>
        <v>0</v>
      </c>
      <c r="N58" s="13">
        <f t="shared" ref="N58" si="20">ROUND(N57+I58+J58+O57-G58,2)</f>
        <v>0</v>
      </c>
      <c r="O58" s="13">
        <f t="shared" ref="O58" si="21">P58-P57</f>
        <v>0</v>
      </c>
      <c r="P58" s="13">
        <f>ROUND(P57+N58*$F$22,2)</f>
        <v>0</v>
      </c>
      <c r="Q58" s="13">
        <f t="shared" ref="Q58" si="22">ROUND(N58+K58-M57-P57,2)</f>
        <v>0</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22" t="s">
        <v>49</v>
      </c>
      <c r="C59" s="123"/>
      <c r="D59" s="67">
        <f t="shared" ref="D59:L59" si="27">SUM(D29:D58)</f>
        <v>0</v>
      </c>
      <c r="E59" s="21">
        <f t="shared" si="27"/>
        <v>0</v>
      </c>
      <c r="F59" s="21">
        <f t="shared" si="27"/>
        <v>0</v>
      </c>
      <c r="G59" s="21">
        <f t="shared" si="27"/>
        <v>0</v>
      </c>
      <c r="H59" s="22">
        <f t="shared" si="27"/>
        <v>0</v>
      </c>
      <c r="I59" s="20">
        <f t="shared" si="27"/>
        <v>0</v>
      </c>
      <c r="J59" s="21">
        <f t="shared" si="27"/>
        <v>0</v>
      </c>
      <c r="K59" s="21">
        <f t="shared" si="27"/>
        <v>0</v>
      </c>
      <c r="L59" s="74">
        <f t="shared" si="27"/>
        <v>0</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0</v>
      </c>
      <c r="M60" s="82" t="s">
        <v>69</v>
      </c>
      <c r="N60" s="82">
        <f>N59/$C$18</f>
        <v>0</v>
      </c>
      <c r="O60" s="61"/>
      <c r="S60" s="82" t="s">
        <v>65</v>
      </c>
      <c r="T60" s="82">
        <f>T59/$C$18</f>
        <v>0</v>
      </c>
    </row>
    <row r="61" spans="2:23" ht="15" thickBot="1" x14ac:dyDescent="0.4">
      <c r="H61" s="2"/>
      <c r="J61" s="82" t="s">
        <v>72</v>
      </c>
      <c r="K61" s="82">
        <f>M58</f>
        <v>0</v>
      </c>
      <c r="M61" s="82" t="s">
        <v>70</v>
      </c>
      <c r="N61" s="82">
        <f>IF(ROUND(N58,2)=0,0,N60*$F$22*$C$18)</f>
        <v>0</v>
      </c>
      <c r="S61" s="82" t="s">
        <v>64</v>
      </c>
      <c r="T61" s="82">
        <f>T60*$F$23*$C$18</f>
        <v>0</v>
      </c>
    </row>
    <row r="62" spans="2:23" x14ac:dyDescent="0.35">
      <c r="M62" s="61"/>
      <c r="N62" s="61"/>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2024-03-13T04:41:47Z</dcterms:modified>
</cp:coreProperties>
</file>