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9855" windowHeight="4140" activeTab="2"/>
  </bookViews>
  <sheets>
    <sheet name="Eligibility" sheetId="1" r:id="rId1"/>
    <sheet name="GTP" sheetId="6" r:id="rId2"/>
    <sheet name="RTR" sheetId="2" r:id="rId3"/>
    <sheet name="Sheet1" sheetId="5" state="hidden" r:id="rId4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8" i="6"/>
  <c r="I14"/>
  <c r="I15" s="1"/>
  <c r="I17" s="1"/>
  <c r="F30" i="1"/>
  <c r="I19" i="6" l="1"/>
  <c r="I23"/>
  <c r="C28" i="1"/>
  <c r="B28"/>
  <c r="D26"/>
  <c r="F26" s="1"/>
  <c r="C23"/>
  <c r="B23"/>
  <c r="D22"/>
  <c r="F22" s="1"/>
  <c r="C18"/>
  <c r="B18"/>
  <c r="B14"/>
  <c r="C14"/>
  <c r="D29"/>
  <c r="F29" s="1"/>
  <c r="D28"/>
  <c r="F28" s="1"/>
  <c r="D27"/>
  <c r="F27" s="1"/>
  <c r="D24"/>
  <c r="F24" s="1"/>
  <c r="D23"/>
  <c r="F23" s="1"/>
  <c r="D21"/>
  <c r="F21" s="1"/>
  <c r="D19"/>
  <c r="F19" s="1"/>
  <c r="D18"/>
  <c r="F18" s="1"/>
  <c r="C17"/>
  <c r="D17"/>
  <c r="F17" s="1"/>
  <c r="D15"/>
  <c r="F15" s="1"/>
  <c r="D14"/>
  <c r="F14" s="1"/>
  <c r="D13"/>
  <c r="F13" s="1"/>
  <c r="D12"/>
  <c r="F12" s="1"/>
  <c r="C8"/>
  <c r="M11" i="2"/>
  <c r="B8" i="1"/>
  <c r="D7"/>
  <c r="F7" s="1"/>
  <c r="I11"/>
  <c r="D9"/>
  <c r="F9" s="1"/>
  <c r="D8"/>
  <c r="F8" s="1"/>
  <c r="D6"/>
  <c r="F6" s="1"/>
  <c r="D3" l="1"/>
  <c r="D4"/>
  <c r="F4" s="1"/>
  <c r="D5"/>
  <c r="F5" s="1"/>
  <c r="D10"/>
  <c r="F10" l="1"/>
  <c r="F3" l="1"/>
  <c r="E13" i="5" l="1"/>
  <c r="F12"/>
  <c r="F11"/>
  <c r="F10"/>
  <c r="F9"/>
  <c r="F8"/>
  <c r="F7"/>
  <c r="F6"/>
  <c r="F32" i="1"/>
  <c r="F37"/>
  <c r="F31" l="1"/>
  <c r="F34" s="1"/>
  <c r="F38" s="1"/>
  <c r="F13" i="5"/>
</calcChain>
</file>

<file path=xl/sharedStrings.xml><?xml version="1.0" encoding="utf-8"?>
<sst xmlns="http://schemas.openxmlformats.org/spreadsheetml/2006/main" count="175" uniqueCount="118">
  <si>
    <t xml:space="preserve">Average    </t>
  </si>
  <si>
    <t>Eligibility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</si>
  <si>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</si>
  <si>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</si>
  <si>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</si>
  <si>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</si>
  <si>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</si>
  <si>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</si>
  <si>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</si>
  <si>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</si>
  <si>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</si>
  <si>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</si>
  <si>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Sr. No.</t>
  </si>
  <si>
    <t>LAN</t>
  </si>
  <si>
    <t>Customer Name</t>
  </si>
  <si>
    <t>Bank Name</t>
  </si>
  <si>
    <t>Type</t>
  </si>
  <si>
    <t>Loan Amt</t>
  </si>
  <si>
    <t>Tenure</t>
  </si>
  <si>
    <t>Inst. Paid</t>
  </si>
  <si>
    <t>Inst. Bal</t>
  </si>
  <si>
    <t>EMI Amt</t>
  </si>
  <si>
    <t>EMI Considered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</si>
  <si>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</si>
  <si>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</si>
  <si>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</si>
  <si>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</si>
  <si>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</si>
  <si>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</si>
  <si>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</si>
  <si>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</si>
  <si>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</si>
  <si>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</si>
  <si>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rPr>
        <sz val="11"/>
        <rFont val="Zurich BT"/>
        <charset val="134"/>
      </rPr>
      <t>Net profit of &gt; =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- 10                                Net profit of &lt; 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</si>
  <si>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</si>
  <si>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</si>
  <si>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</si>
  <si>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</si>
  <si>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</si>
  <si>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</si>
  <si>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</si>
  <si>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</si>
  <si>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</si>
  <si>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</si>
  <si>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</si>
  <si>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>Net Profit</t>
  </si>
  <si>
    <t>Depreciation</t>
  </si>
  <si>
    <t>Loan Start Date</t>
  </si>
  <si>
    <t>Assesment year</t>
  </si>
  <si>
    <t>2020-21</t>
  </si>
  <si>
    <t>2019-20</t>
  </si>
  <si>
    <t>Income From Other Sources</t>
  </si>
  <si>
    <t>POS</t>
  </si>
  <si>
    <t>As on 20</t>
  </si>
  <si>
    <t xml:space="preserve">Max FOIR              </t>
  </si>
  <si>
    <t>As on 19</t>
  </si>
  <si>
    <t>2018-19</t>
  </si>
  <si>
    <t>As on 18</t>
  </si>
  <si>
    <t>Allied  Multimetals &amp; alloys Pvt Ltd</t>
  </si>
  <si>
    <t>Allied Multimetals &amp; Alloy</t>
  </si>
  <si>
    <t>Company</t>
  </si>
  <si>
    <t>Director</t>
  </si>
  <si>
    <t>Vandana Abrol</t>
  </si>
  <si>
    <t>Vijay Abrol</t>
  </si>
  <si>
    <t>Sale Till Nov</t>
  </si>
  <si>
    <t>Income U/d 40 A (2)b</t>
  </si>
  <si>
    <t xml:space="preserve">Huf Excluded </t>
  </si>
  <si>
    <t>Hitesh abrol ( Son )</t>
  </si>
  <si>
    <t>Vandana Abrol ( Spouce)</t>
  </si>
  <si>
    <t>Vijay Abrol ( father )</t>
  </si>
  <si>
    <t>Santosh ( Mother )</t>
  </si>
  <si>
    <t>Int On loans</t>
  </si>
  <si>
    <t>Salary to partners</t>
  </si>
  <si>
    <t>Int to partners</t>
  </si>
  <si>
    <t>IDFC</t>
  </si>
  <si>
    <t>ICICI</t>
  </si>
  <si>
    <t>Lap</t>
  </si>
  <si>
    <t>HDFC ltd</t>
  </si>
  <si>
    <t>SBI</t>
  </si>
  <si>
    <t>CC</t>
  </si>
  <si>
    <t>y</t>
  </si>
  <si>
    <t>N-closed</t>
  </si>
  <si>
    <t>n</t>
  </si>
  <si>
    <t xml:space="preserve">N </t>
  </si>
  <si>
    <t>N</t>
  </si>
  <si>
    <t>Axis</t>
  </si>
  <si>
    <t>Y</t>
  </si>
  <si>
    <t>Hitesh Abrol</t>
  </si>
  <si>
    <t>Salary from AM &amp; A</t>
  </si>
  <si>
    <t xml:space="preserve">Salary from ARL </t>
  </si>
  <si>
    <t>Santosh abrol</t>
  </si>
  <si>
    <t>HL</t>
  </si>
  <si>
    <t xml:space="preserve">A M &amp; A PL </t>
  </si>
  <si>
    <t>AL</t>
  </si>
  <si>
    <t>LAp</t>
  </si>
  <si>
    <t>AUR004205584711</t>
  </si>
  <si>
    <t>15-11-20</t>
  </si>
  <si>
    <t>LALUD 000 37673330</t>
  </si>
  <si>
    <t>LALUD 000 37539708</t>
  </si>
  <si>
    <t>LALUD  000 40954358</t>
  </si>
  <si>
    <t>LALUD  000 7173925</t>
  </si>
  <si>
    <t>Client ID</t>
  </si>
  <si>
    <t>As per 31/3/2020</t>
  </si>
  <si>
    <t>Loan Amount</t>
  </si>
  <si>
    <t>Turnover-Current Year</t>
  </si>
  <si>
    <t>Gross Profit-Current Year</t>
  </si>
  <si>
    <t>Total Monthly Income</t>
  </si>
  <si>
    <t>Gross Eligible Income</t>
  </si>
  <si>
    <t>Foir</t>
  </si>
  <si>
    <t>Foir (50%)</t>
  </si>
  <si>
    <t>Less – Deductions</t>
  </si>
  <si>
    <t>Net Income Available For Current Loan</t>
  </si>
  <si>
    <t>Rate Of Interest</t>
  </si>
  <si>
    <t>Tenor Applicable</t>
  </si>
  <si>
    <t>Emi Per Lakh</t>
  </si>
  <si>
    <t>Max. Eligible Loan On Foir Basis ( In Rs. )</t>
  </si>
  <si>
    <t>Allied Mulimetals &amp; Alloys p ltd</t>
  </si>
  <si>
    <t>Bifurcation Pending</t>
  </si>
</sst>
</file>

<file path=xl/styles.xml><?xml version="1.0" encoding="utf-8"?>
<styleSheet xmlns="http://schemas.openxmlformats.org/spreadsheetml/2006/main">
  <numFmts count="5">
    <numFmt numFmtId="164" formatCode="0\ ;&quot; (&quot;0\);&quot; -&quot;#\ ;@\ "/>
    <numFmt numFmtId="165" formatCode="#,##0.00\ ;&quot; (&quot;#,##0.00\);&quot; -&quot;#\ ;@\ "/>
    <numFmt numFmtId="166" formatCode="0\ ;\(0\)"/>
    <numFmt numFmtId="167" formatCode="#,###"/>
    <numFmt numFmtId="168" formatCode="[$-409]d\-mmm\-yy;@"/>
  </numFmts>
  <fonts count="24">
    <font>
      <sz val="10"/>
      <name val="Arial"/>
      <charset val="134"/>
    </font>
    <font>
      <b/>
      <sz val="11"/>
      <color indexed="9"/>
      <name val="Zurich BT"/>
      <charset val="134"/>
    </font>
    <font>
      <b/>
      <sz val="10"/>
      <color indexed="9"/>
      <name val="Arial"/>
      <family val="2"/>
    </font>
    <font>
      <sz val="11"/>
      <name val="Zurich BT"/>
      <charset val="134"/>
    </font>
    <font>
      <sz val="11"/>
      <name val="Arial"/>
      <family val="2"/>
    </font>
    <font>
      <sz val="10"/>
      <name val="Arial1"/>
      <charset val="134"/>
    </font>
    <font>
      <sz val="11"/>
      <color theme="1"/>
      <name val="Calibri"/>
      <family val="2"/>
      <scheme val="minor"/>
    </font>
    <font>
      <sz val="11"/>
      <name val="Rupee Foradian"/>
      <charset val="134"/>
    </font>
    <font>
      <sz val="10"/>
      <name val="Arial"/>
      <family val="2"/>
    </font>
    <font>
      <b/>
      <sz val="10.5"/>
      <name val="Cambria"/>
      <family val="1"/>
      <scheme val="major"/>
    </font>
    <font>
      <sz val="10.5"/>
      <name val="Cambria"/>
      <family val="1"/>
      <scheme val="major"/>
    </font>
    <font>
      <b/>
      <sz val="10.5"/>
      <color indexed="8"/>
      <name val="Cambria"/>
      <family val="1"/>
      <scheme val="major"/>
    </font>
    <font>
      <sz val="10.5"/>
      <color indexed="8"/>
      <name val="Cambria"/>
      <family val="1"/>
      <scheme val="major"/>
    </font>
    <font>
      <sz val="11"/>
      <color indexed="8"/>
      <name val="Calibri"/>
      <family val="2"/>
    </font>
    <font>
      <sz val="10.5"/>
      <color rgb="FFFF0000"/>
      <name val="Cambria"/>
      <family val="1"/>
      <scheme val="maj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9"/>
      <color indexed="8"/>
      <name val="Cambria"/>
      <family val="1"/>
      <scheme val="major"/>
    </font>
    <font>
      <sz val="9"/>
      <name val="Cambria"/>
      <family val="1"/>
      <scheme val="major"/>
    </font>
    <font>
      <sz val="9"/>
      <color indexed="8"/>
      <name val="Cambria"/>
      <family val="1"/>
      <scheme val="major"/>
    </font>
    <font>
      <sz val="9"/>
      <color indexed="10"/>
      <name val="Cambria"/>
      <family val="1"/>
      <scheme val="major"/>
    </font>
    <font>
      <b/>
      <sz val="9"/>
      <name val="Cambria"/>
      <family val="1"/>
      <scheme val="major"/>
    </font>
  </fonts>
  <fills count="13">
    <fill>
      <patternFill patternType="none"/>
    </fill>
    <fill>
      <patternFill patternType="gray125"/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64"/>
      </patternFill>
    </fill>
    <fill>
      <patternFill patternType="solid">
        <fgColor indexed="47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 tint="-0.249977111117893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theme="0"/>
        <bgColor indexed="26"/>
      </patternFill>
    </fill>
    <fill>
      <patternFill patternType="solid">
        <fgColor theme="0" tint="-0.14999847407452621"/>
        <bgColor indexed="31"/>
      </patternFill>
    </fill>
    <fill>
      <patternFill patternType="solid">
        <fgColor rgb="FFFFC000"/>
        <bgColor indexed="26"/>
      </patternFill>
    </fill>
    <fill>
      <patternFill patternType="solid">
        <fgColor indexed="22"/>
        <bgColor indexed="31"/>
      </patternFill>
    </fill>
  </fills>
  <borders count="7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7">
    <xf numFmtId="0" fontId="0" fillId="0" borderId="0"/>
    <xf numFmtId="165" fontId="8" fillId="0" borderId="0" applyFill="0" applyAlignment="0" applyProtection="0"/>
    <xf numFmtId="9" fontId="8" fillId="0" borderId="0" applyFill="0" applyBorder="0" applyAlignment="0" applyProtection="0"/>
    <xf numFmtId="0" fontId="8" fillId="0" borderId="0"/>
    <xf numFmtId="0" fontId="6" fillId="0" borderId="0"/>
    <xf numFmtId="165" fontId="5" fillId="0" borderId="0" applyBorder="0" applyProtection="0"/>
    <xf numFmtId="0" fontId="13" fillId="0" borderId="0"/>
  </cellStyleXfs>
  <cellXfs count="77">
    <xf numFmtId="0" fontId="0" fillId="0" borderId="0" xfId="0"/>
    <xf numFmtId="0" fontId="1" fillId="2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2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horizontal="center" vertical="top" wrapText="1"/>
      <protection locked="0" hidden="1"/>
    </xf>
    <xf numFmtId="0" fontId="3" fillId="0" borderId="1" xfId="0" applyFont="1" applyBorder="1" applyAlignment="1" applyProtection="1">
      <alignment vertical="top" wrapText="1"/>
      <protection hidden="1"/>
    </xf>
    <xf numFmtId="0" fontId="3" fillId="0" borderId="1" xfId="0" applyFont="1" applyBorder="1" applyAlignment="1">
      <alignment horizontal="justify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 wrapText="1"/>
      <protection locked="0"/>
    </xf>
    <xf numFmtId="10" fontId="3" fillId="0" borderId="1" xfId="0" applyNumberFormat="1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/>
      <protection locked="0"/>
    </xf>
    <xf numFmtId="0" fontId="3" fillId="0" borderId="1" xfId="0" applyFont="1" applyBorder="1" applyAlignment="1">
      <alignment horizontal="justify" vertical="top" wrapText="1"/>
    </xf>
    <xf numFmtId="0" fontId="3" fillId="0" borderId="1" xfId="0" applyFont="1" applyFill="1" applyBorder="1" applyAlignment="1" applyProtection="1">
      <alignment vertical="top" wrapText="1"/>
      <protection hidden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 applyProtection="1">
      <alignment vertical="top" wrapText="1"/>
      <protection hidden="1"/>
    </xf>
    <xf numFmtId="0" fontId="1" fillId="3" borderId="1" xfId="0" applyFont="1" applyFill="1" applyBorder="1" applyAlignment="1" applyProtection="1">
      <alignment vertical="top" wrapText="1"/>
      <protection hidden="1"/>
    </xf>
    <xf numFmtId="0" fontId="1" fillId="3" borderId="1" xfId="2" applyNumberFormat="1" applyFont="1" applyFill="1" applyBorder="1" applyAlignment="1" applyProtection="1">
      <alignment horizontal="left" vertical="top" wrapText="1"/>
      <protection locked="0" hidden="1"/>
    </xf>
    <xf numFmtId="10" fontId="1" fillId="3" borderId="1" xfId="2" applyNumberFormat="1" applyFont="1" applyFill="1" applyBorder="1" applyAlignment="1" applyProtection="1">
      <alignment horizontal="left" vertical="top" wrapText="1"/>
      <protection hidden="1"/>
    </xf>
    <xf numFmtId="0" fontId="12" fillId="0" borderId="2" xfId="0" applyFont="1" applyFill="1" applyBorder="1" applyAlignment="1">
      <alignment horizontal="left" vertical="center" wrapText="1"/>
    </xf>
    <xf numFmtId="1" fontId="12" fillId="0" borderId="2" xfId="0" applyNumberFormat="1" applyFont="1" applyBorder="1" applyAlignment="1">
      <alignment horizontal="left" vertical="center" wrapText="1"/>
    </xf>
    <xf numFmtId="168" fontId="12" fillId="4" borderId="2" xfId="0" applyNumberFormat="1" applyFont="1" applyFill="1" applyBorder="1" applyAlignment="1">
      <alignment horizontal="left" vertical="center" wrapText="1"/>
    </xf>
    <xf numFmtId="1" fontId="12" fillId="4" borderId="2" xfId="0" applyNumberFormat="1" applyFont="1" applyFill="1" applyBorder="1" applyAlignment="1">
      <alignment horizontal="left" vertical="center" wrapText="1"/>
    </xf>
    <xf numFmtId="2" fontId="10" fillId="6" borderId="2" xfId="0" applyNumberFormat="1" applyFont="1" applyFill="1" applyBorder="1" applyAlignment="1">
      <alignment horizontal="left" vertical="center"/>
    </xf>
    <xf numFmtId="0" fontId="14" fillId="0" borderId="2" xfId="0" applyFont="1" applyFill="1" applyBorder="1" applyAlignment="1">
      <alignment horizontal="left" vertical="center" wrapText="1"/>
    </xf>
    <xf numFmtId="0" fontId="11" fillId="5" borderId="2" xfId="0" applyFont="1" applyFill="1" applyBorder="1" applyAlignment="1">
      <alignment horizontal="left" vertical="center" wrapText="1"/>
    </xf>
    <xf numFmtId="0" fontId="10" fillId="0" borderId="0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9" fillId="0" borderId="2" xfId="0" applyFont="1" applyBorder="1" applyAlignment="1">
      <alignment horizontal="left" vertical="center"/>
    </xf>
    <xf numFmtId="1" fontId="12" fillId="0" borderId="2" xfId="0" applyNumberFormat="1" applyFont="1" applyFill="1" applyBorder="1" applyAlignment="1">
      <alignment horizontal="left" vertical="center" wrapText="1"/>
    </xf>
    <xf numFmtId="1" fontId="9" fillId="6" borderId="2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 applyProtection="1">
      <alignment horizontal="center" vertical="top" wrapText="1"/>
      <protection hidden="1"/>
    </xf>
    <xf numFmtId="164" fontId="16" fillId="5" borderId="2" xfId="1" applyNumberFormat="1" applyFont="1" applyFill="1" applyBorder="1" applyAlignment="1" applyProtection="1">
      <alignment horizontal="left" vertical="center"/>
    </xf>
    <xf numFmtId="164" fontId="16" fillId="5" borderId="3" xfId="1" applyNumberFormat="1" applyFont="1" applyFill="1" applyBorder="1" applyAlignment="1" applyProtection="1">
      <alignment horizontal="left" vertical="center"/>
    </xf>
    <xf numFmtId="164" fontId="16" fillId="5" borderId="5" xfId="1" applyNumberFormat="1" applyFont="1" applyFill="1" applyBorder="1" applyAlignment="1" applyProtection="1">
      <alignment horizontal="left" vertical="center"/>
    </xf>
    <xf numFmtId="164" fontId="16" fillId="5" borderId="4" xfId="1" applyNumberFormat="1" applyFont="1" applyFill="1" applyBorder="1" applyAlignment="1" applyProtection="1">
      <alignment horizontal="left" vertical="center"/>
    </xf>
    <xf numFmtId="0" fontId="17" fillId="6" borderId="0" xfId="3" applyFont="1" applyFill="1" applyBorder="1" applyAlignment="1">
      <alignment horizontal="left" vertical="top"/>
    </xf>
    <xf numFmtId="0" fontId="17" fillId="0" borderId="0" xfId="0" applyFont="1" applyBorder="1" applyAlignment="1">
      <alignment horizontal="left"/>
    </xf>
    <xf numFmtId="0" fontId="17" fillId="0" borderId="0" xfId="0" applyFont="1" applyAlignment="1">
      <alignment horizontal="left"/>
    </xf>
    <xf numFmtId="164" fontId="16" fillId="10" borderId="2" xfId="1" applyNumberFormat="1" applyFont="1" applyFill="1" applyBorder="1" applyAlignment="1" applyProtection="1">
      <alignment horizontal="left" vertical="center"/>
    </xf>
    <xf numFmtId="164" fontId="16" fillId="8" borderId="2" xfId="1" applyNumberFormat="1" applyFont="1" applyFill="1" applyBorder="1" applyAlignment="1" applyProtection="1">
      <alignment horizontal="left" vertical="center"/>
    </xf>
    <xf numFmtId="9" fontId="16" fillId="8" borderId="2" xfId="1" applyNumberFormat="1" applyFont="1" applyFill="1" applyBorder="1" applyAlignment="1" applyProtection="1">
      <alignment horizontal="left" vertical="center"/>
    </xf>
    <xf numFmtId="164" fontId="17" fillId="6" borderId="2" xfId="1" applyNumberFormat="1" applyFont="1" applyFill="1" applyBorder="1" applyAlignment="1" applyProtection="1">
      <alignment horizontal="left" vertical="center"/>
    </xf>
    <xf numFmtId="0" fontId="17" fillId="6" borderId="2" xfId="3" applyFont="1" applyFill="1" applyBorder="1" applyAlignment="1">
      <alignment horizontal="left" vertical="top"/>
    </xf>
    <xf numFmtId="166" fontId="17" fillId="9" borderId="2" xfId="1" applyNumberFormat="1" applyFont="1" applyFill="1" applyBorder="1" applyAlignment="1" applyProtection="1">
      <alignment horizontal="left" vertical="center"/>
    </xf>
    <xf numFmtId="164" fontId="17" fillId="6" borderId="2" xfId="1" applyNumberFormat="1" applyFont="1" applyFill="1" applyBorder="1" applyAlignment="1" applyProtection="1">
      <alignment horizontal="left" vertical="top"/>
    </xf>
    <xf numFmtId="9" fontId="17" fillId="6" borderId="2" xfId="1" applyNumberFormat="1" applyFont="1" applyFill="1" applyBorder="1" applyAlignment="1" applyProtection="1">
      <alignment horizontal="left" vertical="top"/>
    </xf>
    <xf numFmtId="164" fontId="17" fillId="9" borderId="2" xfId="1" applyNumberFormat="1" applyFont="1" applyFill="1" applyBorder="1" applyAlignment="1" applyProtection="1">
      <alignment horizontal="left" vertical="top"/>
    </xf>
    <xf numFmtId="164" fontId="15" fillId="6" borderId="2" xfId="1" applyNumberFormat="1" applyFont="1" applyFill="1" applyBorder="1" applyAlignment="1" applyProtection="1">
      <alignment horizontal="left" vertical="top"/>
    </xf>
    <xf numFmtId="0" fontId="18" fillId="6" borderId="2" xfId="3" applyFont="1" applyFill="1" applyBorder="1" applyAlignment="1">
      <alignment horizontal="left" vertical="top"/>
    </xf>
    <xf numFmtId="164" fontId="16" fillId="7" borderId="2" xfId="1" applyNumberFormat="1" applyFont="1" applyFill="1" applyBorder="1" applyAlignment="1" applyProtection="1">
      <alignment horizontal="left" vertical="center"/>
    </xf>
    <xf numFmtId="165" fontId="16" fillId="8" borderId="2" xfId="1" applyFont="1" applyFill="1" applyBorder="1" applyAlignment="1" applyProtection="1">
      <alignment horizontal="left" vertical="top"/>
    </xf>
    <xf numFmtId="0" fontId="17" fillId="8" borderId="2" xfId="0" applyNumberFormat="1" applyFont="1" applyFill="1" applyBorder="1" applyAlignment="1">
      <alignment horizontal="left"/>
    </xf>
    <xf numFmtId="167" fontId="16" fillId="8" borderId="2" xfId="1" applyNumberFormat="1" applyFont="1" applyFill="1" applyBorder="1" applyAlignment="1" applyProtection="1">
      <alignment horizontal="left" vertical="top"/>
    </xf>
    <xf numFmtId="164" fontId="17" fillId="0" borderId="2" xfId="1" applyNumberFormat="1" applyFont="1" applyFill="1" applyBorder="1" applyAlignment="1" applyProtection="1">
      <alignment horizontal="left" vertical="top"/>
    </xf>
    <xf numFmtId="0" fontId="17" fillId="0" borderId="2" xfId="0" applyNumberFormat="1" applyFont="1" applyFill="1" applyBorder="1" applyAlignment="1">
      <alignment horizontal="left"/>
    </xf>
    <xf numFmtId="164" fontId="16" fillId="0" borderId="2" xfId="1" applyNumberFormat="1" applyFont="1" applyFill="1" applyBorder="1" applyAlignment="1" applyProtection="1">
      <alignment horizontal="left" vertical="center"/>
    </xf>
    <xf numFmtId="10" fontId="17" fillId="0" borderId="2" xfId="1" applyNumberFormat="1" applyFont="1" applyFill="1" applyBorder="1" applyAlignment="1" applyProtection="1">
      <alignment horizontal="left" vertical="top"/>
    </xf>
    <xf numFmtId="164" fontId="17" fillId="8" borderId="2" xfId="1" applyNumberFormat="1" applyFont="1" applyFill="1" applyBorder="1" applyAlignment="1" applyProtection="1">
      <alignment horizontal="left" vertical="top"/>
    </xf>
    <xf numFmtId="2" fontId="17" fillId="8" borderId="2" xfId="5" applyNumberFormat="1" applyFont="1" applyFill="1" applyBorder="1" applyAlignment="1" applyProtection="1">
      <alignment horizontal="left" vertical="top"/>
    </xf>
    <xf numFmtId="165" fontId="17" fillId="8" borderId="2" xfId="5" applyNumberFormat="1" applyFont="1" applyFill="1" applyBorder="1" applyAlignment="1" applyProtection="1">
      <alignment horizontal="left" vertical="top"/>
    </xf>
    <xf numFmtId="0" fontId="17" fillId="9" borderId="0" xfId="3" applyFont="1" applyFill="1" applyBorder="1" applyAlignment="1">
      <alignment horizontal="left" vertical="top"/>
    </xf>
    <xf numFmtId="0" fontId="19" fillId="11" borderId="6" xfId="0" applyNumberFormat="1" applyFont="1" applyFill="1" applyBorder="1" applyAlignment="1" applyProtection="1">
      <alignment horizontal="center" vertical="center"/>
    </xf>
    <xf numFmtId="2" fontId="19" fillId="11" borderId="6" xfId="0" applyNumberFormat="1" applyFont="1" applyFill="1" applyBorder="1" applyAlignment="1" applyProtection="1">
      <alignment horizontal="center" vertical="center"/>
    </xf>
    <xf numFmtId="0" fontId="20" fillId="0" borderId="0" xfId="0" applyFont="1" applyAlignment="1">
      <alignment horizontal="center" vertical="center"/>
    </xf>
    <xf numFmtId="0" fontId="19" fillId="12" borderId="6" xfId="0" applyNumberFormat="1" applyFont="1" applyFill="1" applyBorder="1" applyAlignment="1" applyProtection="1">
      <alignment horizontal="center" vertical="center"/>
    </xf>
    <xf numFmtId="2" fontId="19" fillId="12" borderId="6" xfId="0" applyNumberFormat="1" applyFont="1" applyFill="1" applyBorder="1" applyAlignment="1" applyProtection="1">
      <alignment horizontal="center" vertical="center"/>
      <protection locked="0"/>
    </xf>
    <xf numFmtId="0" fontId="21" fillId="0" borderId="6" xfId="0" applyNumberFormat="1" applyFont="1" applyFill="1" applyBorder="1" applyAlignment="1" applyProtection="1">
      <alignment horizontal="center" vertical="center"/>
    </xf>
    <xf numFmtId="2" fontId="21" fillId="0" borderId="6" xfId="0" applyNumberFormat="1" applyFont="1" applyFill="1" applyBorder="1" applyAlignment="1" applyProtection="1">
      <alignment horizontal="center" vertical="center"/>
      <protection locked="0"/>
    </xf>
    <xf numFmtId="0" fontId="22" fillId="0" borderId="6" xfId="0" applyNumberFormat="1" applyFont="1" applyFill="1" applyBorder="1" applyAlignment="1" applyProtection="1">
      <alignment horizontal="center" vertical="center"/>
    </xf>
    <xf numFmtId="2" fontId="22" fillId="0" borderId="6" xfId="0" applyNumberFormat="1" applyFont="1" applyFill="1" applyBorder="1" applyAlignment="1" applyProtection="1">
      <alignment horizontal="center" vertical="center"/>
      <protection hidden="1"/>
    </xf>
    <xf numFmtId="0" fontId="20" fillId="0" borderId="6" xfId="0" applyNumberFormat="1" applyFont="1" applyFill="1" applyBorder="1" applyAlignment="1" applyProtection="1">
      <alignment horizontal="center" vertical="center"/>
    </xf>
    <xf numFmtId="2" fontId="20" fillId="0" borderId="6" xfId="0" applyNumberFormat="1" applyFont="1" applyFill="1" applyBorder="1" applyAlignment="1" applyProtection="1">
      <alignment horizontal="center" vertical="center"/>
      <protection locked="0"/>
    </xf>
    <xf numFmtId="0" fontId="21" fillId="0" borderId="6" xfId="0" applyFont="1" applyBorder="1" applyAlignment="1" applyProtection="1">
      <alignment horizontal="center" vertical="center"/>
    </xf>
    <xf numFmtId="0" fontId="23" fillId="11" borderId="6" xfId="0" applyNumberFormat="1" applyFont="1" applyFill="1" applyBorder="1" applyAlignment="1" applyProtection="1">
      <alignment horizontal="center" vertical="center"/>
    </xf>
    <xf numFmtId="2" fontId="23" fillId="11" borderId="6" xfId="0" applyNumberFormat="1" applyFont="1" applyFill="1" applyBorder="1" applyAlignment="1" applyProtection="1">
      <alignment horizontal="center" vertical="center"/>
      <protection hidden="1"/>
    </xf>
  </cellXfs>
  <cellStyles count="7">
    <cellStyle name="Comma" xfId="1" builtinId="3"/>
    <cellStyle name="Excel Built-in Normal" xfId="6"/>
    <cellStyle name="Excel_BuiltIn_Comma 2" xfId="5"/>
    <cellStyle name="Normal" xfId="0" builtinId="0"/>
    <cellStyle name="Normal 2" xfId="4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M48"/>
  <sheetViews>
    <sheetView zoomScale="107" zoomScaleNormal="107" workbookViewId="0">
      <selection activeCell="I18" sqref="I18"/>
    </sheetView>
  </sheetViews>
  <sheetFormatPr defaultColWidth="31.28515625" defaultRowHeight="15"/>
  <cols>
    <col min="1" max="1" width="43.7109375" style="37" bestFit="1" customWidth="1"/>
    <col min="2" max="2" width="8.5703125" style="37" bestFit="1" customWidth="1"/>
    <col min="3" max="3" width="9" style="37" customWidth="1"/>
    <col min="4" max="4" width="9.85546875" style="37" customWidth="1"/>
    <col min="5" max="5" width="12.140625" style="37" customWidth="1"/>
    <col min="6" max="6" width="15.5703125" style="37" customWidth="1"/>
    <col min="7" max="7" width="12.28515625" style="37" customWidth="1"/>
    <col min="8" max="8" width="8.42578125" style="37" customWidth="1"/>
    <col min="9" max="9" width="24.85546875" style="37" customWidth="1"/>
    <col min="10" max="10" width="20.7109375" style="37" customWidth="1"/>
    <col min="11" max="11" width="10.5703125" style="37" customWidth="1"/>
    <col min="12" max="12" width="11.42578125" style="37" customWidth="1"/>
    <col min="13" max="13" width="13.85546875" style="37" customWidth="1"/>
    <col min="14" max="14" width="15.42578125" style="37" customWidth="1"/>
    <col min="15" max="15" width="14.140625" style="37" customWidth="1"/>
    <col min="16" max="16" width="11.85546875" style="37" customWidth="1"/>
    <col min="17" max="17" width="12" style="37" customWidth="1"/>
    <col min="18" max="18" width="11" style="37" customWidth="1"/>
    <col min="19" max="19" width="11.5703125" style="37" customWidth="1"/>
    <col min="20" max="20" width="12" style="37" customWidth="1"/>
    <col min="21" max="238" width="31.28515625" style="37"/>
    <col min="239" max="246" width="31.28515625" style="38"/>
    <col min="247" max="16384" width="31.28515625" style="39"/>
  </cols>
  <sheetData>
    <row r="1" spans="1:247" ht="12.75" customHeight="1">
      <c r="A1" s="33" t="s">
        <v>58</v>
      </c>
      <c r="B1" s="34" t="s">
        <v>48</v>
      </c>
      <c r="C1" s="35"/>
      <c r="D1" s="35"/>
      <c r="E1" s="35"/>
      <c r="F1" s="36"/>
      <c r="IE1" s="37"/>
      <c r="IM1" s="38"/>
    </row>
    <row r="2" spans="1:247" ht="12.75" customHeight="1">
      <c r="A2" s="40" t="s">
        <v>58</v>
      </c>
      <c r="B2" s="41" t="s">
        <v>49</v>
      </c>
      <c r="C2" s="41" t="s">
        <v>56</v>
      </c>
      <c r="D2" s="41" t="s">
        <v>0</v>
      </c>
      <c r="E2" s="42" t="s">
        <v>1</v>
      </c>
      <c r="F2" s="41" t="s">
        <v>2</v>
      </c>
    </row>
    <row r="3" spans="1:247" ht="12.75" customHeight="1">
      <c r="A3" s="43" t="s">
        <v>45</v>
      </c>
      <c r="B3" s="44">
        <v>3803948</v>
      </c>
      <c r="C3" s="45">
        <v>2729701</v>
      </c>
      <c r="D3" s="46">
        <f>AVERAGE(B3:C3)</f>
        <v>3266824.5</v>
      </c>
      <c r="E3" s="47">
        <v>1</v>
      </c>
      <c r="F3" s="46">
        <f t="shared" ref="F3:F5" si="0">E3*D3</f>
        <v>3266824.5</v>
      </c>
      <c r="HX3" s="38"/>
      <c r="HY3" s="38"/>
      <c r="HZ3" s="38"/>
      <c r="IA3" s="38"/>
      <c r="IB3" s="38"/>
      <c r="IC3" s="38"/>
      <c r="ID3" s="38"/>
      <c r="IF3" s="39"/>
      <c r="IG3" s="39"/>
      <c r="IH3" s="39"/>
      <c r="II3" s="39"/>
      <c r="IJ3" s="39"/>
      <c r="IK3" s="39"/>
      <c r="IL3" s="39"/>
    </row>
    <row r="4" spans="1:247" ht="12.75" customHeight="1">
      <c r="A4" s="43" t="s">
        <v>46</v>
      </c>
      <c r="B4" s="44">
        <v>2747292</v>
      </c>
      <c r="C4" s="45">
        <v>1960737</v>
      </c>
      <c r="D4" s="48">
        <f t="shared" ref="D4:D10" si="1">AVERAGE(B4:C4)</f>
        <v>2354014.5</v>
      </c>
      <c r="E4" s="47">
        <v>1</v>
      </c>
      <c r="F4" s="46">
        <f t="shared" si="0"/>
        <v>2354014.5</v>
      </c>
      <c r="HX4" s="38"/>
      <c r="HY4" s="38"/>
      <c r="HZ4" s="38"/>
      <c r="IA4" s="38"/>
      <c r="IB4" s="38"/>
      <c r="IC4" s="38"/>
      <c r="ID4" s="38"/>
      <c r="IF4" s="39"/>
      <c r="IG4" s="39"/>
      <c r="IH4" s="39"/>
      <c r="II4" s="39"/>
      <c r="IJ4" s="39"/>
      <c r="IK4" s="39"/>
      <c r="IL4" s="39"/>
    </row>
    <row r="5" spans="1:247" ht="12.75" customHeight="1">
      <c r="A5" s="43" t="s">
        <v>71</v>
      </c>
      <c r="B5" s="44">
        <v>6835305</v>
      </c>
      <c r="C5" s="45">
        <v>3886790</v>
      </c>
      <c r="D5" s="46">
        <f t="shared" si="1"/>
        <v>5361047.5</v>
      </c>
      <c r="E5" s="47">
        <v>0.5</v>
      </c>
      <c r="F5" s="49">
        <f t="shared" si="0"/>
        <v>2680523.75</v>
      </c>
      <c r="G5" s="37" t="s">
        <v>117</v>
      </c>
      <c r="HX5" s="38"/>
      <c r="HY5" s="38"/>
      <c r="HZ5" s="38"/>
      <c r="IA5" s="38"/>
      <c r="IB5" s="38"/>
      <c r="IC5" s="38"/>
      <c r="ID5" s="38"/>
      <c r="IF5" s="39"/>
      <c r="IG5" s="39"/>
      <c r="IH5" s="39"/>
      <c r="II5" s="39"/>
      <c r="IJ5" s="39"/>
      <c r="IK5" s="39"/>
      <c r="IL5" s="39"/>
    </row>
    <row r="6" spans="1:247" ht="12.75" customHeight="1">
      <c r="A6" s="43" t="s">
        <v>72</v>
      </c>
      <c r="B6" s="44">
        <v>2795000</v>
      </c>
      <c r="C6" s="45">
        <v>840000</v>
      </c>
      <c r="D6" s="46">
        <f>AVERAGE(B6:C6)</f>
        <v>1817500</v>
      </c>
      <c r="E6" s="47">
        <v>0</v>
      </c>
      <c r="F6" s="46">
        <f t="shared" ref="F6:F9" si="2">E6*D6</f>
        <v>0</v>
      </c>
      <c r="HX6" s="38"/>
      <c r="HY6" s="38"/>
      <c r="HZ6" s="38"/>
      <c r="IA6" s="38"/>
      <c r="IB6" s="38"/>
      <c r="IC6" s="38"/>
      <c r="ID6" s="38"/>
      <c r="IF6" s="39"/>
      <c r="IG6" s="39"/>
      <c r="IH6" s="39"/>
      <c r="II6" s="39"/>
      <c r="IJ6" s="39"/>
      <c r="IK6" s="39"/>
      <c r="IL6" s="39"/>
    </row>
    <row r="7" spans="1:247" ht="12.75" customHeight="1">
      <c r="A7" s="43" t="s">
        <v>73</v>
      </c>
      <c r="B7" s="44">
        <v>0</v>
      </c>
      <c r="C7" s="45">
        <v>0</v>
      </c>
      <c r="D7" s="46">
        <f t="shared" ref="D7" si="3">AVERAGE(B7:C7)</f>
        <v>0</v>
      </c>
      <c r="E7" s="47">
        <v>0</v>
      </c>
      <c r="F7" s="46">
        <f t="shared" ref="F7" si="4">E7*D7</f>
        <v>0</v>
      </c>
      <c r="HX7" s="38"/>
      <c r="HY7" s="38"/>
      <c r="HZ7" s="38"/>
      <c r="IA7" s="38"/>
      <c r="IB7" s="38"/>
      <c r="IC7" s="38"/>
      <c r="ID7" s="38"/>
      <c r="IF7" s="39"/>
      <c r="IG7" s="39"/>
      <c r="IH7" s="39"/>
      <c r="II7" s="39"/>
      <c r="IJ7" s="39"/>
      <c r="IK7" s="39"/>
      <c r="IL7" s="39"/>
    </row>
    <row r="8" spans="1:247" ht="12.75" customHeight="1">
      <c r="A8" s="43" t="s">
        <v>65</v>
      </c>
      <c r="B8" s="44">
        <f>72000+780000+780000+256827+530806+596610+901847+780000+455000</f>
        <v>5153090</v>
      </c>
      <c r="C8" s="45">
        <f>72000+480000+360000+140306+189928+413584+317618</f>
        <v>1973436</v>
      </c>
      <c r="D8" s="46">
        <f t="shared" ref="D8:D9" si="5">AVERAGE(B8:C8)</f>
        <v>3563263</v>
      </c>
      <c r="E8" s="47">
        <v>1</v>
      </c>
      <c r="F8" s="46">
        <f t="shared" si="2"/>
        <v>3563263</v>
      </c>
      <c r="G8" s="37" t="s">
        <v>66</v>
      </c>
      <c r="HX8" s="38"/>
      <c r="HY8" s="38"/>
      <c r="HZ8" s="38"/>
      <c r="IA8" s="38"/>
      <c r="IB8" s="38"/>
      <c r="IC8" s="38"/>
      <c r="ID8" s="38"/>
      <c r="IF8" s="39"/>
      <c r="IG8" s="39"/>
      <c r="IH8" s="39"/>
      <c r="II8" s="39"/>
      <c r="IJ8" s="39"/>
      <c r="IK8" s="39"/>
      <c r="IL8" s="39"/>
    </row>
    <row r="9" spans="1:247" ht="12.75" customHeight="1">
      <c r="A9" s="43" t="s">
        <v>51</v>
      </c>
      <c r="B9" s="44">
        <v>0</v>
      </c>
      <c r="C9" s="45">
        <v>0</v>
      </c>
      <c r="D9" s="46">
        <f t="shared" si="5"/>
        <v>0</v>
      </c>
      <c r="E9" s="47">
        <v>0.5</v>
      </c>
      <c r="F9" s="46">
        <f t="shared" si="2"/>
        <v>0</v>
      </c>
      <c r="HX9" s="38"/>
      <c r="HY9" s="38"/>
      <c r="HZ9" s="38"/>
      <c r="IA9" s="38"/>
      <c r="IB9" s="38"/>
      <c r="IC9" s="38"/>
      <c r="ID9" s="38"/>
      <c r="IF9" s="39"/>
      <c r="IG9" s="39"/>
      <c r="IH9" s="39"/>
      <c r="II9" s="39"/>
      <c r="IJ9" s="39"/>
      <c r="IK9" s="39"/>
      <c r="IL9" s="39"/>
    </row>
    <row r="10" spans="1:247" ht="12.75" customHeight="1">
      <c r="A10" s="43" t="s">
        <v>3</v>
      </c>
      <c r="B10" s="44">
        <v>-781672</v>
      </c>
      <c r="C10" s="45">
        <v>-791397</v>
      </c>
      <c r="D10" s="46">
        <f t="shared" si="1"/>
        <v>-786534.5</v>
      </c>
      <c r="E10" s="47">
        <v>1</v>
      </c>
      <c r="F10" s="46">
        <f t="shared" ref="F10" si="6">E10*D10</f>
        <v>-786534.5</v>
      </c>
      <c r="I10" s="50" t="s">
        <v>64</v>
      </c>
      <c r="J10" s="50" t="s">
        <v>53</v>
      </c>
      <c r="K10" s="50" t="s">
        <v>55</v>
      </c>
      <c r="L10" s="50" t="s">
        <v>57</v>
      </c>
      <c r="HX10" s="38"/>
      <c r="HY10" s="38"/>
      <c r="HZ10" s="38"/>
      <c r="IA10" s="38"/>
      <c r="IB10" s="38"/>
      <c r="IC10" s="38"/>
      <c r="ID10" s="38"/>
      <c r="IF10" s="39"/>
      <c r="IG10" s="39"/>
      <c r="IH10" s="39"/>
      <c r="II10" s="39"/>
      <c r="IJ10" s="39"/>
      <c r="IK10" s="39"/>
      <c r="IL10" s="39"/>
    </row>
    <row r="11" spans="1:247" ht="12.75" customHeight="1">
      <c r="A11" s="51" t="s">
        <v>87</v>
      </c>
      <c r="B11" s="41" t="s">
        <v>49</v>
      </c>
      <c r="C11" s="41" t="s">
        <v>50</v>
      </c>
      <c r="D11" s="41" t="s">
        <v>0</v>
      </c>
      <c r="E11" s="42" t="s">
        <v>1</v>
      </c>
      <c r="F11" s="41" t="s">
        <v>2</v>
      </c>
      <c r="I11" s="44">
        <f>22467827+116542387+147917768+167589001+125633504+33396459+65095370</f>
        <v>678642316</v>
      </c>
      <c r="J11" s="50">
        <v>1037750350</v>
      </c>
      <c r="K11" s="44">
        <v>1077249408</v>
      </c>
      <c r="L11" s="44">
        <v>875135836</v>
      </c>
      <c r="HS11" s="38"/>
      <c r="HT11" s="38"/>
      <c r="HU11" s="38"/>
      <c r="HV11" s="38"/>
      <c r="HW11" s="38"/>
      <c r="HX11" s="38"/>
      <c r="HY11" s="38"/>
      <c r="HZ11" s="38"/>
      <c r="IA11" s="39"/>
      <c r="IB11" s="39"/>
      <c r="IC11" s="39"/>
      <c r="ID11" s="39"/>
      <c r="IE11" s="39"/>
      <c r="IF11" s="39"/>
      <c r="IG11" s="39"/>
      <c r="IH11" s="39"/>
      <c r="II11" s="39"/>
      <c r="IJ11" s="39"/>
      <c r="IK11" s="39"/>
      <c r="IL11" s="39"/>
    </row>
    <row r="12" spans="1:247" ht="12.75" customHeight="1">
      <c r="A12" s="43" t="s">
        <v>88</v>
      </c>
      <c r="B12" s="44">
        <v>780000</v>
      </c>
      <c r="C12" s="45">
        <v>360000</v>
      </c>
      <c r="D12" s="46">
        <f t="shared" ref="D12:D15" si="7">AVERAGE(B12:C12)</f>
        <v>570000</v>
      </c>
      <c r="E12" s="47">
        <v>0</v>
      </c>
      <c r="F12" s="46">
        <f t="shared" ref="F12:F15" si="8">E12*D12</f>
        <v>0</v>
      </c>
      <c r="HX12" s="38"/>
      <c r="HY12" s="38"/>
      <c r="HZ12" s="38"/>
      <c r="IA12" s="38"/>
      <c r="IB12" s="38"/>
      <c r="IC12" s="38"/>
      <c r="ID12" s="38"/>
      <c r="IF12" s="39"/>
      <c r="IG12" s="39"/>
      <c r="IH12" s="39"/>
      <c r="II12" s="39"/>
      <c r="IJ12" s="39"/>
      <c r="IK12" s="39"/>
      <c r="IL12" s="39"/>
    </row>
    <row r="13" spans="1:247" ht="12.75" customHeight="1">
      <c r="A13" s="43" t="s">
        <v>89</v>
      </c>
      <c r="B13" s="44">
        <v>780000</v>
      </c>
      <c r="C13" s="45">
        <v>480000</v>
      </c>
      <c r="D13" s="46">
        <f t="shared" si="7"/>
        <v>630000</v>
      </c>
      <c r="E13" s="47">
        <v>0</v>
      </c>
      <c r="F13" s="46">
        <f t="shared" si="8"/>
        <v>0</v>
      </c>
      <c r="HX13" s="38"/>
      <c r="HY13" s="38"/>
      <c r="HZ13" s="38"/>
      <c r="IA13" s="38"/>
      <c r="IB13" s="38"/>
      <c r="IC13" s="38"/>
      <c r="ID13" s="38"/>
      <c r="IF13" s="39"/>
      <c r="IG13" s="39"/>
      <c r="IH13" s="39"/>
      <c r="II13" s="39"/>
      <c r="IJ13" s="39"/>
      <c r="IK13" s="39"/>
      <c r="IL13" s="39"/>
    </row>
    <row r="14" spans="1:247" ht="12.75" customHeight="1">
      <c r="A14" s="43" t="s">
        <v>51</v>
      </c>
      <c r="B14" s="44">
        <f>530806+1000+8700+2194</f>
        <v>542700</v>
      </c>
      <c r="C14" s="45">
        <f>189928+23815+1000+1511+6155</f>
        <v>222409</v>
      </c>
      <c r="D14" s="46">
        <f t="shared" si="7"/>
        <v>382554.5</v>
      </c>
      <c r="E14" s="47">
        <v>0</v>
      </c>
      <c r="F14" s="46">
        <f t="shared" si="8"/>
        <v>0</v>
      </c>
      <c r="HX14" s="38"/>
      <c r="HY14" s="38"/>
      <c r="HZ14" s="38"/>
      <c r="IA14" s="38"/>
      <c r="IB14" s="38"/>
      <c r="IC14" s="38"/>
      <c r="ID14" s="38"/>
      <c r="IF14" s="39"/>
      <c r="IG14" s="39"/>
      <c r="IH14" s="39"/>
      <c r="II14" s="39"/>
      <c r="IJ14" s="39"/>
      <c r="IK14" s="39"/>
      <c r="IL14" s="39"/>
    </row>
    <row r="15" spans="1:247" ht="12.75" customHeight="1">
      <c r="A15" s="43" t="s">
        <v>3</v>
      </c>
      <c r="B15" s="44">
        <v>-359908</v>
      </c>
      <c r="C15" s="45">
        <v>-259375</v>
      </c>
      <c r="D15" s="46">
        <f t="shared" si="7"/>
        <v>-309641.5</v>
      </c>
      <c r="E15" s="47">
        <v>1</v>
      </c>
      <c r="F15" s="46">
        <f t="shared" si="8"/>
        <v>-309641.5</v>
      </c>
      <c r="HT15" s="38"/>
      <c r="HU15" s="38"/>
      <c r="HV15" s="38"/>
      <c r="HW15" s="38"/>
      <c r="HX15" s="38"/>
      <c r="HY15" s="38"/>
      <c r="HZ15" s="38"/>
      <c r="IA15" s="38"/>
      <c r="IB15" s="39"/>
      <c r="IC15" s="39"/>
      <c r="ID15" s="39"/>
      <c r="IE15" s="39"/>
      <c r="IF15" s="39"/>
      <c r="IG15" s="39"/>
      <c r="IH15" s="39"/>
      <c r="II15" s="39"/>
      <c r="IJ15" s="39"/>
      <c r="IK15" s="39"/>
      <c r="IL15" s="39"/>
    </row>
    <row r="16" spans="1:247" ht="12.75" customHeight="1">
      <c r="A16" s="51" t="s">
        <v>62</v>
      </c>
      <c r="B16" s="41" t="s">
        <v>49</v>
      </c>
      <c r="C16" s="41" t="s">
        <v>50</v>
      </c>
      <c r="D16" s="41" t="s">
        <v>0</v>
      </c>
      <c r="E16" s="42" t="s">
        <v>1</v>
      </c>
      <c r="F16" s="41" t="s">
        <v>2</v>
      </c>
      <c r="HX16" s="38"/>
      <c r="HY16" s="38"/>
      <c r="HZ16" s="38"/>
      <c r="IA16" s="38"/>
      <c r="IB16" s="38"/>
      <c r="IC16" s="38"/>
      <c r="ID16" s="38"/>
      <c r="IF16" s="39"/>
      <c r="IG16" s="39"/>
      <c r="IH16" s="39"/>
      <c r="II16" s="39"/>
      <c r="IJ16" s="39"/>
      <c r="IK16" s="39"/>
      <c r="IL16" s="39"/>
    </row>
    <row r="17" spans="1:246" ht="12.75" customHeight="1">
      <c r="A17" s="43" t="s">
        <v>88</v>
      </c>
      <c r="B17" s="44">
        <v>455000</v>
      </c>
      <c r="C17" s="45">
        <f>72000+480000+360000+140306+189928+413584+317618</f>
        <v>1973436</v>
      </c>
      <c r="D17" s="46">
        <f t="shared" ref="D17:D19" si="9">AVERAGE(B17:C17)</f>
        <v>1214218</v>
      </c>
      <c r="E17" s="47">
        <v>0</v>
      </c>
      <c r="F17" s="46">
        <f t="shared" ref="F17:F19" si="10">E17*D17</f>
        <v>0</v>
      </c>
      <c r="HX17" s="38"/>
      <c r="HY17" s="38"/>
      <c r="HZ17" s="38"/>
      <c r="IA17" s="38"/>
      <c r="IB17" s="38"/>
      <c r="IC17" s="38"/>
      <c r="ID17" s="38"/>
      <c r="IF17" s="39"/>
      <c r="IG17" s="39"/>
      <c r="IH17" s="39"/>
      <c r="II17" s="39"/>
      <c r="IJ17" s="39"/>
      <c r="IK17" s="39"/>
      <c r="IL17" s="39"/>
    </row>
    <row r="18" spans="1:246" ht="12.75" customHeight="1">
      <c r="A18" s="43" t="s">
        <v>51</v>
      </c>
      <c r="B18" s="44">
        <f>3846+6822+12178</f>
        <v>22846</v>
      </c>
      <c r="C18" s="45">
        <f>4231+4000+1400+63579+317618</f>
        <v>390828</v>
      </c>
      <c r="D18" s="46">
        <f t="shared" si="9"/>
        <v>206837</v>
      </c>
      <c r="E18" s="47">
        <v>0</v>
      </c>
      <c r="F18" s="46">
        <f t="shared" si="10"/>
        <v>0</v>
      </c>
      <c r="HX18" s="38"/>
      <c r="HY18" s="38"/>
      <c r="HZ18" s="38"/>
      <c r="IA18" s="38"/>
      <c r="IB18" s="38"/>
      <c r="IC18" s="38"/>
      <c r="ID18" s="38"/>
      <c r="IF18" s="39"/>
      <c r="IG18" s="39"/>
      <c r="IH18" s="39"/>
      <c r="II18" s="39"/>
      <c r="IJ18" s="39"/>
      <c r="IK18" s="39"/>
      <c r="IL18" s="39"/>
    </row>
    <row r="19" spans="1:246" ht="12.75" customHeight="1">
      <c r="A19" s="43" t="s">
        <v>3</v>
      </c>
      <c r="B19" s="44">
        <v>-31979</v>
      </c>
      <c r="C19" s="45">
        <v>-312762</v>
      </c>
      <c r="D19" s="46">
        <f t="shared" si="9"/>
        <v>-172370.5</v>
      </c>
      <c r="E19" s="47">
        <v>1</v>
      </c>
      <c r="F19" s="46">
        <f t="shared" si="10"/>
        <v>-172370.5</v>
      </c>
      <c r="HT19" s="38"/>
      <c r="HU19" s="38"/>
      <c r="HV19" s="38"/>
      <c r="HW19" s="38"/>
      <c r="HX19" s="38"/>
      <c r="HY19" s="38"/>
      <c r="HZ19" s="38"/>
      <c r="IA19" s="38"/>
      <c r="IB19" s="39"/>
      <c r="IC19" s="39"/>
      <c r="ID19" s="39"/>
      <c r="IE19" s="39"/>
      <c r="IF19" s="39"/>
      <c r="IG19" s="39"/>
      <c r="IH19" s="39"/>
      <c r="II19" s="39"/>
      <c r="IJ19" s="39"/>
      <c r="IK19" s="39"/>
      <c r="IL19" s="39"/>
    </row>
    <row r="20" spans="1:246" ht="12.75" customHeight="1">
      <c r="A20" s="51" t="s">
        <v>63</v>
      </c>
      <c r="B20" s="41" t="s">
        <v>49</v>
      </c>
      <c r="C20" s="41" t="s">
        <v>50</v>
      </c>
      <c r="D20" s="41" t="s">
        <v>0</v>
      </c>
      <c r="E20" s="42" t="s">
        <v>1</v>
      </c>
      <c r="F20" s="41" t="s">
        <v>2</v>
      </c>
      <c r="HX20" s="38"/>
      <c r="HY20" s="38"/>
      <c r="HZ20" s="38"/>
      <c r="IA20" s="38"/>
      <c r="IB20" s="38"/>
      <c r="IC20" s="38"/>
      <c r="ID20" s="38"/>
      <c r="IF20" s="39"/>
      <c r="IG20" s="39"/>
      <c r="IH20" s="39"/>
      <c r="II20" s="39"/>
      <c r="IJ20" s="39"/>
      <c r="IK20" s="39"/>
      <c r="IL20" s="39"/>
    </row>
    <row r="21" spans="1:246" ht="12" customHeight="1">
      <c r="A21" s="43" t="s">
        <v>88</v>
      </c>
      <c r="B21" s="44">
        <v>780000</v>
      </c>
      <c r="C21" s="45">
        <v>480000</v>
      </c>
      <c r="D21" s="46">
        <f t="shared" ref="D21:D24" si="11">AVERAGE(B21:C21)</f>
        <v>630000</v>
      </c>
      <c r="E21" s="47">
        <v>0</v>
      </c>
      <c r="F21" s="46">
        <f t="shared" ref="F21:F24" si="12">E21*D21</f>
        <v>0</v>
      </c>
      <c r="HX21" s="38"/>
      <c r="HY21" s="38"/>
      <c r="HZ21" s="38"/>
      <c r="IA21" s="38"/>
      <c r="IB21" s="38"/>
      <c r="IC21" s="38"/>
      <c r="ID21" s="38"/>
      <c r="IF21" s="39"/>
      <c r="IG21" s="39"/>
      <c r="IH21" s="39"/>
      <c r="II21" s="39"/>
      <c r="IJ21" s="39"/>
      <c r="IK21" s="39"/>
      <c r="IL21" s="39"/>
    </row>
    <row r="22" spans="1:246" ht="12" customHeight="1">
      <c r="A22" s="43" t="s">
        <v>89</v>
      </c>
      <c r="B22" s="44">
        <v>780000</v>
      </c>
      <c r="C22" s="45">
        <v>480000</v>
      </c>
      <c r="D22" s="46">
        <f t="shared" ref="D22" si="13">AVERAGE(B22:C22)</f>
        <v>630000</v>
      </c>
      <c r="E22" s="47">
        <v>0</v>
      </c>
      <c r="F22" s="46">
        <f t="shared" ref="F22" si="14">E22*D22</f>
        <v>0</v>
      </c>
      <c r="HX22" s="38"/>
      <c r="HY22" s="38"/>
      <c r="HZ22" s="38"/>
      <c r="IA22" s="38"/>
      <c r="IB22" s="38"/>
      <c r="IC22" s="38"/>
      <c r="ID22" s="38"/>
      <c r="IF22" s="39"/>
      <c r="IG22" s="39"/>
      <c r="IH22" s="39"/>
      <c r="II22" s="39"/>
      <c r="IJ22" s="39"/>
      <c r="IK22" s="39"/>
      <c r="IL22" s="39"/>
    </row>
    <row r="23" spans="1:246" ht="12.75" customHeight="1">
      <c r="A23" s="43" t="s">
        <v>51</v>
      </c>
      <c r="B23" s="44">
        <f>1202</f>
        <v>1202</v>
      </c>
      <c r="C23" s="45">
        <f>17500+1815+140306</f>
        <v>159621</v>
      </c>
      <c r="D23" s="46">
        <f t="shared" si="11"/>
        <v>80411.5</v>
      </c>
      <c r="E23" s="47">
        <v>0</v>
      </c>
      <c r="F23" s="46">
        <f t="shared" si="12"/>
        <v>0</v>
      </c>
      <c r="HX23" s="38"/>
      <c r="HY23" s="38"/>
      <c r="HZ23" s="38"/>
      <c r="IA23" s="38"/>
      <c r="IB23" s="38"/>
      <c r="IC23" s="38"/>
      <c r="ID23" s="38"/>
      <c r="IF23" s="39"/>
      <c r="IG23" s="39"/>
      <c r="IH23" s="39"/>
      <c r="II23" s="39"/>
      <c r="IJ23" s="39"/>
      <c r="IK23" s="39"/>
      <c r="IL23" s="39"/>
    </row>
    <row r="24" spans="1:246" ht="12.75" customHeight="1">
      <c r="A24" s="43" t="s">
        <v>3</v>
      </c>
      <c r="B24" s="44">
        <v>-268924</v>
      </c>
      <c r="C24" s="45">
        <v>-219851</v>
      </c>
      <c r="D24" s="46">
        <f t="shared" si="11"/>
        <v>-244387.5</v>
      </c>
      <c r="E24" s="47">
        <v>1</v>
      </c>
      <c r="F24" s="46">
        <f t="shared" si="12"/>
        <v>-244387.5</v>
      </c>
      <c r="HT24" s="38"/>
      <c r="HU24" s="38"/>
      <c r="HV24" s="38"/>
      <c r="HW24" s="38"/>
      <c r="HX24" s="38"/>
      <c r="HY24" s="38"/>
      <c r="HZ24" s="38"/>
      <c r="IA24" s="38"/>
      <c r="IB24" s="39"/>
      <c r="IC24" s="39"/>
      <c r="ID24" s="39"/>
      <c r="IE24" s="39"/>
      <c r="IF24" s="39"/>
      <c r="IG24" s="39"/>
      <c r="IH24" s="39"/>
      <c r="II24" s="39"/>
      <c r="IJ24" s="39"/>
      <c r="IK24" s="39"/>
      <c r="IL24" s="39"/>
    </row>
    <row r="25" spans="1:246" ht="12.75" customHeight="1">
      <c r="A25" s="51" t="s">
        <v>90</v>
      </c>
      <c r="B25" s="41" t="s">
        <v>49</v>
      </c>
      <c r="C25" s="41" t="s">
        <v>50</v>
      </c>
      <c r="D25" s="41" t="s">
        <v>0</v>
      </c>
      <c r="E25" s="42" t="s">
        <v>1</v>
      </c>
      <c r="F25" s="41" t="s">
        <v>2</v>
      </c>
      <c r="HX25" s="38"/>
      <c r="HY25" s="38"/>
      <c r="HZ25" s="38"/>
      <c r="IA25" s="38"/>
      <c r="IB25" s="38"/>
      <c r="IC25" s="38"/>
      <c r="ID25" s="38"/>
      <c r="IF25" s="39"/>
      <c r="IG25" s="39"/>
      <c r="IH25" s="39"/>
      <c r="II25" s="39"/>
      <c r="IJ25" s="39"/>
      <c r="IK25" s="39"/>
      <c r="IL25" s="39"/>
    </row>
    <row r="26" spans="1:246" ht="12.75" customHeight="1">
      <c r="A26" s="43" t="s">
        <v>88</v>
      </c>
      <c r="B26" s="44">
        <v>780000</v>
      </c>
      <c r="C26" s="45">
        <v>0</v>
      </c>
      <c r="D26" s="46">
        <f t="shared" ref="D26" si="15">AVERAGE(B26:C26)</f>
        <v>390000</v>
      </c>
      <c r="E26" s="47">
        <v>0</v>
      </c>
      <c r="F26" s="46">
        <f t="shared" ref="F26" si="16">E26*D26</f>
        <v>0</v>
      </c>
      <c r="HX26" s="38"/>
      <c r="HY26" s="38"/>
      <c r="HZ26" s="38"/>
      <c r="IA26" s="38"/>
      <c r="IB26" s="38"/>
      <c r="IC26" s="38"/>
      <c r="ID26" s="38"/>
      <c r="IF26" s="39"/>
      <c r="IG26" s="39"/>
      <c r="IH26" s="39"/>
      <c r="II26" s="39"/>
      <c r="IJ26" s="39"/>
      <c r="IK26" s="39"/>
      <c r="IL26" s="39"/>
    </row>
    <row r="27" spans="1:246" ht="12.75" customHeight="1">
      <c r="A27" s="43" t="s">
        <v>89</v>
      </c>
      <c r="B27" s="44">
        <v>780000</v>
      </c>
      <c r="C27" s="45">
        <v>480000</v>
      </c>
      <c r="D27" s="46">
        <f t="shared" ref="D27:D29" si="17">AVERAGE(B27:C27)</f>
        <v>630000</v>
      </c>
      <c r="E27" s="47">
        <v>0</v>
      </c>
      <c r="F27" s="46">
        <f t="shared" ref="F27:F29" si="18">E27*D27</f>
        <v>0</v>
      </c>
      <c r="HX27" s="38"/>
      <c r="HY27" s="38"/>
      <c r="HZ27" s="38"/>
      <c r="IA27" s="38"/>
      <c r="IB27" s="38"/>
      <c r="IC27" s="38"/>
      <c r="ID27" s="38"/>
      <c r="IF27" s="39"/>
      <c r="IG27" s="39"/>
      <c r="IH27" s="39"/>
      <c r="II27" s="39"/>
      <c r="IJ27" s="39"/>
      <c r="IK27" s="39"/>
      <c r="IL27" s="39"/>
    </row>
    <row r="28" spans="1:246" ht="12.75" customHeight="1">
      <c r="A28" s="43" t="s">
        <v>51</v>
      </c>
      <c r="B28" s="44">
        <f>2740+596610</f>
        <v>599350</v>
      </c>
      <c r="C28" s="45">
        <f>23815+2788+413584</f>
        <v>440187</v>
      </c>
      <c r="D28" s="46">
        <f t="shared" si="17"/>
        <v>519768.5</v>
      </c>
      <c r="E28" s="47">
        <v>0</v>
      </c>
      <c r="F28" s="46">
        <f t="shared" si="18"/>
        <v>0</v>
      </c>
      <c r="HX28" s="38"/>
      <c r="HY28" s="38"/>
      <c r="HZ28" s="38"/>
      <c r="IA28" s="38"/>
      <c r="IB28" s="38"/>
      <c r="IC28" s="38"/>
      <c r="ID28" s="38"/>
      <c r="IF28" s="39"/>
      <c r="IG28" s="39"/>
      <c r="IH28" s="39"/>
      <c r="II28" s="39"/>
      <c r="IJ28" s="39"/>
      <c r="IK28" s="39"/>
      <c r="IL28" s="39"/>
    </row>
    <row r="29" spans="1:246" ht="12.75" customHeight="1">
      <c r="A29" s="43" t="s">
        <v>3</v>
      </c>
      <c r="B29" s="44">
        <v>-374964</v>
      </c>
      <c r="C29" s="45">
        <v>-52270</v>
      </c>
      <c r="D29" s="46">
        <f t="shared" si="17"/>
        <v>-213617</v>
      </c>
      <c r="E29" s="47">
        <v>1</v>
      </c>
      <c r="F29" s="46">
        <f t="shared" si="18"/>
        <v>-213617</v>
      </c>
      <c r="HT29" s="38"/>
      <c r="HU29" s="38"/>
      <c r="HV29" s="38"/>
      <c r="HW29" s="38"/>
      <c r="HX29" s="38"/>
      <c r="HY29" s="38"/>
      <c r="HZ29" s="38"/>
      <c r="IA29" s="38"/>
      <c r="IB29" s="39"/>
      <c r="IC29" s="39"/>
      <c r="ID29" s="39"/>
      <c r="IE29" s="39"/>
      <c r="IF29" s="39"/>
      <c r="IG29" s="39"/>
      <c r="IH29" s="39"/>
      <c r="II29" s="39"/>
      <c r="IJ29" s="39"/>
      <c r="IK29" s="39"/>
      <c r="IL29" s="39"/>
    </row>
    <row r="30" spans="1:246" ht="12.75" customHeight="1">
      <c r="A30" s="52" t="s">
        <v>4</v>
      </c>
      <c r="B30" s="53"/>
      <c r="C30" s="53"/>
      <c r="D30" s="53"/>
      <c r="E30" s="53"/>
      <c r="F30" s="54">
        <f>+SUM(F2:F29)</f>
        <v>10138074.75</v>
      </c>
      <c r="HV30" s="38"/>
      <c r="HW30" s="38"/>
      <c r="HX30" s="38"/>
      <c r="HY30" s="38"/>
      <c r="HZ30" s="38"/>
      <c r="IA30" s="38"/>
      <c r="IB30" s="38"/>
      <c r="IC30" s="38"/>
      <c r="ID30" s="39"/>
      <c r="IE30" s="39"/>
      <c r="IF30" s="39"/>
      <c r="IG30" s="39"/>
      <c r="IH30" s="39"/>
      <c r="II30" s="39"/>
      <c r="IJ30" s="39"/>
      <c r="IK30" s="39"/>
      <c r="IL30" s="39"/>
    </row>
    <row r="31" spans="1:246" ht="12.75" customHeight="1">
      <c r="A31" s="55" t="s">
        <v>5</v>
      </c>
      <c r="B31" s="56"/>
      <c r="C31" s="56"/>
      <c r="D31" s="56"/>
      <c r="E31" s="56"/>
      <c r="F31" s="54">
        <f>F30/12</f>
        <v>844839.5625</v>
      </c>
      <c r="HQ31" s="38"/>
      <c r="HR31" s="38"/>
      <c r="HS31" s="38"/>
      <c r="HT31" s="38"/>
      <c r="HU31" s="38"/>
      <c r="HV31" s="38"/>
      <c r="HW31" s="38"/>
      <c r="HX31" s="38"/>
      <c r="HY31" s="39"/>
      <c r="HZ31" s="39"/>
      <c r="IA31" s="39"/>
      <c r="IB31" s="39"/>
      <c r="IC31" s="39"/>
      <c r="ID31" s="39"/>
      <c r="IE31" s="39"/>
      <c r="IF31" s="39"/>
      <c r="IG31" s="39"/>
      <c r="IH31" s="39"/>
      <c r="II31" s="39"/>
      <c r="IJ31" s="39"/>
      <c r="IK31" s="39"/>
      <c r="IL31" s="39"/>
    </row>
    <row r="32" spans="1:246" ht="12.75" customHeight="1">
      <c r="A32" s="55" t="s">
        <v>6</v>
      </c>
      <c r="B32" s="56"/>
      <c r="C32" s="56"/>
      <c r="D32" s="56"/>
      <c r="E32" s="56"/>
      <c r="F32" s="46">
        <f>RTR!M11</f>
        <v>459213</v>
      </c>
      <c r="I32" s="44" t="s">
        <v>59</v>
      </c>
      <c r="J32" s="44" t="s">
        <v>60</v>
      </c>
      <c r="HQ32" s="38"/>
      <c r="HR32" s="38"/>
      <c r="HS32" s="38"/>
      <c r="HT32" s="38"/>
      <c r="HU32" s="38"/>
      <c r="HV32" s="38"/>
      <c r="HW32" s="38"/>
      <c r="HX32" s="38"/>
      <c r="HY32" s="39"/>
      <c r="HZ32" s="39"/>
      <c r="IA32" s="39"/>
      <c r="IB32" s="39"/>
      <c r="IC32" s="39"/>
      <c r="ID32" s="39"/>
      <c r="IE32" s="39"/>
      <c r="IF32" s="39"/>
      <c r="IG32" s="39"/>
      <c r="IH32" s="39"/>
      <c r="II32" s="39"/>
      <c r="IJ32" s="39"/>
      <c r="IK32" s="39"/>
      <c r="IL32" s="39"/>
    </row>
    <row r="33" spans="1:246" ht="12.75" customHeight="1">
      <c r="A33" s="55" t="s">
        <v>54</v>
      </c>
      <c r="B33" s="57"/>
      <c r="C33" s="57"/>
      <c r="D33" s="57"/>
      <c r="E33" s="57"/>
      <c r="F33" s="58">
        <v>1</v>
      </c>
      <c r="I33" s="44" t="s">
        <v>67</v>
      </c>
      <c r="J33" s="44" t="s">
        <v>61</v>
      </c>
      <c r="HV33" s="38"/>
      <c r="HW33" s="38"/>
      <c r="HX33" s="38"/>
      <c r="HY33" s="38"/>
      <c r="HZ33" s="38"/>
      <c r="IA33" s="38"/>
      <c r="IB33" s="38"/>
      <c r="IC33" s="38"/>
      <c r="ID33" s="39"/>
      <c r="IE33" s="39"/>
      <c r="IF33" s="39"/>
      <c r="IG33" s="39"/>
      <c r="IH33" s="39"/>
      <c r="II33" s="39"/>
      <c r="IJ33" s="39"/>
      <c r="IK33" s="39"/>
      <c r="IL33" s="39"/>
    </row>
    <row r="34" spans="1:246" ht="12.75" customHeight="1">
      <c r="A34" s="55" t="s">
        <v>7</v>
      </c>
      <c r="B34" s="56"/>
      <c r="C34" s="56"/>
      <c r="D34" s="56"/>
      <c r="E34" s="56"/>
      <c r="F34" s="59">
        <f>(F31*F33)-F32</f>
        <v>385626.5625</v>
      </c>
      <c r="I34" s="44" t="s">
        <v>68</v>
      </c>
      <c r="J34" s="44" t="s">
        <v>61</v>
      </c>
      <c r="HX34" s="38"/>
      <c r="HY34" s="38"/>
      <c r="HZ34" s="38"/>
      <c r="IA34" s="38"/>
      <c r="IB34" s="38"/>
      <c r="IC34" s="38"/>
      <c r="ID34" s="38"/>
      <c r="IF34" s="39"/>
      <c r="IG34" s="39"/>
      <c r="IH34" s="39"/>
      <c r="II34" s="39"/>
      <c r="IJ34" s="39"/>
      <c r="IK34" s="39"/>
      <c r="IL34" s="39"/>
    </row>
    <row r="35" spans="1:246" ht="12.75" customHeight="1">
      <c r="A35" s="55" t="s">
        <v>8</v>
      </c>
      <c r="B35" s="56"/>
      <c r="C35" s="56"/>
      <c r="D35" s="56"/>
      <c r="E35" s="56"/>
      <c r="F35" s="55">
        <v>180</v>
      </c>
      <c r="I35" s="44" t="s">
        <v>69</v>
      </c>
      <c r="J35" s="44" t="s">
        <v>61</v>
      </c>
      <c r="HS35" s="38"/>
      <c r="HT35" s="38"/>
      <c r="HU35" s="38"/>
      <c r="HV35" s="38"/>
      <c r="HW35" s="38"/>
      <c r="HX35" s="38"/>
      <c r="HY35" s="38"/>
      <c r="HZ35" s="38"/>
      <c r="IA35" s="39"/>
      <c r="IB35" s="39"/>
      <c r="IC35" s="39"/>
      <c r="ID35" s="39"/>
      <c r="IE35" s="39"/>
      <c r="IF35" s="39"/>
      <c r="IG35" s="39"/>
      <c r="IH35" s="39"/>
      <c r="II35" s="39"/>
      <c r="IJ35" s="39"/>
      <c r="IK35" s="39"/>
      <c r="IL35" s="39"/>
    </row>
    <row r="36" spans="1:246" ht="12.75" customHeight="1">
      <c r="A36" s="55" t="s">
        <v>9</v>
      </c>
      <c r="B36" s="56"/>
      <c r="C36" s="56"/>
      <c r="D36" s="56"/>
      <c r="E36" s="56"/>
      <c r="F36" s="58">
        <v>8.3500000000000005E-2</v>
      </c>
      <c r="I36" s="44" t="s">
        <v>70</v>
      </c>
      <c r="J36" s="44" t="s">
        <v>61</v>
      </c>
      <c r="HZ36" s="38"/>
      <c r="IA36" s="38"/>
      <c r="IB36" s="38"/>
      <c r="IC36" s="38"/>
      <c r="ID36" s="38"/>
      <c r="IH36" s="39"/>
      <c r="II36" s="39"/>
      <c r="IJ36" s="39"/>
      <c r="IK36" s="39"/>
      <c r="IL36" s="39"/>
    </row>
    <row r="37" spans="1:246" ht="12.75" customHeight="1">
      <c r="A37" s="55" t="s">
        <v>10</v>
      </c>
      <c r="B37" s="56"/>
      <c r="C37" s="56"/>
      <c r="D37" s="56"/>
      <c r="E37" s="56"/>
      <c r="F37" s="60">
        <f>PMT(F36/12,F35,-100000)</f>
        <v>975.96678414718815</v>
      </c>
      <c r="HZ37" s="38"/>
      <c r="IA37" s="38"/>
      <c r="IB37" s="38"/>
      <c r="IC37" s="38"/>
      <c r="ID37" s="38"/>
      <c r="IH37" s="39"/>
      <c r="II37" s="39"/>
      <c r="IJ37" s="39"/>
      <c r="IK37" s="39"/>
      <c r="IL37" s="39"/>
    </row>
    <row r="38" spans="1:246" ht="12.75" customHeight="1">
      <c r="A38" s="55" t="s">
        <v>11</v>
      </c>
      <c r="B38" s="56"/>
      <c r="C38" s="56"/>
      <c r="D38" s="56"/>
      <c r="E38" s="56"/>
      <c r="F38" s="61">
        <f>F34/F37</f>
        <v>395.12262995401557</v>
      </c>
      <c r="HX38" s="38"/>
      <c r="HY38" s="38"/>
      <c r="HZ38" s="38"/>
      <c r="IA38" s="38"/>
      <c r="IB38" s="38"/>
      <c r="IC38" s="38"/>
      <c r="ID38" s="38"/>
      <c r="IF38" s="39"/>
      <c r="IG38" s="39"/>
      <c r="IH38" s="39"/>
      <c r="II38" s="39"/>
      <c r="IJ38" s="39"/>
      <c r="IK38" s="39"/>
      <c r="IL38" s="39"/>
    </row>
    <row r="39" spans="1:246">
      <c r="HS39" s="38"/>
      <c r="HT39" s="38"/>
      <c r="HU39" s="38"/>
      <c r="HV39" s="38"/>
      <c r="HW39" s="38"/>
      <c r="HX39" s="38"/>
      <c r="HY39" s="38"/>
      <c r="HZ39" s="38"/>
      <c r="IA39" s="39"/>
      <c r="IB39" s="39"/>
      <c r="IC39" s="39"/>
      <c r="ID39" s="39"/>
      <c r="IE39" s="39"/>
      <c r="IF39" s="39"/>
      <c r="IG39" s="39"/>
      <c r="IH39" s="39"/>
      <c r="II39" s="39"/>
      <c r="IJ39" s="39"/>
      <c r="IK39" s="39"/>
      <c r="IL39" s="39"/>
    </row>
    <row r="40" spans="1:246">
      <c r="HS40" s="38"/>
      <c r="HT40" s="38"/>
      <c r="HU40" s="38"/>
      <c r="HV40" s="38"/>
      <c r="HW40" s="38"/>
      <c r="HX40" s="38"/>
      <c r="HY40" s="38"/>
      <c r="HZ40" s="38"/>
      <c r="IA40" s="39"/>
      <c r="IB40" s="39"/>
      <c r="IC40" s="39"/>
      <c r="ID40" s="39"/>
      <c r="IE40" s="39"/>
      <c r="IF40" s="39"/>
      <c r="IG40" s="39"/>
      <c r="IH40" s="39"/>
      <c r="II40" s="39"/>
      <c r="IJ40" s="39"/>
      <c r="IK40" s="39"/>
      <c r="IL40" s="39"/>
    </row>
    <row r="41" spans="1:246" ht="12.75" customHeight="1">
      <c r="F41" s="62"/>
      <c r="HZ41" s="38"/>
      <c r="IA41" s="38"/>
      <c r="IB41" s="38"/>
      <c r="IC41" s="38"/>
      <c r="ID41" s="38"/>
      <c r="IH41" s="39"/>
      <c r="II41" s="39"/>
      <c r="IJ41" s="39"/>
      <c r="IK41" s="39"/>
      <c r="IL41" s="39"/>
    </row>
    <row r="42" spans="1:246" ht="15.4" customHeight="1"/>
    <row r="43" spans="1:246" ht="16.350000000000001" customHeight="1"/>
    <row r="45" spans="1:246" ht="16.350000000000001" customHeight="1"/>
    <row r="46" spans="1:246" ht="16.350000000000001" customHeight="1"/>
    <row r="47" spans="1:246" ht="16.350000000000001" customHeight="1"/>
    <row r="48" spans="1:246" ht="14.25" customHeight="1"/>
  </sheetData>
  <sheetProtection selectLockedCells="1" selectUnlockedCells="1"/>
  <mergeCells count="10">
    <mergeCell ref="B30:E30"/>
    <mergeCell ref="B31:E31"/>
    <mergeCell ref="B32:E32"/>
    <mergeCell ref="B33:E33"/>
    <mergeCell ref="B1:F1"/>
    <mergeCell ref="B34:E34"/>
    <mergeCell ref="B35:E35"/>
    <mergeCell ref="B36:E36"/>
    <mergeCell ref="B37:E37"/>
    <mergeCell ref="B38:E38"/>
  </mergeCells>
  <pageMargins left="0.78749999999999998" right="0.78749999999999998" top="1.05277777777778" bottom="1.05277777777778" header="0.78749999999999998" footer="0.78749999999999998"/>
  <pageSetup firstPageNumber="0" orientation="landscape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H9:I27"/>
  <sheetViews>
    <sheetView topLeftCell="A3" workbookViewId="0">
      <selection activeCell="M23" sqref="M23"/>
    </sheetView>
  </sheetViews>
  <sheetFormatPr defaultRowHeight="12"/>
  <cols>
    <col min="1" max="7" width="9.140625" style="65"/>
    <col min="8" max="8" width="34.42578125" style="65" bestFit="1" customWidth="1"/>
    <col min="9" max="9" width="32.85546875" style="65" customWidth="1"/>
    <col min="10" max="16384" width="9.140625" style="65"/>
  </cols>
  <sheetData>
    <row r="9" spans="8:9">
      <c r="H9" s="63" t="s">
        <v>25</v>
      </c>
      <c r="I9" s="64" t="s">
        <v>116</v>
      </c>
    </row>
    <row r="10" spans="8:9">
      <c r="H10" s="66" t="s">
        <v>101</v>
      </c>
      <c r="I10" s="67" t="s">
        <v>102</v>
      </c>
    </row>
    <row r="11" spans="8:9">
      <c r="H11" s="68" t="s">
        <v>103</v>
      </c>
      <c r="I11" s="69">
        <v>55000000</v>
      </c>
    </row>
    <row r="12" spans="8:9" ht="11.25" customHeight="1">
      <c r="H12" s="68" t="s">
        <v>104</v>
      </c>
      <c r="I12" s="69">
        <v>1037750350</v>
      </c>
    </row>
    <row r="13" spans="8:9" ht="11.25" customHeight="1">
      <c r="H13" s="68" t="s">
        <v>105</v>
      </c>
      <c r="I13" s="69">
        <v>22583544</v>
      </c>
    </row>
    <row r="14" spans="8:9" ht="11.25" customHeight="1">
      <c r="H14" s="70" t="s">
        <v>106</v>
      </c>
      <c r="I14" s="71">
        <f>MAX(I13,IF(I11&gt;7500000,I12*10.25%,I12*10.25%))/12</f>
        <v>8864117.572916666</v>
      </c>
    </row>
    <row r="15" spans="8:9" ht="11.25" customHeight="1">
      <c r="H15" s="70" t="s">
        <v>107</v>
      </c>
      <c r="I15" s="71">
        <f>I14</f>
        <v>8864117.572916666</v>
      </c>
    </row>
    <row r="16" spans="8:9" ht="11.25" customHeight="1">
      <c r="H16" s="68" t="s">
        <v>108</v>
      </c>
      <c r="I16" s="69">
        <v>65</v>
      </c>
    </row>
    <row r="17" spans="8:9" ht="11.25" customHeight="1">
      <c r="H17" s="70" t="s">
        <v>109</v>
      </c>
      <c r="I17" s="71">
        <f>I15*I16%</f>
        <v>5761676.4223958328</v>
      </c>
    </row>
    <row r="18" spans="8:9" ht="11.25" customHeight="1">
      <c r="H18" s="72" t="s">
        <v>110</v>
      </c>
      <c r="I18" s="73">
        <f>RTR!M11</f>
        <v>459213</v>
      </c>
    </row>
    <row r="19" spans="8:9" ht="11.25" customHeight="1">
      <c r="H19" s="70" t="s">
        <v>111</v>
      </c>
      <c r="I19" s="71">
        <f>I17-I18</f>
        <v>5302463.4223958328</v>
      </c>
    </row>
    <row r="20" spans="8:9" ht="11.25" customHeight="1">
      <c r="H20" s="74" t="s">
        <v>112</v>
      </c>
      <c r="I20" s="69">
        <v>8</v>
      </c>
    </row>
    <row r="21" spans="8:9" ht="11.25" customHeight="1">
      <c r="H21" s="74" t="s">
        <v>113</v>
      </c>
      <c r="I21" s="69">
        <v>120</v>
      </c>
    </row>
    <row r="22" spans="8:9" ht="11.25" customHeight="1">
      <c r="H22" s="70" t="s">
        <v>114</v>
      </c>
      <c r="I22" s="71">
        <v>1213</v>
      </c>
    </row>
    <row r="23" spans="8:9" ht="11.25" customHeight="1">
      <c r="H23" s="75" t="s">
        <v>115</v>
      </c>
      <c r="I23" s="76">
        <f>(I19/I22)*100000</f>
        <v>437136308.52397639</v>
      </c>
    </row>
    <row r="24" spans="8:9" ht="11.25" customHeight="1"/>
    <row r="25" spans="8:9" ht="11.25" customHeight="1"/>
    <row r="26" spans="8:9" ht="11.25" customHeight="1"/>
    <row r="27" spans="8:9" ht="11.25" customHeigh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indexed="24"/>
    <pageSetUpPr fitToPage="1"/>
  </sheetPr>
  <dimension ref="A1:IN11"/>
  <sheetViews>
    <sheetView tabSelected="1" zoomScale="89" zoomScaleNormal="89" workbookViewId="0">
      <selection activeCell="F2" sqref="F2:F3"/>
    </sheetView>
  </sheetViews>
  <sheetFormatPr defaultColWidth="22.140625" defaultRowHeight="13.5"/>
  <cols>
    <col min="1" max="1" width="6.85546875" style="27" customWidth="1"/>
    <col min="2" max="2" width="21.42578125" style="27" customWidth="1"/>
    <col min="3" max="3" width="14.28515625" style="27" customWidth="1"/>
    <col min="4" max="4" width="10.85546875" style="27" customWidth="1"/>
    <col min="5" max="5" width="9.28515625" style="27" customWidth="1"/>
    <col min="6" max="6" width="11.85546875" style="27" customWidth="1"/>
    <col min="7" max="7" width="15.140625" style="27" customWidth="1"/>
    <col min="8" max="8" width="7.42578125" style="27" customWidth="1"/>
    <col min="9" max="9" width="9.28515625" style="27" customWidth="1"/>
    <col min="10" max="10" width="8.85546875" style="27" customWidth="1"/>
    <col min="11" max="11" width="9.7109375" style="27" customWidth="1"/>
    <col min="12" max="12" width="12.42578125" style="27" customWidth="1"/>
    <col min="13" max="13" width="11" style="27" customWidth="1"/>
    <col min="14" max="248" width="22.140625" style="27"/>
    <col min="249" max="16384" width="22.140625" style="28"/>
  </cols>
  <sheetData>
    <row r="1" spans="1:14" ht="11.25" customHeight="1">
      <c r="A1" s="26" t="s">
        <v>12</v>
      </c>
      <c r="B1" s="26" t="s">
        <v>13</v>
      </c>
      <c r="C1" s="26" t="s">
        <v>14</v>
      </c>
      <c r="D1" s="26" t="s">
        <v>15</v>
      </c>
      <c r="E1" s="26" t="s">
        <v>16</v>
      </c>
      <c r="F1" s="26" t="s">
        <v>17</v>
      </c>
      <c r="G1" s="26" t="s">
        <v>47</v>
      </c>
      <c r="H1" s="26" t="s">
        <v>52</v>
      </c>
      <c r="I1" s="26" t="s">
        <v>18</v>
      </c>
      <c r="J1" s="26" t="s">
        <v>19</v>
      </c>
      <c r="K1" s="26" t="s">
        <v>20</v>
      </c>
      <c r="L1" s="26" t="s">
        <v>21</v>
      </c>
      <c r="M1" s="26" t="s">
        <v>22</v>
      </c>
    </row>
    <row r="2" spans="1:14">
      <c r="A2" s="20">
        <v>1</v>
      </c>
      <c r="B2" s="21">
        <v>7743307</v>
      </c>
      <c r="C2" s="20" t="s">
        <v>92</v>
      </c>
      <c r="D2" s="20" t="s">
        <v>74</v>
      </c>
      <c r="E2" s="21" t="s">
        <v>94</v>
      </c>
      <c r="F2" s="21">
        <v>370</v>
      </c>
      <c r="G2" s="22">
        <v>42501</v>
      </c>
      <c r="H2" s="23"/>
      <c r="I2" s="23"/>
      <c r="J2" s="23"/>
      <c r="K2" s="23"/>
      <c r="L2" s="23">
        <v>408998</v>
      </c>
      <c r="M2" s="24" t="s">
        <v>82</v>
      </c>
    </row>
    <row r="3" spans="1:14">
      <c r="A3" s="20">
        <v>2</v>
      </c>
      <c r="B3" s="21">
        <v>15029579</v>
      </c>
      <c r="C3" s="20" t="s">
        <v>92</v>
      </c>
      <c r="D3" s="20" t="s">
        <v>74</v>
      </c>
      <c r="E3" s="21" t="s">
        <v>76</v>
      </c>
      <c r="F3" s="21">
        <v>44.2</v>
      </c>
      <c r="G3" s="22">
        <v>43137</v>
      </c>
      <c r="H3" s="23"/>
      <c r="I3" s="23"/>
      <c r="J3" s="23"/>
      <c r="K3" s="23"/>
      <c r="L3" s="23">
        <v>49822</v>
      </c>
      <c r="M3" s="24" t="s">
        <v>82</v>
      </c>
    </row>
    <row r="4" spans="1:14" ht="17.25" customHeight="1">
      <c r="A4" s="20">
        <v>3</v>
      </c>
      <c r="B4" s="21" t="s">
        <v>97</v>
      </c>
      <c r="C4" s="20" t="s">
        <v>92</v>
      </c>
      <c r="D4" s="20" t="s">
        <v>75</v>
      </c>
      <c r="E4" s="21" t="s">
        <v>93</v>
      </c>
      <c r="F4" s="21">
        <v>74.83</v>
      </c>
      <c r="G4" s="22">
        <v>43109</v>
      </c>
      <c r="H4" s="23"/>
      <c r="I4" s="23"/>
      <c r="J4" s="23"/>
      <c r="K4" s="23"/>
      <c r="L4" s="23">
        <v>154500</v>
      </c>
      <c r="M4" s="24" t="s">
        <v>83</v>
      </c>
      <c r="N4" s="27" t="s">
        <v>81</v>
      </c>
    </row>
    <row r="5" spans="1:14" ht="15" customHeight="1">
      <c r="A5" s="20">
        <v>4</v>
      </c>
      <c r="B5" s="21" t="s">
        <v>98</v>
      </c>
      <c r="C5" s="20" t="s">
        <v>92</v>
      </c>
      <c r="D5" s="20" t="s">
        <v>75</v>
      </c>
      <c r="E5" s="21" t="s">
        <v>93</v>
      </c>
      <c r="F5" s="21">
        <v>74.83</v>
      </c>
      <c r="G5" s="22">
        <v>43228</v>
      </c>
      <c r="H5" s="23"/>
      <c r="I5" s="23"/>
      <c r="J5" s="23"/>
      <c r="K5" s="23"/>
      <c r="L5" s="23">
        <v>119500</v>
      </c>
      <c r="M5" s="24" t="s">
        <v>80</v>
      </c>
    </row>
    <row r="6" spans="1:14" ht="15.75" customHeight="1">
      <c r="A6" s="20">
        <v>5</v>
      </c>
      <c r="B6" s="21" t="s">
        <v>99</v>
      </c>
      <c r="C6" s="20" t="s">
        <v>92</v>
      </c>
      <c r="D6" s="25" t="s">
        <v>75</v>
      </c>
      <c r="E6" s="21" t="s">
        <v>93</v>
      </c>
      <c r="F6" s="21">
        <v>69.989999999999995</v>
      </c>
      <c r="G6" s="22" t="s">
        <v>96</v>
      </c>
      <c r="H6" s="23"/>
      <c r="I6" s="23"/>
      <c r="J6" s="23"/>
      <c r="K6" s="23"/>
      <c r="L6" s="23">
        <v>112500</v>
      </c>
      <c r="M6" s="24" t="s">
        <v>84</v>
      </c>
      <c r="N6" s="27" t="s">
        <v>81</v>
      </c>
    </row>
    <row r="7" spans="1:14" ht="15.75" customHeight="1">
      <c r="A7" s="20"/>
      <c r="B7" s="21" t="s">
        <v>100</v>
      </c>
      <c r="C7" s="20"/>
      <c r="D7" s="25" t="s">
        <v>75</v>
      </c>
      <c r="E7" s="21" t="s">
        <v>93</v>
      </c>
      <c r="F7" s="21">
        <v>7.78</v>
      </c>
      <c r="G7" s="22">
        <v>43377</v>
      </c>
      <c r="H7" s="23"/>
      <c r="I7" s="23"/>
      <c r="J7" s="23"/>
      <c r="K7" s="23"/>
      <c r="L7" s="23">
        <v>24500</v>
      </c>
      <c r="M7" s="24" t="s">
        <v>82</v>
      </c>
      <c r="N7" s="27" t="s">
        <v>81</v>
      </c>
    </row>
    <row r="8" spans="1:14" ht="15.75" customHeight="1">
      <c r="A8" s="20">
        <v>7</v>
      </c>
      <c r="B8" s="21" t="s">
        <v>95</v>
      </c>
      <c r="C8" s="20" t="s">
        <v>92</v>
      </c>
      <c r="D8" s="25" t="s">
        <v>85</v>
      </c>
      <c r="E8" s="21" t="s">
        <v>93</v>
      </c>
      <c r="F8" s="21">
        <v>74.97</v>
      </c>
      <c r="G8" s="22">
        <v>44116</v>
      </c>
      <c r="H8" s="23"/>
      <c r="I8" s="23"/>
      <c r="J8" s="23"/>
      <c r="K8" s="23"/>
      <c r="L8" s="23">
        <v>115500</v>
      </c>
      <c r="M8" s="24" t="s">
        <v>86</v>
      </c>
    </row>
    <row r="9" spans="1:14" ht="15.75" customHeight="1">
      <c r="A9" s="20">
        <v>8</v>
      </c>
      <c r="B9" s="21">
        <v>644700679</v>
      </c>
      <c r="C9" s="20" t="s">
        <v>87</v>
      </c>
      <c r="D9" s="25" t="s">
        <v>77</v>
      </c>
      <c r="E9" s="21" t="s">
        <v>91</v>
      </c>
      <c r="F9" s="21">
        <v>225</v>
      </c>
      <c r="G9" s="22"/>
      <c r="H9" s="23"/>
      <c r="I9" s="23"/>
      <c r="J9" s="23"/>
      <c r="K9" s="23"/>
      <c r="L9" s="23">
        <v>224213</v>
      </c>
      <c r="M9" s="24" t="s">
        <v>80</v>
      </c>
    </row>
    <row r="10" spans="1:14" ht="15.75" customHeight="1">
      <c r="A10" s="20">
        <v>9</v>
      </c>
      <c r="B10" s="21"/>
      <c r="C10" s="20"/>
      <c r="D10" s="25" t="s">
        <v>78</v>
      </c>
      <c r="E10" s="21" t="s">
        <v>79</v>
      </c>
      <c r="F10" s="21">
        <v>700</v>
      </c>
      <c r="G10" s="22"/>
      <c r="H10" s="23"/>
      <c r="I10" s="23"/>
      <c r="J10" s="23"/>
      <c r="K10" s="23"/>
      <c r="L10" s="23"/>
      <c r="M10" s="24"/>
    </row>
    <row r="11" spans="1:14">
      <c r="A11" s="29"/>
      <c r="B11" s="20"/>
      <c r="C11" s="20"/>
      <c r="D11" s="20"/>
      <c r="E11" s="21"/>
      <c r="F11" s="20"/>
      <c r="G11" s="20"/>
      <c r="H11" s="30"/>
      <c r="I11" s="20"/>
      <c r="J11" s="20"/>
      <c r="K11" s="20"/>
      <c r="L11" s="20"/>
      <c r="M11" s="31">
        <f>SUMIF(M2:M10,"Y",L2:L10)</f>
        <v>459213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useFirstPageNumber="1" horizontalDpi="300" verticalDpi="300" r:id="rId1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sqref="A1:B1"/>
    </sheetView>
  </sheetViews>
  <sheetFormatPr defaultColWidth="9"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32" t="s">
        <v>23</v>
      </c>
      <c r="B1" s="32"/>
      <c r="C1" s="2"/>
    </row>
    <row r="2" spans="1:6" ht="14.25" customHeight="1">
      <c r="A2" s="32" t="s">
        <v>24</v>
      </c>
      <c r="B2" s="32"/>
      <c r="C2" s="2"/>
    </row>
    <row r="5" spans="1:6" ht="27">
      <c r="A5" s="3" t="s">
        <v>12</v>
      </c>
      <c r="B5" s="4" t="s">
        <v>25</v>
      </c>
      <c r="C5" s="4" t="s">
        <v>26</v>
      </c>
      <c r="D5" s="5" t="s">
        <v>27</v>
      </c>
      <c r="E5" s="1" t="s">
        <v>28</v>
      </c>
      <c r="F5" s="1" t="s">
        <v>29</v>
      </c>
    </row>
    <row r="6" spans="1:6" ht="40.5">
      <c r="A6" s="6">
        <v>1</v>
      </c>
      <c r="B6" s="7" t="s">
        <v>30</v>
      </c>
      <c r="C6" s="8" t="s">
        <v>31</v>
      </c>
      <c r="D6" s="9"/>
      <c r="E6" s="10">
        <v>0.2</v>
      </c>
      <c r="F6" s="10">
        <f t="shared" ref="F6:F12" si="0">E6/10*D6</f>
        <v>0</v>
      </c>
    </row>
    <row r="7" spans="1:6" ht="54">
      <c r="A7" s="6">
        <v>2</v>
      </c>
      <c r="B7" s="7" t="s">
        <v>32</v>
      </c>
      <c r="C7" s="8" t="s">
        <v>33</v>
      </c>
      <c r="D7" s="11"/>
      <c r="E7" s="10">
        <v>0.15</v>
      </c>
      <c r="F7" s="10">
        <f t="shared" si="0"/>
        <v>0</v>
      </c>
    </row>
    <row r="8" spans="1:6" ht="40.5">
      <c r="A8" s="6">
        <v>3</v>
      </c>
      <c r="B8" s="7" t="s">
        <v>34</v>
      </c>
      <c r="C8" s="8" t="s">
        <v>35</v>
      </c>
      <c r="D8" s="11"/>
      <c r="E8" s="10">
        <v>0.1</v>
      </c>
      <c r="F8" s="10">
        <f t="shared" si="0"/>
        <v>0</v>
      </c>
    </row>
    <row r="9" spans="1:6" ht="54">
      <c r="A9" s="6">
        <v>4</v>
      </c>
      <c r="B9" s="7" t="s">
        <v>36</v>
      </c>
      <c r="C9" s="12" t="s">
        <v>37</v>
      </c>
      <c r="D9" s="11"/>
      <c r="E9" s="10">
        <v>0.1</v>
      </c>
      <c r="F9" s="10">
        <f t="shared" si="0"/>
        <v>0</v>
      </c>
    </row>
    <row r="10" spans="1:6" ht="81">
      <c r="A10" s="6">
        <v>5</v>
      </c>
      <c r="B10" s="7" t="s">
        <v>38</v>
      </c>
      <c r="C10" s="8" t="s">
        <v>39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40</v>
      </c>
      <c r="C11" s="14" t="s">
        <v>41</v>
      </c>
      <c r="D11" s="11"/>
      <c r="E11" s="10">
        <v>0.1</v>
      </c>
      <c r="F11" s="10">
        <f t="shared" si="0"/>
        <v>0</v>
      </c>
    </row>
    <row r="12" spans="1:6" ht="27.75">
      <c r="A12" s="6">
        <v>7</v>
      </c>
      <c r="B12" s="6" t="s">
        <v>42</v>
      </c>
      <c r="C12" s="15" t="s">
        <v>43</v>
      </c>
      <c r="D12" s="11"/>
      <c r="E12" s="10">
        <v>0.25</v>
      </c>
      <c r="F12" s="10">
        <f t="shared" si="0"/>
        <v>0</v>
      </c>
    </row>
    <row r="13" spans="1:6" ht="13.5">
      <c r="A13" s="16"/>
      <c r="B13" s="17" t="s">
        <v>44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useFirstPageNumber="1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Eligibility</vt:lpstr>
      <vt:lpstr>GTP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Samsung</cp:lastModifiedBy>
  <cp:lastPrinted>2018-07-05T06:12:00Z</cp:lastPrinted>
  <dcterms:created xsi:type="dcterms:W3CDTF">2015-09-25T09:25:00Z</dcterms:created>
  <dcterms:modified xsi:type="dcterms:W3CDTF">2021-01-16T08:56:08Z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