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/>
  <c r="G38" i="1"/>
  <c r="G36"/>
  <c r="G43"/>
  <c r="G37"/>
  <c r="G40" s="1"/>
  <c r="G44" s="1"/>
  <c r="C34"/>
  <c r="D34" s="1"/>
  <c r="F34" s="1"/>
  <c r="D35"/>
  <c r="F35" s="1"/>
  <c r="F33"/>
  <c r="D33"/>
  <c r="C30"/>
  <c r="D31"/>
  <c r="F31" s="1"/>
  <c r="D30"/>
  <c r="F30" s="1"/>
  <c r="D29"/>
  <c r="F29" s="1"/>
  <c r="C26"/>
  <c r="D26" s="1"/>
  <c r="F26" s="1"/>
  <c r="D27"/>
  <c r="F27" s="1"/>
  <c r="D25"/>
  <c r="F25" s="1"/>
  <c r="C22"/>
  <c r="C21"/>
  <c r="B21"/>
  <c r="D23"/>
  <c r="F23" s="1"/>
  <c r="D22"/>
  <c r="F22" s="1"/>
  <c r="D20"/>
  <c r="F20" s="1"/>
  <c r="C17"/>
  <c r="C16"/>
  <c r="B16"/>
  <c r="D18"/>
  <c r="F18" s="1"/>
  <c r="D17"/>
  <c r="F17" s="1"/>
  <c r="D15"/>
  <c r="F15" s="1"/>
  <c r="C11"/>
  <c r="B11"/>
  <c r="L8" i="2"/>
  <c r="D7" i="1"/>
  <c r="F7" s="1"/>
  <c r="D8"/>
  <c r="F8" s="1"/>
  <c r="D6"/>
  <c r="F6" s="1"/>
  <c r="D5"/>
  <c r="F5" s="1"/>
  <c r="D10"/>
  <c r="F10" s="1"/>
  <c r="D9"/>
  <c r="F9" s="1"/>
  <c r="D13"/>
  <c r="F13" s="1"/>
  <c r="D4"/>
  <c r="F4" s="1"/>
  <c r="D3"/>
  <c r="F3" s="1"/>
  <c r="F43"/>
  <c r="D21" l="1"/>
  <c r="F21" s="1"/>
  <c r="D16"/>
  <c r="F16" s="1"/>
  <c r="D11"/>
  <c r="F11" s="1"/>
  <c r="D12"/>
  <c r="F12" s="1"/>
  <c r="F36" s="1"/>
  <c r="F38"/>
  <c r="E13" i="5" l="1"/>
  <c r="F12"/>
  <c r="F11"/>
  <c r="F10"/>
  <c r="F9"/>
  <c r="F8"/>
  <c r="F7"/>
  <c r="F6"/>
  <c r="F13" l="1"/>
  <c r="F37" i="1"/>
  <c r="F40" s="1"/>
  <c r="F44" s="1"/>
</calcChain>
</file>

<file path=xl/sharedStrings.xml><?xml version="1.0" encoding="utf-8"?>
<sst xmlns="http://schemas.openxmlformats.org/spreadsheetml/2006/main" count="135" uniqueCount="83">
  <si>
    <t>ASSESSMENT YEAR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</si>
  <si>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</si>
  <si>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</si>
  <si>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</si>
  <si>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</si>
  <si>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</si>
  <si>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</si>
  <si>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</si>
  <si>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</si>
  <si>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</si>
  <si>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</si>
  <si>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</si>
  <si>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</si>
  <si>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</si>
  <si>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</si>
  <si>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</si>
  <si>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</si>
  <si>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</si>
  <si>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</si>
  <si>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</si>
  <si>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</si>
  <si>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</si>
  <si>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</si>
  <si>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</si>
  <si>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</si>
  <si>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</si>
  <si>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</si>
  <si>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</si>
  <si>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</si>
  <si>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</si>
  <si>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</si>
  <si>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</si>
  <si>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</si>
  <si>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</si>
  <si>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</si>
  <si>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</si>
  <si>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</si>
  <si>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</si>
  <si>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</si>
  <si>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</si>
  <si>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</si>
  <si>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</si>
  <si>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</si>
  <si>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</si>
  <si>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</si>
  <si>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</si>
  <si>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</si>
  <si>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</si>
  <si>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Net Profit</t>
  </si>
  <si>
    <t>Depreciation</t>
  </si>
  <si>
    <t>20-21</t>
  </si>
  <si>
    <t>19-20</t>
  </si>
  <si>
    <t>Income from other sources</t>
  </si>
  <si>
    <t>Loan Start Date</t>
  </si>
  <si>
    <t>Amar Agricultural Impliments Works</t>
  </si>
  <si>
    <t>Interest to motar cycle loan</t>
  </si>
  <si>
    <t>Interest to bank</t>
  </si>
  <si>
    <t>Interest on car loan</t>
  </si>
  <si>
    <t>Interest to unsecured loans</t>
  </si>
  <si>
    <t>Interest to partners</t>
  </si>
  <si>
    <t>Salary to partners</t>
  </si>
  <si>
    <t>Payment made u/s 40A(2)(b)</t>
  </si>
  <si>
    <t xml:space="preserve">Amar Singh </t>
  </si>
  <si>
    <t>Income from salary (Amar tractor pvt ltd)</t>
  </si>
  <si>
    <t>Share in partnership firm</t>
  </si>
  <si>
    <t>Baldev Singh</t>
  </si>
  <si>
    <t>Adwinder Singh</t>
  </si>
  <si>
    <t>Sunny Singh</t>
  </si>
  <si>
    <t>Robin Singh</t>
  </si>
  <si>
    <t>sale as on 31/3/19</t>
  </si>
  <si>
    <t>sale as on 31/3/20</t>
  </si>
  <si>
    <t>till march</t>
  </si>
  <si>
    <t>UPLUD00039847970</t>
  </si>
  <si>
    <t>Amar agricultural</t>
  </si>
  <si>
    <t>ICICI Bank</t>
  </si>
  <si>
    <t>PL</t>
  </si>
  <si>
    <t>IDFC Bank</t>
  </si>
  <si>
    <t>Federal Bank</t>
  </si>
  <si>
    <t>HDFC bank</t>
  </si>
  <si>
    <t>Auto loan</t>
  </si>
  <si>
    <t>CF 15312609</t>
  </si>
  <si>
    <t>Kotak</t>
  </si>
  <si>
    <t>car loan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</si>
</sst>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3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5" borderId="2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left" vertical="center" wrapText="1"/>
    </xf>
    <xf numFmtId="2" fontId="12" fillId="5" borderId="2" xfId="0" applyNumberFormat="1" applyFont="1" applyFill="1" applyBorder="1" applyAlignment="1">
      <alignment horizontal="left"/>
    </xf>
    <xf numFmtId="168" fontId="14" fillId="4" borderId="2" xfId="0" applyNumberFormat="1" applyFont="1" applyFill="1" applyBorder="1" applyAlignment="1">
      <alignment horizontal="left" vertical="center" wrapText="1"/>
    </xf>
    <xf numFmtId="164" fontId="16" fillId="6" borderId="2" xfId="1" applyNumberFormat="1" applyFont="1" applyFill="1" applyBorder="1" applyAlignment="1" applyProtection="1">
      <alignment horizontal="left" vertical="center"/>
    </xf>
    <xf numFmtId="164" fontId="17" fillId="5" borderId="2" xfId="1" applyNumberFormat="1" applyFont="1" applyFill="1" applyBorder="1" applyAlignment="1" applyProtection="1">
      <alignment horizontal="left" vertical="center"/>
    </xf>
    <xf numFmtId="164" fontId="17" fillId="0" borderId="2" xfId="1" applyNumberFormat="1" applyFont="1" applyFill="1" applyBorder="1" applyAlignment="1" applyProtection="1">
      <alignment horizontal="left" vertical="top"/>
    </xf>
    <xf numFmtId="164" fontId="16" fillId="8" borderId="2" xfId="1" applyNumberFormat="1" applyFont="1" applyFill="1" applyBorder="1" applyAlignment="1" applyProtection="1">
      <alignment horizontal="left" vertical="center"/>
    </xf>
    <xf numFmtId="164" fontId="16" fillId="8" borderId="3" xfId="1" applyNumberFormat="1" applyFont="1" applyFill="1" applyBorder="1" applyAlignment="1" applyProtection="1">
      <alignment horizontal="left" vertical="center"/>
    </xf>
    <xf numFmtId="164" fontId="16" fillId="8" borderId="4" xfId="1" applyNumberFormat="1" applyFont="1" applyFill="1" applyBorder="1" applyAlignment="1" applyProtection="1">
      <alignment horizontal="left" vertical="center"/>
    </xf>
    <xf numFmtId="0" fontId="5" fillId="5" borderId="0" xfId="3" applyFont="1" applyFill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6" fillId="7" borderId="2" xfId="1" applyNumberFormat="1" applyFont="1" applyFill="1" applyBorder="1" applyAlignment="1" applyProtection="1">
      <alignment horizontal="left" vertical="center"/>
    </xf>
    <xf numFmtId="9" fontId="16" fillId="7" borderId="2" xfId="1" applyNumberFormat="1" applyFont="1" applyFill="1" applyBorder="1" applyAlignment="1" applyProtection="1">
      <alignment horizontal="left" vertical="center"/>
    </xf>
    <xf numFmtId="166" fontId="17" fillId="5" borderId="2" xfId="1" applyNumberFormat="1" applyFont="1" applyFill="1" applyBorder="1" applyAlignment="1" applyProtection="1">
      <alignment horizontal="left" vertical="center"/>
    </xf>
    <xf numFmtId="166" fontId="17" fillId="0" borderId="2" xfId="1" applyNumberFormat="1" applyFont="1" applyFill="1" applyBorder="1" applyAlignment="1" applyProtection="1">
      <alignment horizontal="left" vertical="center"/>
    </xf>
    <xf numFmtId="164" fontId="17" fillId="5" borderId="2" xfId="1" applyNumberFormat="1" applyFont="1" applyFill="1" applyBorder="1" applyAlignment="1" applyProtection="1">
      <alignment horizontal="left" vertical="top"/>
    </xf>
    <xf numFmtId="9" fontId="17" fillId="5" borderId="2" xfId="1" applyNumberFormat="1" applyFont="1" applyFill="1" applyBorder="1" applyAlignment="1" applyProtection="1">
      <alignment horizontal="left" vertical="top"/>
    </xf>
    <xf numFmtId="165" fontId="16" fillId="7" borderId="2" xfId="1" applyFont="1" applyFill="1" applyBorder="1" applyAlignment="1" applyProtection="1">
      <alignment horizontal="left" vertical="top"/>
    </xf>
    <xf numFmtId="0" fontId="17" fillId="7" borderId="3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left"/>
    </xf>
    <xf numFmtId="0" fontId="17" fillId="7" borderId="4" xfId="0" applyNumberFormat="1" applyFont="1" applyFill="1" applyBorder="1" applyAlignment="1">
      <alignment horizontal="left"/>
    </xf>
    <xf numFmtId="167" fontId="16" fillId="7" borderId="2" xfId="1" applyNumberFormat="1" applyFont="1" applyFill="1" applyBorder="1" applyAlignment="1" applyProtection="1">
      <alignment horizontal="left" vertical="top"/>
    </xf>
    <xf numFmtId="0" fontId="17" fillId="0" borderId="3" xfId="0" applyNumberFormat="1" applyFont="1" applyFill="1" applyBorder="1" applyAlignment="1">
      <alignment horizontal="left"/>
    </xf>
    <xf numFmtId="0" fontId="17" fillId="0" borderId="5" xfId="0" applyNumberFormat="1" applyFont="1" applyFill="1" applyBorder="1" applyAlignment="1">
      <alignment horizontal="left"/>
    </xf>
    <xf numFmtId="0" fontId="17" fillId="0" borderId="4" xfId="0" applyNumberFormat="1" applyFont="1" applyFill="1" applyBorder="1" applyAlignment="1">
      <alignment horizontal="left"/>
    </xf>
    <xf numFmtId="164" fontId="16" fillId="0" borderId="3" xfId="1" applyNumberFormat="1" applyFont="1" applyFill="1" applyBorder="1" applyAlignment="1" applyProtection="1">
      <alignment horizontal="left" vertical="center"/>
    </xf>
    <xf numFmtId="164" fontId="16" fillId="0" borderId="5" xfId="1" applyNumberFormat="1" applyFont="1" applyFill="1" applyBorder="1" applyAlignment="1" applyProtection="1">
      <alignment horizontal="left" vertical="center"/>
    </xf>
    <xf numFmtId="164" fontId="16" fillId="0" borderId="4" xfId="1" applyNumberFormat="1" applyFont="1" applyFill="1" applyBorder="1" applyAlignment="1" applyProtection="1">
      <alignment horizontal="left" vertical="center"/>
    </xf>
    <xf numFmtId="10" fontId="17" fillId="0" borderId="2" xfId="1" applyNumberFormat="1" applyFont="1" applyFill="1" applyBorder="1" applyAlignment="1" applyProtection="1">
      <alignment horizontal="left" vertical="top"/>
    </xf>
    <xf numFmtId="164" fontId="17" fillId="7" borderId="2" xfId="1" applyNumberFormat="1" applyFont="1" applyFill="1" applyBorder="1" applyAlignment="1" applyProtection="1">
      <alignment horizontal="left" vertical="top"/>
    </xf>
    <xf numFmtId="2" fontId="17" fillId="7" borderId="2" xfId="5" applyNumberFormat="1" applyFont="1" applyFill="1" applyBorder="1" applyAlignment="1" applyProtection="1">
      <alignment horizontal="left" vertical="top"/>
    </xf>
    <xf numFmtId="165" fontId="17" fillId="7" borderId="2" xfId="5" applyNumberFormat="1" applyFont="1" applyFill="1" applyBorder="1" applyAlignment="1" applyProtection="1">
      <alignment horizontal="left" vertical="top"/>
    </xf>
    <xf numFmtId="0" fontId="5" fillId="5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7" fillId="5" borderId="2" xfId="3" applyFont="1" applyFill="1" applyBorder="1" applyAlignment="1">
      <alignment horizontal="left" vertical="top"/>
    </xf>
    <xf numFmtId="1" fontId="14" fillId="9" borderId="2" xfId="0" applyNumberFormat="1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168" fontId="14" fillId="9" borderId="2" xfId="0" applyNumberFormat="1" applyFont="1" applyFill="1" applyBorder="1" applyAlignment="1">
      <alignment horizontal="left" vertical="center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44"/>
  <sheetViews>
    <sheetView tabSelected="1" zoomScale="124" zoomScaleNormal="124" workbookViewId="0">
      <selection activeCell="G36" sqref="G36"/>
    </sheetView>
  </sheetViews>
  <sheetFormatPr defaultColWidth="31.28515625" defaultRowHeight="13.5"/>
  <cols>
    <col min="1" max="1" width="39.7109375" style="65" bestFit="1" customWidth="1"/>
    <col min="2" max="3" width="8.7109375" style="65" bestFit="1" customWidth="1"/>
    <col min="4" max="4" width="14" style="65" bestFit="1" customWidth="1"/>
    <col min="5" max="5" width="8.42578125" style="65" bestFit="1" customWidth="1"/>
    <col min="6" max="6" width="13.5703125" style="65" bestFit="1" customWidth="1"/>
    <col min="7" max="7" width="28.85546875" style="65" customWidth="1"/>
    <col min="8" max="8" width="16.28515625" style="65" bestFit="1" customWidth="1"/>
    <col min="9" max="9" width="10.42578125" style="65" bestFit="1" customWidth="1"/>
    <col min="10" max="10" width="13.140625" style="65" customWidth="1"/>
    <col min="11" max="11" width="13.5703125" style="65" customWidth="1"/>
    <col min="12" max="12" width="14.140625" style="65" customWidth="1"/>
    <col min="13" max="13" width="11.85546875" style="65" customWidth="1"/>
    <col min="14" max="14" width="12" style="65" customWidth="1"/>
    <col min="15" max="15" width="11" style="65" customWidth="1"/>
    <col min="16" max="16" width="11.5703125" style="65" customWidth="1"/>
    <col min="17" max="17" width="12" style="65" customWidth="1"/>
    <col min="18" max="235" width="31.28515625" style="65"/>
    <col min="236" max="243" width="31.28515625" style="66"/>
    <col min="244" max="245" width="31.28515625" style="67"/>
    <col min="246" max="252" width="31.28515625" style="42"/>
    <col min="253" max="16384" width="31.28515625" style="43"/>
  </cols>
  <sheetData>
    <row r="1" spans="1:245" ht="11.25" customHeight="1">
      <c r="A1" s="37" t="s">
        <v>54</v>
      </c>
      <c r="B1" s="38" t="s">
        <v>0</v>
      </c>
      <c r="C1" s="39"/>
      <c r="D1" s="37"/>
      <c r="E1" s="37"/>
      <c r="F1" s="37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1"/>
      <c r="IC1" s="41"/>
      <c r="ID1" s="41"/>
      <c r="IE1" s="41"/>
      <c r="IF1" s="41"/>
      <c r="IG1" s="41"/>
      <c r="IH1" s="41"/>
      <c r="II1" s="41"/>
      <c r="IJ1" s="42"/>
      <c r="IK1" s="42"/>
    </row>
    <row r="2" spans="1:245" ht="11.25" customHeight="1">
      <c r="A2" s="34" t="s">
        <v>54</v>
      </c>
      <c r="B2" s="44" t="s">
        <v>50</v>
      </c>
      <c r="C2" s="44" t="s">
        <v>51</v>
      </c>
      <c r="D2" s="44" t="s">
        <v>1</v>
      </c>
      <c r="E2" s="45" t="s">
        <v>2</v>
      </c>
      <c r="F2" s="44" t="s">
        <v>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1"/>
      <c r="IC2" s="41"/>
      <c r="ID2" s="41"/>
      <c r="IE2" s="41"/>
      <c r="IF2" s="41"/>
      <c r="IG2" s="41"/>
      <c r="IH2" s="41"/>
      <c r="II2" s="41"/>
      <c r="IJ2" s="42"/>
      <c r="IK2" s="42"/>
    </row>
    <row r="3" spans="1:245" ht="11.25" customHeight="1">
      <c r="A3" s="35" t="s">
        <v>48</v>
      </c>
      <c r="B3" s="46">
        <v>395311</v>
      </c>
      <c r="C3" s="47">
        <v>273913</v>
      </c>
      <c r="D3" s="48">
        <f>AVERAGE(B3:C3)</f>
        <v>334612</v>
      </c>
      <c r="E3" s="49">
        <v>1</v>
      </c>
      <c r="F3" s="48">
        <f t="shared" ref="F3:F13" si="0">E3*D3</f>
        <v>334612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1"/>
      <c r="IC3" s="41"/>
      <c r="ID3" s="41"/>
      <c r="IE3" s="41"/>
      <c r="IF3" s="41"/>
      <c r="IG3" s="41"/>
      <c r="IH3" s="41"/>
      <c r="II3" s="41"/>
      <c r="IJ3" s="42"/>
      <c r="IK3" s="42"/>
    </row>
    <row r="4" spans="1:245" ht="11.25" customHeight="1">
      <c r="A4" s="35" t="s">
        <v>49</v>
      </c>
      <c r="B4" s="46">
        <v>1386957</v>
      </c>
      <c r="C4" s="47">
        <v>1290932</v>
      </c>
      <c r="D4" s="48">
        <f t="shared" ref="D4:D13" si="1">AVERAGE(B4:C4)</f>
        <v>1338944.5</v>
      </c>
      <c r="E4" s="49">
        <v>1</v>
      </c>
      <c r="F4" s="48">
        <f t="shared" si="0"/>
        <v>1338944.5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1"/>
      <c r="IC4" s="41"/>
      <c r="ID4" s="41"/>
      <c r="IE4" s="41"/>
      <c r="IF4" s="41"/>
      <c r="IG4" s="41"/>
      <c r="IH4" s="41"/>
      <c r="II4" s="41"/>
      <c r="IJ4" s="42"/>
      <c r="IK4" s="42"/>
    </row>
    <row r="5" spans="1:245" ht="11.25" customHeight="1">
      <c r="A5" s="35" t="s">
        <v>55</v>
      </c>
      <c r="B5" s="46">
        <v>17113</v>
      </c>
      <c r="C5" s="47">
        <v>0</v>
      </c>
      <c r="D5" s="48">
        <f t="shared" si="1"/>
        <v>8556.5</v>
      </c>
      <c r="E5" s="49">
        <v>1</v>
      </c>
      <c r="F5" s="48">
        <f t="shared" si="0"/>
        <v>8556.5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1"/>
      <c r="IC5" s="41"/>
      <c r="ID5" s="41"/>
      <c r="IE5" s="41"/>
      <c r="IF5" s="41"/>
      <c r="IG5" s="41"/>
      <c r="IH5" s="41"/>
      <c r="II5" s="41"/>
      <c r="IJ5" s="42"/>
      <c r="IK5" s="42"/>
    </row>
    <row r="6" spans="1:245" ht="11.25" customHeight="1">
      <c r="A6" s="35" t="s">
        <v>56</v>
      </c>
      <c r="B6" s="46">
        <v>1564846</v>
      </c>
      <c r="C6" s="47">
        <v>1547061</v>
      </c>
      <c r="D6" s="48">
        <f t="shared" si="1"/>
        <v>1555953.5</v>
      </c>
      <c r="E6" s="49">
        <v>0</v>
      </c>
      <c r="F6" s="48">
        <f t="shared" si="0"/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1"/>
      <c r="IC6" s="41"/>
      <c r="ID6" s="41"/>
      <c r="IE6" s="41"/>
      <c r="IF6" s="41"/>
      <c r="IG6" s="41"/>
      <c r="IH6" s="41"/>
      <c r="II6" s="41"/>
      <c r="IJ6" s="42"/>
      <c r="IK6" s="42"/>
    </row>
    <row r="7" spans="1:245" ht="11.25" customHeight="1">
      <c r="A7" s="35" t="s">
        <v>57</v>
      </c>
      <c r="B7" s="46">
        <v>233798</v>
      </c>
      <c r="C7" s="47">
        <v>207719</v>
      </c>
      <c r="D7" s="48">
        <f t="shared" ref="D7" si="2">AVERAGE(B7:C7)</f>
        <v>220758.5</v>
      </c>
      <c r="E7" s="49">
        <v>1</v>
      </c>
      <c r="F7" s="48">
        <f t="shared" ref="F7" si="3">E7*D7</f>
        <v>220758.5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1"/>
      <c r="IC7" s="41"/>
      <c r="ID7" s="41"/>
      <c r="IE7" s="41"/>
      <c r="IF7" s="41"/>
      <c r="IG7" s="41"/>
      <c r="IH7" s="41"/>
      <c r="II7" s="41"/>
      <c r="IJ7" s="42"/>
      <c r="IK7" s="42"/>
    </row>
    <row r="8" spans="1:245" ht="11.25" customHeight="1">
      <c r="A8" s="35" t="s">
        <v>58</v>
      </c>
      <c r="B8" s="46">
        <v>455912</v>
      </c>
      <c r="C8" s="47">
        <v>413612</v>
      </c>
      <c r="D8" s="48">
        <f t="shared" si="1"/>
        <v>434762</v>
      </c>
      <c r="E8" s="49">
        <v>0</v>
      </c>
      <c r="F8" s="48">
        <f t="shared" si="0"/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1"/>
      <c r="IC8" s="41"/>
      <c r="ID8" s="41"/>
      <c r="IE8" s="41"/>
      <c r="IF8" s="41"/>
      <c r="IG8" s="41"/>
      <c r="IH8" s="41"/>
      <c r="II8" s="41"/>
      <c r="IJ8" s="42"/>
      <c r="IK8" s="42"/>
    </row>
    <row r="9" spans="1:245" ht="11.25" customHeight="1">
      <c r="A9" s="35" t="s">
        <v>59</v>
      </c>
      <c r="B9" s="46">
        <v>582020</v>
      </c>
      <c r="C9" s="47">
        <v>597244</v>
      </c>
      <c r="D9" s="48">
        <f t="shared" ref="D9:D10" si="4">AVERAGE(B9:C9)</f>
        <v>589632</v>
      </c>
      <c r="E9" s="49">
        <v>0</v>
      </c>
      <c r="F9" s="48">
        <f t="shared" ref="F9:F10" si="5">E9*D9</f>
        <v>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1"/>
      <c r="IC9" s="41"/>
      <c r="ID9" s="41"/>
      <c r="IE9" s="41"/>
      <c r="IF9" s="41"/>
      <c r="IG9" s="41"/>
      <c r="IH9" s="41"/>
      <c r="II9" s="41"/>
      <c r="IJ9" s="42"/>
      <c r="IK9" s="42"/>
    </row>
    <row r="10" spans="1:245" ht="11.25" customHeight="1">
      <c r="A10" s="35" t="s">
        <v>60</v>
      </c>
      <c r="B10" s="46">
        <v>600000</v>
      </c>
      <c r="C10" s="47">
        <v>600000</v>
      </c>
      <c r="D10" s="48">
        <f t="shared" si="4"/>
        <v>600000</v>
      </c>
      <c r="E10" s="49">
        <v>0</v>
      </c>
      <c r="F10" s="48">
        <f t="shared" si="5"/>
        <v>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1"/>
      <c r="IC10" s="41"/>
      <c r="ID10" s="41"/>
      <c r="IE10" s="41"/>
      <c r="IF10" s="41"/>
      <c r="IG10" s="41"/>
      <c r="IH10" s="41"/>
      <c r="II10" s="41"/>
      <c r="IJ10" s="42"/>
      <c r="IK10" s="42"/>
    </row>
    <row r="11" spans="1:245" ht="11.25" customHeight="1">
      <c r="A11" s="35" t="s">
        <v>61</v>
      </c>
      <c r="B11" s="46">
        <f>245737+336283+300000+300000+259940+180040+255090</f>
        <v>1877090</v>
      </c>
      <c r="C11" s="47">
        <f>238671+358573+300000+300000+59768+200000</f>
        <v>1457012</v>
      </c>
      <c r="D11" s="48">
        <f t="shared" si="1"/>
        <v>1667051</v>
      </c>
      <c r="E11" s="49">
        <v>1</v>
      </c>
      <c r="F11" s="48">
        <f t="shared" si="0"/>
        <v>1667051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1"/>
      <c r="IC11" s="41"/>
      <c r="ID11" s="41"/>
      <c r="IE11" s="41"/>
      <c r="IF11" s="41"/>
      <c r="IG11" s="41"/>
      <c r="IH11" s="41"/>
      <c r="II11" s="41"/>
      <c r="IJ11" s="42"/>
      <c r="IK11" s="42"/>
    </row>
    <row r="12" spans="1:245" ht="11.25" customHeight="1">
      <c r="A12" s="35" t="s">
        <v>52</v>
      </c>
      <c r="B12" s="46">
        <v>0</v>
      </c>
      <c r="C12" s="47">
        <v>12158</v>
      </c>
      <c r="D12" s="48">
        <f t="shared" ref="D12" si="6">AVERAGE(B12:C12)</f>
        <v>6079</v>
      </c>
      <c r="E12" s="49">
        <v>0.25</v>
      </c>
      <c r="F12" s="48">
        <f t="shared" ref="F12" si="7">E12*D12</f>
        <v>1519.75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1"/>
      <c r="IC12" s="41"/>
      <c r="ID12" s="41"/>
      <c r="IE12" s="41"/>
      <c r="IF12" s="41"/>
      <c r="IG12" s="41"/>
      <c r="IH12" s="41"/>
      <c r="II12" s="41"/>
      <c r="IJ12" s="42"/>
      <c r="IK12" s="42"/>
    </row>
    <row r="13" spans="1:245" ht="11.25" customHeight="1">
      <c r="A13" s="35" t="s">
        <v>4</v>
      </c>
      <c r="B13" s="46">
        <v>-123892</v>
      </c>
      <c r="C13" s="46">
        <v>-90019</v>
      </c>
      <c r="D13" s="48">
        <f t="shared" si="1"/>
        <v>-106955.5</v>
      </c>
      <c r="E13" s="49">
        <v>1</v>
      </c>
      <c r="F13" s="48">
        <f t="shared" si="0"/>
        <v>-106955.5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1"/>
      <c r="IC13" s="41"/>
      <c r="ID13" s="41"/>
      <c r="IE13" s="41"/>
      <c r="IF13" s="41"/>
      <c r="IG13" s="41"/>
      <c r="IH13" s="41"/>
      <c r="II13" s="41"/>
      <c r="IJ13" s="42"/>
      <c r="IK13" s="42"/>
    </row>
    <row r="14" spans="1:245" ht="11.25" customHeight="1">
      <c r="A14" s="34" t="s">
        <v>62</v>
      </c>
      <c r="B14" s="44" t="s">
        <v>50</v>
      </c>
      <c r="C14" s="44" t="s">
        <v>51</v>
      </c>
      <c r="D14" s="44" t="s">
        <v>1</v>
      </c>
      <c r="E14" s="45" t="s">
        <v>2</v>
      </c>
      <c r="F14" s="44" t="s">
        <v>3</v>
      </c>
      <c r="G14" s="40"/>
      <c r="H14" s="69" t="s">
        <v>69</v>
      </c>
      <c r="I14" s="69">
        <v>84003655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1"/>
      <c r="IC14" s="41"/>
      <c r="ID14" s="41"/>
      <c r="IE14" s="41"/>
      <c r="IF14" s="41"/>
      <c r="IG14" s="41"/>
      <c r="IH14" s="41"/>
      <c r="II14" s="41"/>
      <c r="IJ14" s="42"/>
      <c r="IK14" s="42"/>
    </row>
    <row r="15" spans="1:245" ht="11.25" customHeight="1">
      <c r="A15" s="35" t="s">
        <v>63</v>
      </c>
      <c r="B15" s="46">
        <v>180000</v>
      </c>
      <c r="C15" s="47">
        <v>180000</v>
      </c>
      <c r="D15" s="48">
        <f>AVERAGE(B15:C15)</f>
        <v>180000</v>
      </c>
      <c r="E15" s="49">
        <v>1</v>
      </c>
      <c r="F15" s="48">
        <f t="shared" ref="F15:F18" si="8">E15*D15</f>
        <v>180000</v>
      </c>
      <c r="G15" s="40"/>
      <c r="H15" s="69" t="s">
        <v>70</v>
      </c>
      <c r="I15" s="69">
        <v>104340788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1"/>
      <c r="IC15" s="41"/>
      <c r="ID15" s="41"/>
      <c r="IE15" s="41"/>
      <c r="IF15" s="41"/>
      <c r="IG15" s="41"/>
      <c r="IH15" s="41"/>
      <c r="II15" s="41"/>
      <c r="IJ15" s="42"/>
      <c r="IK15" s="42"/>
    </row>
    <row r="16" spans="1:245" ht="11.25" customHeight="1">
      <c r="A16" s="35" t="s">
        <v>64</v>
      </c>
      <c r="B16" s="46">
        <f>300000+245737</f>
        <v>545737</v>
      </c>
      <c r="C16" s="47">
        <f>300000+238671</f>
        <v>538671</v>
      </c>
      <c r="D16" s="48">
        <f t="shared" ref="D16:D18" si="9">AVERAGE(B16:C16)</f>
        <v>542204</v>
      </c>
      <c r="E16" s="49">
        <v>0</v>
      </c>
      <c r="F16" s="48">
        <f t="shared" si="8"/>
        <v>0</v>
      </c>
      <c r="G16" s="40"/>
      <c r="H16" s="69" t="s">
        <v>71</v>
      </c>
      <c r="I16" s="69">
        <v>99592684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1"/>
      <c r="IC16" s="41"/>
      <c r="ID16" s="41"/>
      <c r="IE16" s="41"/>
      <c r="IF16" s="41"/>
      <c r="IG16" s="41"/>
      <c r="IH16" s="41"/>
      <c r="II16" s="41"/>
      <c r="IJ16" s="42"/>
      <c r="IK16" s="42"/>
    </row>
    <row r="17" spans="1:245" ht="11.25" customHeight="1">
      <c r="A17" s="35" t="s">
        <v>52</v>
      </c>
      <c r="B17" s="46">
        <v>1170</v>
      </c>
      <c r="C17" s="47">
        <f>1810+9000</f>
        <v>10810</v>
      </c>
      <c r="D17" s="48">
        <f t="shared" si="9"/>
        <v>5990</v>
      </c>
      <c r="E17" s="49">
        <v>0.25</v>
      </c>
      <c r="F17" s="48">
        <f t="shared" si="8"/>
        <v>1497.5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1"/>
      <c r="IC17" s="41"/>
      <c r="ID17" s="41"/>
      <c r="IE17" s="41"/>
      <c r="IF17" s="41"/>
      <c r="IG17" s="41"/>
      <c r="IH17" s="41"/>
      <c r="II17" s="41"/>
      <c r="IJ17" s="42"/>
      <c r="IK17" s="42"/>
    </row>
    <row r="18" spans="1:245" ht="11.25" customHeight="1">
      <c r="A18" s="35" t="s">
        <v>4</v>
      </c>
      <c r="B18" s="46">
        <v>-47164</v>
      </c>
      <c r="C18" s="46">
        <v>-40001</v>
      </c>
      <c r="D18" s="48">
        <f t="shared" si="9"/>
        <v>-43582.5</v>
      </c>
      <c r="E18" s="49">
        <v>1</v>
      </c>
      <c r="F18" s="48">
        <f t="shared" si="8"/>
        <v>-43582.5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1"/>
      <c r="IC18" s="41"/>
      <c r="ID18" s="41"/>
      <c r="IE18" s="41"/>
      <c r="IF18" s="41"/>
      <c r="IG18" s="41"/>
      <c r="IH18" s="41"/>
      <c r="II18" s="41"/>
      <c r="IJ18" s="42"/>
      <c r="IK18" s="42"/>
    </row>
    <row r="19" spans="1:245" ht="11.25" customHeight="1">
      <c r="A19" s="34" t="s">
        <v>65</v>
      </c>
      <c r="B19" s="44" t="s">
        <v>50</v>
      </c>
      <c r="C19" s="44" t="s">
        <v>51</v>
      </c>
      <c r="D19" s="44" t="s">
        <v>1</v>
      </c>
      <c r="E19" s="45" t="s">
        <v>2</v>
      </c>
      <c r="F19" s="44" t="s">
        <v>3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1"/>
      <c r="IC19" s="41"/>
      <c r="ID19" s="41"/>
      <c r="IE19" s="41"/>
      <c r="IF19" s="41"/>
      <c r="IG19" s="41"/>
      <c r="IH19" s="41"/>
      <c r="II19" s="41"/>
      <c r="IJ19" s="42"/>
      <c r="IK19" s="42"/>
    </row>
    <row r="20" spans="1:245" ht="11.25" customHeight="1">
      <c r="A20" s="35" t="s">
        <v>63</v>
      </c>
      <c r="B20" s="46">
        <v>180000</v>
      </c>
      <c r="C20" s="47">
        <v>180000</v>
      </c>
      <c r="D20" s="48">
        <f>AVERAGE(B20:C20)</f>
        <v>180000</v>
      </c>
      <c r="E20" s="49">
        <v>1</v>
      </c>
      <c r="F20" s="48">
        <f t="shared" ref="F20:F23" si="10">E20*D20</f>
        <v>180000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1"/>
      <c r="IC20" s="41"/>
      <c r="ID20" s="41"/>
      <c r="IE20" s="41"/>
      <c r="IF20" s="41"/>
      <c r="IG20" s="41"/>
      <c r="IH20" s="41"/>
      <c r="II20" s="41"/>
      <c r="IJ20" s="42"/>
      <c r="IK20" s="42"/>
    </row>
    <row r="21" spans="1:245" ht="11.25" customHeight="1">
      <c r="A21" s="35" t="s">
        <v>64</v>
      </c>
      <c r="B21" s="46">
        <f>300000+336283</f>
        <v>636283</v>
      </c>
      <c r="C21" s="47">
        <f>300000+358573</f>
        <v>658573</v>
      </c>
      <c r="D21" s="48">
        <f t="shared" ref="D21:D23" si="11">AVERAGE(B21:C21)</f>
        <v>647428</v>
      </c>
      <c r="E21" s="49">
        <v>0</v>
      </c>
      <c r="F21" s="48">
        <f t="shared" si="10"/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1"/>
      <c r="IC21" s="41"/>
      <c r="ID21" s="41"/>
      <c r="IE21" s="41"/>
      <c r="IF21" s="41"/>
      <c r="IG21" s="41"/>
      <c r="IH21" s="41"/>
      <c r="II21" s="41"/>
      <c r="IJ21" s="42"/>
      <c r="IK21" s="42"/>
    </row>
    <row r="22" spans="1:245" ht="11.25" customHeight="1">
      <c r="A22" s="35" t="s">
        <v>52</v>
      </c>
      <c r="B22" s="46">
        <v>2536</v>
      </c>
      <c r="C22" s="47">
        <f>1240+80000</f>
        <v>81240</v>
      </c>
      <c r="D22" s="48">
        <f t="shared" si="11"/>
        <v>41888</v>
      </c>
      <c r="E22" s="49">
        <v>0.25</v>
      </c>
      <c r="F22" s="48">
        <f t="shared" si="10"/>
        <v>10472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1"/>
      <c r="IC22" s="41"/>
      <c r="ID22" s="41"/>
      <c r="IE22" s="41"/>
      <c r="IF22" s="41"/>
      <c r="IG22" s="41"/>
      <c r="IH22" s="41"/>
      <c r="II22" s="41"/>
      <c r="IJ22" s="42"/>
      <c r="IK22" s="42"/>
    </row>
    <row r="23" spans="1:245" ht="11.25" customHeight="1">
      <c r="A23" s="35" t="s">
        <v>4</v>
      </c>
      <c r="B23" s="46">
        <v>-91069</v>
      </c>
      <c r="C23" s="46">
        <v>-69173</v>
      </c>
      <c r="D23" s="48">
        <f t="shared" si="11"/>
        <v>-80121</v>
      </c>
      <c r="E23" s="49">
        <v>1</v>
      </c>
      <c r="F23" s="48">
        <f t="shared" si="10"/>
        <v>-80121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1"/>
      <c r="IC23" s="41"/>
      <c r="ID23" s="41"/>
      <c r="IE23" s="41"/>
      <c r="IF23" s="41"/>
      <c r="IG23" s="41"/>
      <c r="IH23" s="41"/>
      <c r="II23" s="41"/>
      <c r="IJ23" s="42"/>
      <c r="IK23" s="42"/>
    </row>
    <row r="24" spans="1:245" ht="11.25" customHeight="1">
      <c r="A24" s="34" t="s">
        <v>66</v>
      </c>
      <c r="B24" s="44" t="s">
        <v>50</v>
      </c>
      <c r="C24" s="44" t="s">
        <v>51</v>
      </c>
      <c r="D24" s="44" t="s">
        <v>1</v>
      </c>
      <c r="E24" s="45" t="s">
        <v>2</v>
      </c>
      <c r="F24" s="44" t="s">
        <v>3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1"/>
      <c r="IC24" s="41"/>
      <c r="ID24" s="41"/>
      <c r="IE24" s="41"/>
      <c r="IF24" s="41"/>
      <c r="IG24" s="41"/>
      <c r="IH24" s="41"/>
      <c r="II24" s="41"/>
      <c r="IJ24" s="42"/>
      <c r="IK24" s="42"/>
    </row>
    <row r="25" spans="1:245" ht="11.25" customHeight="1">
      <c r="A25" s="35" t="s">
        <v>63</v>
      </c>
      <c r="B25" s="46">
        <v>180000</v>
      </c>
      <c r="C25" s="47">
        <v>120000</v>
      </c>
      <c r="D25" s="48">
        <f>AVERAGE(B25:C25)</f>
        <v>150000</v>
      </c>
      <c r="E25" s="49">
        <v>1</v>
      </c>
      <c r="F25" s="48">
        <f t="shared" ref="F25:F27" si="12">E25*D25</f>
        <v>150000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1"/>
      <c r="IC25" s="41"/>
      <c r="ID25" s="41"/>
      <c r="IE25" s="41"/>
      <c r="IF25" s="41"/>
      <c r="IG25" s="41"/>
      <c r="IH25" s="41"/>
      <c r="II25" s="41"/>
      <c r="IJ25" s="42"/>
      <c r="IK25" s="42"/>
    </row>
    <row r="26" spans="1:245" ht="11.25" customHeight="1">
      <c r="A26" s="35" t="s">
        <v>52</v>
      </c>
      <c r="B26" s="46">
        <v>0</v>
      </c>
      <c r="C26" s="47">
        <f>125000+49</f>
        <v>125049</v>
      </c>
      <c r="D26" s="48">
        <f t="shared" ref="D26:D27" si="13">AVERAGE(B26:C26)</f>
        <v>62524.5</v>
      </c>
      <c r="E26" s="49">
        <v>0.25</v>
      </c>
      <c r="F26" s="48">
        <f t="shared" si="12"/>
        <v>15631.125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1"/>
      <c r="IC26" s="41"/>
      <c r="ID26" s="41"/>
      <c r="IE26" s="41"/>
      <c r="IF26" s="41"/>
      <c r="IG26" s="41"/>
      <c r="IH26" s="41"/>
      <c r="II26" s="41"/>
      <c r="IJ26" s="42"/>
      <c r="IK26" s="42"/>
    </row>
    <row r="27" spans="1:245" ht="11.25" customHeight="1">
      <c r="A27" s="35" t="s">
        <v>4</v>
      </c>
      <c r="B27" s="46">
        <v>0</v>
      </c>
      <c r="C27" s="46">
        <v>-2334</v>
      </c>
      <c r="D27" s="48">
        <f t="shared" si="13"/>
        <v>-1167</v>
      </c>
      <c r="E27" s="49">
        <v>1</v>
      </c>
      <c r="F27" s="48">
        <f t="shared" si="12"/>
        <v>-1167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1"/>
      <c r="IC27" s="41"/>
      <c r="ID27" s="41"/>
      <c r="IE27" s="41"/>
      <c r="IF27" s="41"/>
      <c r="IG27" s="41"/>
      <c r="IH27" s="41"/>
      <c r="II27" s="41"/>
      <c r="IJ27" s="42"/>
      <c r="IK27" s="42"/>
    </row>
    <row r="28" spans="1:245" ht="11.25" customHeight="1">
      <c r="A28" s="34" t="s">
        <v>67</v>
      </c>
      <c r="B28" s="44" t="s">
        <v>50</v>
      </c>
      <c r="C28" s="44" t="s">
        <v>51</v>
      </c>
      <c r="D28" s="44" t="s">
        <v>1</v>
      </c>
      <c r="E28" s="45" t="s">
        <v>2</v>
      </c>
      <c r="F28" s="44" t="s">
        <v>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1"/>
      <c r="IC28" s="41"/>
      <c r="ID28" s="41"/>
      <c r="IE28" s="41"/>
      <c r="IF28" s="41"/>
      <c r="IG28" s="41"/>
      <c r="IH28" s="41"/>
      <c r="II28" s="41"/>
      <c r="IJ28" s="42"/>
      <c r="IK28" s="42"/>
    </row>
    <row r="29" spans="1:245" ht="11.25" customHeight="1">
      <c r="A29" s="35" t="s">
        <v>63</v>
      </c>
      <c r="B29" s="46">
        <v>120000</v>
      </c>
      <c r="C29" s="47">
        <v>120000</v>
      </c>
      <c r="D29" s="48">
        <f>AVERAGE(B29:C29)</f>
        <v>120000</v>
      </c>
      <c r="E29" s="49">
        <v>1</v>
      </c>
      <c r="F29" s="48">
        <f t="shared" ref="F29:F31" si="14">E29*D29</f>
        <v>120000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1"/>
      <c r="IC29" s="41"/>
      <c r="ID29" s="41"/>
      <c r="IE29" s="41"/>
      <c r="IF29" s="41"/>
      <c r="IG29" s="41"/>
      <c r="IH29" s="41"/>
      <c r="II29" s="41"/>
      <c r="IJ29" s="42"/>
      <c r="IK29" s="42"/>
    </row>
    <row r="30" spans="1:245" ht="11.25" customHeight="1">
      <c r="A30" s="35" t="s">
        <v>52</v>
      </c>
      <c r="B30" s="46">
        <v>255090</v>
      </c>
      <c r="C30" s="47">
        <f>6790+200000</f>
        <v>206790</v>
      </c>
      <c r="D30" s="48">
        <f t="shared" ref="D30:D31" si="15">AVERAGE(B30:C30)</f>
        <v>230940</v>
      </c>
      <c r="E30" s="49">
        <v>0</v>
      </c>
      <c r="F30" s="48">
        <f t="shared" si="14"/>
        <v>0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1"/>
      <c r="IC30" s="41"/>
      <c r="ID30" s="41"/>
      <c r="IE30" s="41"/>
      <c r="IF30" s="41"/>
      <c r="IG30" s="41"/>
      <c r="IH30" s="41"/>
      <c r="II30" s="41"/>
      <c r="IJ30" s="42"/>
      <c r="IK30" s="42"/>
    </row>
    <row r="31" spans="1:245" ht="11.25" customHeight="1">
      <c r="A31" s="35" t="s">
        <v>4</v>
      </c>
      <c r="B31" s="46">
        <v>0</v>
      </c>
      <c r="C31" s="46">
        <v>0</v>
      </c>
      <c r="D31" s="48">
        <f t="shared" si="15"/>
        <v>0</v>
      </c>
      <c r="E31" s="49">
        <v>1</v>
      </c>
      <c r="F31" s="48">
        <f t="shared" si="14"/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1"/>
      <c r="IC31" s="41"/>
      <c r="ID31" s="41"/>
      <c r="IE31" s="41"/>
      <c r="IF31" s="41"/>
      <c r="IG31" s="41"/>
      <c r="IH31" s="41"/>
      <c r="II31" s="41"/>
      <c r="IJ31" s="42"/>
      <c r="IK31" s="42"/>
    </row>
    <row r="32" spans="1:245" ht="11.25" customHeight="1">
      <c r="A32" s="34" t="s">
        <v>68</v>
      </c>
      <c r="B32" s="44" t="s">
        <v>50</v>
      </c>
      <c r="C32" s="44" t="s">
        <v>51</v>
      </c>
      <c r="D32" s="44" t="s">
        <v>1</v>
      </c>
      <c r="E32" s="45" t="s">
        <v>2</v>
      </c>
      <c r="F32" s="44" t="s">
        <v>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1"/>
      <c r="IC32" s="41"/>
      <c r="ID32" s="41"/>
      <c r="IE32" s="41"/>
      <c r="IF32" s="41"/>
      <c r="IG32" s="41"/>
      <c r="IH32" s="41"/>
      <c r="II32" s="41"/>
      <c r="IJ32" s="42"/>
      <c r="IK32" s="42"/>
    </row>
    <row r="33" spans="1:253" ht="11.25" customHeight="1">
      <c r="A33" s="35" t="s">
        <v>63</v>
      </c>
      <c r="B33" s="46">
        <v>120000</v>
      </c>
      <c r="C33" s="47">
        <v>120000</v>
      </c>
      <c r="D33" s="48">
        <f>AVERAGE(B33:C33)</f>
        <v>120000</v>
      </c>
      <c r="E33" s="49">
        <v>1</v>
      </c>
      <c r="F33" s="48">
        <f t="shared" ref="F33:F35" si="16">E33*D33</f>
        <v>120000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1"/>
      <c r="IC33" s="41"/>
      <c r="ID33" s="41"/>
      <c r="IE33" s="41"/>
      <c r="IF33" s="41"/>
      <c r="IG33" s="41"/>
      <c r="IH33" s="41"/>
      <c r="II33" s="41"/>
      <c r="IJ33" s="42"/>
      <c r="IK33" s="42"/>
    </row>
    <row r="34" spans="1:253" ht="11.25" customHeight="1">
      <c r="A34" s="35" t="s">
        <v>52</v>
      </c>
      <c r="B34" s="46">
        <v>180040</v>
      </c>
      <c r="C34" s="47">
        <f>1540+150000</f>
        <v>151540</v>
      </c>
      <c r="D34" s="48">
        <f t="shared" ref="D34:D35" si="17">AVERAGE(B34:C34)</f>
        <v>165790</v>
      </c>
      <c r="E34" s="49">
        <v>0</v>
      </c>
      <c r="F34" s="48">
        <f t="shared" si="16"/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1"/>
      <c r="IC34" s="41"/>
      <c r="ID34" s="41"/>
      <c r="IE34" s="41"/>
      <c r="IF34" s="41"/>
      <c r="IG34" s="41"/>
      <c r="IH34" s="41"/>
      <c r="II34" s="41"/>
      <c r="IJ34" s="42"/>
      <c r="IK34" s="42"/>
    </row>
    <row r="35" spans="1:253" ht="11.25" customHeight="1">
      <c r="A35" s="35" t="s">
        <v>4</v>
      </c>
      <c r="B35" s="46">
        <v>0</v>
      </c>
      <c r="C35" s="46">
        <v>0</v>
      </c>
      <c r="D35" s="48">
        <f t="shared" si="17"/>
        <v>0</v>
      </c>
      <c r="E35" s="49">
        <v>1</v>
      </c>
      <c r="F35" s="48">
        <f t="shared" si="16"/>
        <v>0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1"/>
      <c r="IC35" s="41"/>
      <c r="ID35" s="41"/>
      <c r="IE35" s="41"/>
      <c r="IF35" s="41"/>
      <c r="IG35" s="41"/>
      <c r="IH35" s="41"/>
      <c r="II35" s="41"/>
      <c r="IJ35" s="42"/>
      <c r="IK35" s="42"/>
    </row>
    <row r="36" spans="1:253" ht="11.25" customHeight="1">
      <c r="A36" s="50" t="s">
        <v>5</v>
      </c>
      <c r="B36" s="51"/>
      <c r="C36" s="52"/>
      <c r="D36" s="52"/>
      <c r="E36" s="53"/>
      <c r="F36" s="54">
        <f>+SUM(F2:F35)</f>
        <v>4117216.875</v>
      </c>
      <c r="G36" s="54">
        <f>(104340788-1564546)*10/100</f>
        <v>10277624.199999999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1"/>
      <c r="ID36" s="41"/>
      <c r="IE36" s="41"/>
      <c r="IF36" s="41"/>
      <c r="IG36" s="41"/>
      <c r="IH36" s="41"/>
      <c r="II36" s="41"/>
      <c r="IJ36" s="41"/>
      <c r="IK36" s="42"/>
      <c r="IS36" s="42"/>
    </row>
    <row r="37" spans="1:253" ht="11.25" customHeight="1">
      <c r="A37" s="36" t="s">
        <v>6</v>
      </c>
      <c r="B37" s="55"/>
      <c r="C37" s="56"/>
      <c r="D37" s="56"/>
      <c r="E37" s="57"/>
      <c r="F37" s="54">
        <f>F36/12</f>
        <v>343101.40625</v>
      </c>
      <c r="G37" s="54">
        <f>G36/12</f>
        <v>856468.68333333323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1"/>
      <c r="ID37" s="41"/>
      <c r="IE37" s="41"/>
      <c r="IF37" s="41"/>
      <c r="IG37" s="41"/>
      <c r="IH37" s="41"/>
      <c r="II37" s="41"/>
      <c r="IJ37" s="41"/>
      <c r="IK37" s="42"/>
      <c r="IS37" s="42"/>
    </row>
    <row r="38" spans="1:253" ht="11.25" customHeight="1">
      <c r="A38" s="36" t="s">
        <v>7</v>
      </c>
      <c r="B38" s="55"/>
      <c r="C38" s="56"/>
      <c r="D38" s="56"/>
      <c r="E38" s="57"/>
      <c r="F38" s="48">
        <f>RTR!L8</f>
        <v>159185</v>
      </c>
      <c r="G38" s="48">
        <f>RTR!L8</f>
        <v>159185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1"/>
      <c r="ID38" s="41"/>
      <c r="IE38" s="41"/>
      <c r="IF38" s="41"/>
      <c r="IG38" s="41"/>
      <c r="IH38" s="41"/>
      <c r="II38" s="41"/>
      <c r="IJ38" s="41"/>
      <c r="IK38" s="42"/>
      <c r="IS38" s="42"/>
    </row>
    <row r="39" spans="1:253" ht="11.25" customHeight="1">
      <c r="A39" s="36" t="s">
        <v>8</v>
      </c>
      <c r="B39" s="58"/>
      <c r="C39" s="59"/>
      <c r="D39" s="59"/>
      <c r="E39" s="60"/>
      <c r="F39" s="61">
        <v>0.65</v>
      </c>
      <c r="G39" s="61">
        <v>0.65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1"/>
      <c r="ID39" s="41"/>
      <c r="IE39" s="41"/>
      <c r="IF39" s="41"/>
      <c r="IG39" s="41"/>
      <c r="IH39" s="41"/>
      <c r="II39" s="41"/>
      <c r="IJ39" s="41"/>
      <c r="IK39" s="42"/>
      <c r="IS39" s="42"/>
    </row>
    <row r="40" spans="1:253" ht="11.25" customHeight="1">
      <c r="A40" s="36" t="s">
        <v>9</v>
      </c>
      <c r="B40" s="55"/>
      <c r="C40" s="56"/>
      <c r="D40" s="56"/>
      <c r="E40" s="57"/>
      <c r="F40" s="62">
        <f>(F37*F39)-F38</f>
        <v>63830.9140625</v>
      </c>
      <c r="G40" s="62">
        <f>(G37*G39)-G38</f>
        <v>397519.64416666667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1"/>
      <c r="ID40" s="41"/>
      <c r="IE40" s="41"/>
      <c r="IF40" s="41"/>
      <c r="IG40" s="41"/>
      <c r="IH40" s="41"/>
      <c r="II40" s="41"/>
      <c r="IJ40" s="41"/>
      <c r="IK40" s="42"/>
      <c r="IS40" s="42"/>
    </row>
    <row r="41" spans="1:253" ht="11.25" customHeight="1">
      <c r="A41" s="36" t="s">
        <v>10</v>
      </c>
      <c r="B41" s="55"/>
      <c r="C41" s="56"/>
      <c r="D41" s="56"/>
      <c r="E41" s="57"/>
      <c r="F41" s="36">
        <v>180</v>
      </c>
      <c r="G41" s="36">
        <v>180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1"/>
      <c r="ID41" s="41"/>
      <c r="IE41" s="41"/>
      <c r="IF41" s="41"/>
      <c r="IG41" s="41"/>
      <c r="IH41" s="41"/>
      <c r="II41" s="41"/>
      <c r="IJ41" s="41"/>
      <c r="IK41" s="42"/>
      <c r="IS41" s="42"/>
    </row>
    <row r="42" spans="1:253" ht="11.25" customHeight="1">
      <c r="A42" s="36" t="s">
        <v>11</v>
      </c>
      <c r="B42" s="55"/>
      <c r="C42" s="56"/>
      <c r="D42" s="56"/>
      <c r="E42" s="57"/>
      <c r="F42" s="61">
        <v>0.09</v>
      </c>
      <c r="G42" s="61">
        <v>0.09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1"/>
      <c r="ID42" s="41"/>
      <c r="IE42" s="41"/>
      <c r="IF42" s="41"/>
      <c r="IG42" s="41"/>
      <c r="IH42" s="41"/>
      <c r="II42" s="41"/>
      <c r="IJ42" s="41"/>
      <c r="IK42" s="42"/>
      <c r="IS42" s="42"/>
    </row>
    <row r="43" spans="1:253" ht="11.25" customHeight="1">
      <c r="A43" s="36" t="s">
        <v>12</v>
      </c>
      <c r="B43" s="55"/>
      <c r="C43" s="56"/>
      <c r="D43" s="56"/>
      <c r="E43" s="57"/>
      <c r="F43" s="63">
        <f>PMT(F42/12,F41,-100000)</f>
        <v>1014.2665841617796</v>
      </c>
      <c r="G43" s="63">
        <f>PMT(G42/12,G41,-100000)</f>
        <v>1014.2665841617796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1"/>
      <c r="ID43" s="41"/>
      <c r="IE43" s="41"/>
      <c r="IF43" s="41"/>
      <c r="IG43" s="41"/>
      <c r="IH43" s="41"/>
      <c r="II43" s="41"/>
      <c r="IJ43" s="41"/>
      <c r="IK43" s="42"/>
      <c r="IS43" s="42"/>
    </row>
    <row r="44" spans="1:253" ht="11.25" customHeight="1">
      <c r="A44" s="36" t="s">
        <v>13</v>
      </c>
      <c r="B44" s="55"/>
      <c r="C44" s="56"/>
      <c r="D44" s="56"/>
      <c r="E44" s="57"/>
      <c r="F44" s="64">
        <f>F40/F43</f>
        <v>62.933074064795093</v>
      </c>
      <c r="G44" s="64">
        <f>G40/G43</f>
        <v>391.92816797290908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1"/>
      <c r="ID44" s="41"/>
      <c r="IE44" s="41"/>
      <c r="IF44" s="41"/>
      <c r="IG44" s="41"/>
      <c r="IH44" s="41"/>
      <c r="II44" s="41"/>
      <c r="IJ44" s="41"/>
      <c r="IK44" s="42"/>
      <c r="IS44" s="42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zoomScale="112" zoomScaleNormal="112" workbookViewId="0">
      <selection activeCell="C11" sqref="C11"/>
    </sheetView>
  </sheetViews>
  <sheetFormatPr defaultColWidth="22.140625" defaultRowHeight="13.5"/>
  <cols>
    <col min="1" max="1" width="6.7109375" style="20" bestFit="1" customWidth="1"/>
    <col min="2" max="2" width="20.28515625" style="20" bestFit="1" customWidth="1"/>
    <col min="3" max="3" width="25" style="20" customWidth="1"/>
    <col min="4" max="4" width="15.42578125" style="20" customWidth="1"/>
    <col min="5" max="5" width="14" style="20" bestFit="1" customWidth="1"/>
    <col min="6" max="6" width="9.5703125" style="20" bestFit="1" customWidth="1"/>
    <col min="7" max="7" width="14.85546875" style="20" bestFit="1" customWidth="1"/>
    <col min="8" max="8" width="7.42578125" style="20" bestFit="1" customWidth="1"/>
    <col min="9" max="9" width="6.5703125" style="20" customWidth="1"/>
    <col min="10" max="10" width="5.42578125" style="20" bestFit="1" customWidth="1"/>
    <col min="11" max="11" width="8.7109375" style="20" bestFit="1" customWidth="1"/>
    <col min="12" max="12" width="11.7109375" style="20" bestFit="1" customWidth="1"/>
    <col min="13" max="248" width="22.140625" style="20"/>
    <col min="249" max="16384" width="22.140625" style="21"/>
  </cols>
  <sheetData>
    <row r="1" spans="1:12" ht="27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53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</row>
    <row r="2" spans="1:12">
      <c r="A2" s="28">
        <v>1</v>
      </c>
      <c r="B2" s="29" t="s">
        <v>72</v>
      </c>
      <c r="C2" s="30" t="s">
        <v>73</v>
      </c>
      <c r="D2" s="30" t="s">
        <v>74</v>
      </c>
      <c r="E2" s="31" t="s">
        <v>75</v>
      </c>
      <c r="F2" s="31">
        <v>750000</v>
      </c>
      <c r="G2" s="33">
        <v>43687</v>
      </c>
      <c r="H2" s="31">
        <v>36</v>
      </c>
      <c r="I2" s="31">
        <v>21</v>
      </c>
      <c r="J2" s="31">
        <f>36-21</f>
        <v>15</v>
      </c>
      <c r="K2" s="31">
        <v>26454</v>
      </c>
      <c r="L2" s="32" t="s">
        <v>25</v>
      </c>
    </row>
    <row r="3" spans="1:12">
      <c r="A3" s="28">
        <v>2</v>
      </c>
      <c r="B3" s="29">
        <v>20342670</v>
      </c>
      <c r="C3" s="30" t="s">
        <v>65</v>
      </c>
      <c r="D3" s="30" t="s">
        <v>76</v>
      </c>
      <c r="E3" s="31" t="s">
        <v>75</v>
      </c>
      <c r="F3" s="31">
        <v>125000</v>
      </c>
      <c r="G3" s="33">
        <v>43557</v>
      </c>
      <c r="H3" s="31">
        <v>24</v>
      </c>
      <c r="I3" s="31"/>
      <c r="J3" s="31"/>
      <c r="K3" s="31">
        <v>6193</v>
      </c>
      <c r="L3" s="32" t="s">
        <v>25</v>
      </c>
    </row>
    <row r="4" spans="1:12">
      <c r="A4" s="28">
        <v>3</v>
      </c>
      <c r="B4" s="29">
        <v>21347400000253</v>
      </c>
      <c r="C4" s="30" t="s">
        <v>73</v>
      </c>
      <c r="D4" s="30" t="s">
        <v>77</v>
      </c>
      <c r="E4" s="70"/>
      <c r="F4" s="70"/>
      <c r="G4" s="72"/>
      <c r="H4" s="70"/>
      <c r="I4" s="70"/>
      <c r="J4" s="70"/>
      <c r="K4" s="31">
        <v>30160</v>
      </c>
      <c r="L4" s="32" t="s">
        <v>25</v>
      </c>
    </row>
    <row r="5" spans="1:12">
      <c r="A5" s="28">
        <v>4</v>
      </c>
      <c r="B5" s="70"/>
      <c r="C5" s="71"/>
      <c r="D5" s="71"/>
      <c r="E5" s="70"/>
      <c r="F5" s="70"/>
      <c r="G5" s="72"/>
      <c r="H5" s="70"/>
      <c r="I5" s="70"/>
      <c r="J5" s="70"/>
      <c r="K5" s="31">
        <v>12760</v>
      </c>
      <c r="L5" s="32" t="s">
        <v>25</v>
      </c>
    </row>
    <row r="6" spans="1:12">
      <c r="A6" s="28">
        <v>5</v>
      </c>
      <c r="B6" s="29">
        <v>92983444</v>
      </c>
      <c r="C6" s="30" t="s">
        <v>73</v>
      </c>
      <c r="D6" s="30" t="s">
        <v>78</v>
      </c>
      <c r="E6" s="31" t="s">
        <v>79</v>
      </c>
      <c r="F6" s="31">
        <v>836000</v>
      </c>
      <c r="G6" s="33">
        <v>43715</v>
      </c>
      <c r="H6" s="31">
        <v>36</v>
      </c>
      <c r="I6" s="31">
        <v>20</v>
      </c>
      <c r="J6" s="31">
        <v>16</v>
      </c>
      <c r="K6" s="31">
        <v>26838</v>
      </c>
      <c r="L6" s="32" t="s">
        <v>25</v>
      </c>
    </row>
    <row r="7" spans="1:12">
      <c r="A7" s="28">
        <v>6</v>
      </c>
      <c r="B7" s="29" t="s">
        <v>80</v>
      </c>
      <c r="C7" s="30" t="s">
        <v>73</v>
      </c>
      <c r="D7" s="30" t="s">
        <v>81</v>
      </c>
      <c r="E7" s="31" t="s">
        <v>82</v>
      </c>
      <c r="F7" s="31">
        <v>2800000</v>
      </c>
      <c r="G7" s="33">
        <v>43132</v>
      </c>
      <c r="H7" s="31"/>
      <c r="I7" s="31"/>
      <c r="J7" s="31"/>
      <c r="K7" s="31">
        <v>56780</v>
      </c>
      <c r="L7" s="32" t="s">
        <v>25</v>
      </c>
    </row>
    <row r="8" spans="1:12">
      <c r="A8" s="24"/>
      <c r="B8" s="22"/>
      <c r="C8" s="22"/>
      <c r="D8" s="22"/>
      <c r="E8" s="23"/>
      <c r="F8" s="26"/>
      <c r="G8" s="26"/>
      <c r="H8" s="26"/>
      <c r="I8" s="26"/>
      <c r="J8" s="26"/>
      <c r="K8" s="22"/>
      <c r="L8" s="25">
        <f>SUMIF(L2:L7,"Y",K2:K7)</f>
        <v>159185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26</v>
      </c>
      <c r="B1" s="68"/>
      <c r="C1" s="2"/>
    </row>
    <row r="2" spans="1:6" ht="14.25" customHeight="1">
      <c r="A2" s="68" t="s">
        <v>27</v>
      </c>
      <c r="B2" s="68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2021-04-28T08:33:36Z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