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L13" i="1"/>
  <c r="K13"/>
  <c r="L14"/>
  <c r="K14"/>
  <c r="L13" i="2"/>
  <c r="C46" i="1"/>
  <c r="B45"/>
  <c r="B46"/>
  <c r="C41"/>
  <c r="D41" s="1"/>
  <c r="F41" s="1"/>
  <c r="C40"/>
  <c r="B41"/>
  <c r="B40"/>
  <c r="C37"/>
  <c r="C35"/>
  <c r="B37"/>
  <c r="B35"/>
  <c r="D47"/>
  <c r="F47" s="1"/>
  <c r="D46"/>
  <c r="F46" s="1"/>
  <c r="D45"/>
  <c r="F45" s="1"/>
  <c r="D44"/>
  <c r="F44" s="1"/>
  <c r="F48" s="1"/>
  <c r="D42"/>
  <c r="F42" s="1"/>
  <c r="D40"/>
  <c r="F40" s="1"/>
  <c r="D38"/>
  <c r="F38" s="1"/>
  <c r="D36"/>
  <c r="F36" s="1"/>
  <c r="C32"/>
  <c r="D32" s="1"/>
  <c r="F32" s="1"/>
  <c r="C31"/>
  <c r="D31" s="1"/>
  <c r="F31" s="1"/>
  <c r="B32"/>
  <c r="B31"/>
  <c r="D33"/>
  <c r="F33" s="1"/>
  <c r="D30"/>
  <c r="F30" s="1"/>
  <c r="C27"/>
  <c r="C25"/>
  <c r="D25" s="1"/>
  <c r="F25" s="1"/>
  <c r="B27"/>
  <c r="D26"/>
  <c r="F26" s="1"/>
  <c r="B25"/>
  <c r="D28"/>
  <c r="F28" s="1"/>
  <c r="D20"/>
  <c r="F20" s="1"/>
  <c r="C17"/>
  <c r="B17"/>
  <c r="C13"/>
  <c r="D12"/>
  <c r="F12" s="1"/>
  <c r="D5"/>
  <c r="F5" s="1"/>
  <c r="D11"/>
  <c r="F11" s="1"/>
  <c r="B13"/>
  <c r="D35" l="1"/>
  <c r="F35" s="1"/>
  <c r="D37"/>
  <c r="F37" s="1"/>
  <c r="D27"/>
  <c r="F27" s="1"/>
  <c r="J12" i="2"/>
  <c r="J11"/>
  <c r="J4"/>
  <c r="J3"/>
  <c r="J8"/>
  <c r="D9" i="1"/>
  <c r="F9" s="1"/>
  <c r="C6"/>
  <c r="C4"/>
  <c r="B6"/>
  <c r="F50" l="1"/>
  <c r="D23" l="1"/>
  <c r="D21"/>
  <c r="D18"/>
  <c r="D16"/>
  <c r="D10"/>
  <c r="D14"/>
  <c r="D4"/>
  <c r="D7"/>
  <c r="D2"/>
  <c r="D22" l="1"/>
  <c r="D13"/>
  <c r="F7"/>
  <c r="F4"/>
  <c r="F2"/>
  <c r="D3"/>
  <c r="D17" l="1"/>
  <c r="D6"/>
  <c r="F6" s="1"/>
  <c r="F3"/>
  <c r="F13" l="1"/>
  <c r="F10"/>
  <c r="F17" l="1"/>
  <c r="F55"/>
  <c r="F23" l="1"/>
  <c r="F22"/>
  <c r="F21"/>
  <c r="F18"/>
  <c r="F16"/>
  <c r="F14"/>
  <c r="F6" i="5" l="1"/>
  <c r="F7"/>
  <c r="F8"/>
  <c r="F9"/>
  <c r="F10"/>
  <c r="F11"/>
  <c r="F12"/>
  <c r="E13"/>
  <c r="F49" i="1" l="1"/>
  <c r="F13" i="5"/>
  <c r="F52" i="1" l="1"/>
  <c r="F56" s="1"/>
</calcChain>
</file>

<file path=xl/sharedStrings.xml><?xml version="1.0" encoding="utf-8"?>
<sst xmlns="http://schemas.openxmlformats.org/spreadsheetml/2006/main" count="222" uniqueCount="118">
  <si>
    <t>Eligibility</t>
  </si>
  <si>
    <t>Sr. No.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</si>
  <si>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</si>
  <si>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</si>
  <si>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</si>
  <si>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</si>
  <si>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</si>
  <si>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</si>
  <si>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</si>
  <si>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</si>
  <si>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</si>
  <si>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</si>
  <si>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</si>
  <si>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</si>
  <si>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</si>
  <si>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</si>
  <si>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</si>
  <si>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</si>
  <si>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</si>
  <si>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</si>
  <si>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</si>
  <si>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</si>
  <si>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</si>
  <si>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</si>
  <si>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</si>
  <si>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</si>
  <si>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</si>
  <si>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</si>
  <si>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</si>
  <si>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</si>
  <si>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</si>
  <si>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</si>
  <si>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</si>
  <si>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</si>
  <si>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</si>
  <si>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</si>
  <si>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</si>
  <si>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</si>
  <si>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</si>
  <si>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</si>
  <si>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</si>
  <si>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</si>
  <si>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EMI Considered</t>
  </si>
  <si>
    <t>2019-20</t>
  </si>
  <si>
    <t>2018-19</t>
  </si>
  <si>
    <t>Income from Other Sources</t>
  </si>
  <si>
    <t>Net Profit</t>
  </si>
  <si>
    <t>Less: Taxes Paid</t>
  </si>
  <si>
    <t>Income from house property</t>
  </si>
  <si>
    <t>y</t>
  </si>
  <si>
    <t>n</t>
  </si>
  <si>
    <t xml:space="preserve">Max FOIR          </t>
  </si>
  <si>
    <t>Income U/s 40 A(2)b</t>
  </si>
  <si>
    <t>Bank Interest</t>
  </si>
  <si>
    <t>Lap</t>
  </si>
  <si>
    <t>Loan Account No.</t>
  </si>
  <si>
    <t>ECL</t>
  </si>
  <si>
    <t>Sale Figure</t>
  </si>
  <si>
    <t>POS</t>
  </si>
  <si>
    <t>Pritam Singh Paramjit Singh Bhatia</t>
  </si>
  <si>
    <t>Depreciation</t>
  </si>
  <si>
    <t>Partner's Remuneration</t>
  </si>
  <si>
    <t>Amarjeet Textiles</t>
  </si>
  <si>
    <t>PSPSB</t>
  </si>
  <si>
    <t>APAC LAP17708795</t>
  </si>
  <si>
    <t>Kotak</t>
  </si>
  <si>
    <t>APAC LAP17715409</t>
  </si>
  <si>
    <t>APAC LAP18067917</t>
  </si>
  <si>
    <t>LAP18216674</t>
  </si>
  <si>
    <t>APAC LAP18156713</t>
  </si>
  <si>
    <t>APAC LAP17715437</t>
  </si>
  <si>
    <t>LAP18216618</t>
  </si>
  <si>
    <t>Limit</t>
  </si>
  <si>
    <t>LALUD00038665033</t>
  </si>
  <si>
    <t>Manjit Singh Bhatia</t>
  </si>
  <si>
    <t>ICICI</t>
  </si>
  <si>
    <t>AL</t>
  </si>
  <si>
    <t>Pritam Singh Bhatia</t>
  </si>
  <si>
    <t>AUR004202417718</t>
  </si>
  <si>
    <t>Paramjit Singh Bhatia</t>
  </si>
  <si>
    <t xml:space="preserve">Axis </t>
  </si>
  <si>
    <t>Repayment Account No</t>
  </si>
  <si>
    <t>10098 (PSPSB // Axis Bank)</t>
  </si>
  <si>
    <t>99149 (PSPSB // Kotak)</t>
  </si>
  <si>
    <t>10438 (AT // Kotak Bank)</t>
  </si>
  <si>
    <t>10618 (AT // Axis Bank)</t>
  </si>
  <si>
    <t>4074 (Manjit Singh // Axis Bank))</t>
  </si>
  <si>
    <t>3930 (Paramjit Singh // Axis Bank))</t>
  </si>
  <si>
    <t>Share in partnership firm (PSPSB)</t>
  </si>
  <si>
    <t>Income from business &amp; profession</t>
  </si>
  <si>
    <t>Amarjit Singh Bhatia</t>
  </si>
  <si>
    <t>Share in partnership firm (AT)</t>
  </si>
  <si>
    <t>Share in dashmesh silk store</t>
  </si>
  <si>
    <t>Daljit Singh Bhatia</t>
  </si>
  <si>
    <t>Income from salary (sukanya mobiles)</t>
  </si>
  <si>
    <t xml:space="preserve">Share in PSPSB </t>
  </si>
  <si>
    <t>Manjeet Singh Bhatia</t>
  </si>
  <si>
    <t>Share in Amarjeet Textiles</t>
  </si>
  <si>
    <t>Ramanpreet Kaur Bhatia</t>
  </si>
  <si>
    <t>Sunpreet Singh Bhatia</t>
  </si>
  <si>
    <t>Income from salary (Videotex international)</t>
  </si>
  <si>
    <t>Income from sukanya mobiles</t>
  </si>
  <si>
    <t>PSPSB Partners</t>
  </si>
  <si>
    <t>Paramjit Singh</t>
  </si>
  <si>
    <t>Pritam Singh</t>
  </si>
  <si>
    <t>Daljit Singh</t>
  </si>
  <si>
    <t>Ramanpreet Kaur</t>
  </si>
  <si>
    <t>Amarjeet Textiles Partners</t>
  </si>
  <si>
    <t>Amarjeet Singh</t>
  </si>
  <si>
    <t>Manjit Singh</t>
  </si>
  <si>
    <t>DB</t>
  </si>
  <si>
    <t>IDFC</t>
  </si>
  <si>
    <t>Axis /ICICI</t>
  </si>
  <si>
    <t>509 s.z. ( Paramjit Singh )</t>
  </si>
  <si>
    <t>As on 31/3/18</t>
  </si>
  <si>
    <t>As on 31/3/19</t>
  </si>
  <si>
    <t>As on 31/3/20</t>
  </si>
  <si>
    <t>As on oct 20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</si>
</sst>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8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"/>
      <name val="Cambria"/>
      <family val="1"/>
      <scheme val="major"/>
    </font>
    <font>
      <sz val="9"/>
      <color theme="9" tint="-0.249977111117893"/>
      <name val="Cambria"/>
      <family val="1"/>
      <scheme val="major"/>
    </font>
    <font>
      <sz val="9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0"/>
      <color rgb="FFFF0000"/>
      <name val="Cambria"/>
      <family val="1"/>
      <scheme val="maj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80">
    <xf numFmtId="0" fontId="0" fillId="0" borderId="0" xfId="0"/>
    <xf numFmtId="0" fontId="3" fillId="4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5" borderId="1" xfId="2" applyNumberFormat="1" applyFont="1" applyFill="1" applyBorder="1" applyAlignment="1" applyProtection="1">
      <alignment horizontal="left" vertical="top" wrapText="1"/>
      <protection hidden="1"/>
    </xf>
    <xf numFmtId="0" fontId="8" fillId="2" borderId="0" xfId="3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0" borderId="0" xfId="0" applyFont="1"/>
    <xf numFmtId="166" fontId="8" fillId="2" borderId="0" xfId="3" applyNumberFormat="1" applyFont="1" applyFill="1" applyBorder="1" applyAlignment="1">
      <alignment horizontal="left" vertical="center" wrapText="1"/>
    </xf>
    <xf numFmtId="165" fontId="8" fillId="2" borderId="2" xfId="1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>
      <alignment horizontal="left" vertical="center"/>
    </xf>
    <xf numFmtId="165" fontId="8" fillId="0" borderId="2" xfId="1" applyNumberFormat="1" applyFont="1" applyFill="1" applyBorder="1" applyAlignment="1" applyProtection="1">
      <alignment horizontal="left" vertical="center" wrapText="1"/>
    </xf>
    <xf numFmtId="0" fontId="8" fillId="0" borderId="2" xfId="0" applyNumberFormat="1" applyFont="1" applyFill="1" applyBorder="1" applyAlignment="1">
      <alignment horizontal="left" vertical="center"/>
    </xf>
    <xf numFmtId="165" fontId="8" fillId="0" borderId="2" xfId="1" applyNumberFormat="1" applyFont="1" applyFill="1" applyBorder="1" applyAlignment="1" applyProtection="1">
      <alignment horizontal="left" vertical="center"/>
    </xf>
    <xf numFmtId="10" fontId="8" fillId="0" borderId="2" xfId="1" applyNumberFormat="1" applyFont="1" applyFill="1" applyBorder="1" applyAlignment="1" applyProtection="1">
      <alignment horizontal="left" vertical="center"/>
    </xf>
    <xf numFmtId="165" fontId="8" fillId="7" borderId="2" xfId="1" applyNumberFormat="1" applyFont="1" applyFill="1" applyBorder="1" applyAlignment="1" applyProtection="1">
      <alignment horizontal="left" vertical="center" wrapText="1"/>
    </xf>
    <xf numFmtId="166" fontId="8" fillId="7" borderId="2" xfId="1" applyNumberFormat="1" applyFont="1" applyFill="1" applyBorder="1" applyAlignment="1" applyProtection="1">
      <alignment horizontal="left" vertical="center"/>
    </xf>
    <xf numFmtId="166" fontId="8" fillId="6" borderId="2" xfId="1" applyNumberFormat="1" applyFont="1" applyFill="1" applyBorder="1" applyAlignment="1" applyProtection="1">
      <alignment horizontal="left" vertical="center"/>
    </xf>
    <xf numFmtId="165" fontId="8" fillId="7" borderId="2" xfId="1" applyNumberFormat="1" applyFont="1" applyFill="1" applyBorder="1" applyAlignment="1" applyProtection="1">
      <alignment horizontal="left" vertical="center"/>
    </xf>
    <xf numFmtId="9" fontId="8" fillId="7" borderId="2" xfId="1" applyNumberFormat="1" applyFont="1" applyFill="1" applyBorder="1" applyAlignment="1" applyProtection="1">
      <alignment horizontal="left" vertical="center"/>
    </xf>
    <xf numFmtId="0" fontId="8" fillId="7" borderId="2" xfId="3" applyFont="1" applyFill="1" applyBorder="1" applyAlignment="1">
      <alignment horizontal="left" vertical="center" wrapText="1"/>
    </xf>
    <xf numFmtId="0" fontId="9" fillId="6" borderId="0" xfId="0" applyFont="1" applyFill="1" applyBorder="1" applyAlignment="1">
      <alignment horizontal="center"/>
    </xf>
    <xf numFmtId="0" fontId="9" fillId="6" borderId="0" xfId="0" applyFont="1" applyFill="1"/>
    <xf numFmtId="165" fontId="11" fillId="3" borderId="2" xfId="1" applyNumberFormat="1" applyFont="1" applyFill="1" applyBorder="1" applyAlignment="1" applyProtection="1">
      <alignment horizontal="left" vertical="center" wrapText="1"/>
    </xf>
    <xf numFmtId="9" fontId="11" fillId="3" borderId="2" xfId="1" applyNumberFormat="1" applyFont="1" applyFill="1" applyBorder="1" applyAlignment="1" applyProtection="1">
      <alignment horizontal="left" vertical="center" wrapText="1"/>
    </xf>
    <xf numFmtId="164" fontId="11" fillId="3" borderId="2" xfId="1" applyFont="1" applyFill="1" applyBorder="1" applyAlignment="1" applyProtection="1">
      <alignment horizontal="left" vertical="center" wrapText="1"/>
    </xf>
    <xf numFmtId="167" fontId="11" fillId="3" borderId="2" xfId="1" applyNumberFormat="1" applyFont="1" applyFill="1" applyBorder="1" applyAlignment="1" applyProtection="1">
      <alignment horizontal="left" vertical="center"/>
    </xf>
    <xf numFmtId="165" fontId="11" fillId="3" borderId="2" xfId="1" applyNumberFormat="1" applyFont="1" applyFill="1" applyBorder="1" applyAlignment="1" applyProtection="1">
      <alignment horizontal="left" vertical="center"/>
    </xf>
    <xf numFmtId="2" fontId="11" fillId="3" borderId="2" xfId="4" applyNumberFormat="1" applyFont="1" applyFill="1" applyBorder="1" applyAlignment="1" applyProtection="1">
      <alignment horizontal="left" vertical="center"/>
    </xf>
    <xf numFmtId="164" fontId="11" fillId="3" borderId="2" xfId="4" applyNumberFormat="1" applyFont="1" applyFill="1" applyBorder="1" applyAlignment="1" applyProtection="1">
      <alignment horizontal="left" vertical="center"/>
    </xf>
    <xf numFmtId="0" fontId="8" fillId="2" borderId="2" xfId="3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center"/>
    </xf>
    <xf numFmtId="0" fontId="12" fillId="11" borderId="2" xfId="0" applyFont="1" applyFill="1" applyBorder="1" applyAlignment="1">
      <alignment horizontal="left" vertical="center" wrapText="1"/>
    </xf>
    <xf numFmtId="0" fontId="12" fillId="10" borderId="2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5" fillId="0" borderId="2" xfId="0" applyFont="1" applyFill="1" applyBorder="1" applyAlignment="1">
      <alignment horizontal="left" vertical="center" wrapText="1"/>
    </xf>
    <xf numFmtId="1" fontId="15" fillId="6" borderId="2" xfId="0" applyNumberFormat="1" applyFont="1" applyFill="1" applyBorder="1" applyAlignment="1">
      <alignment horizontal="left" vertical="center" wrapText="1"/>
    </xf>
    <xf numFmtId="0" fontId="15" fillId="6" borderId="2" xfId="0" applyFont="1" applyFill="1" applyBorder="1" applyAlignment="1">
      <alignment horizontal="left" vertical="center" wrapText="1"/>
    </xf>
    <xf numFmtId="1" fontId="15" fillId="0" borderId="2" xfId="0" applyNumberFormat="1" applyFont="1" applyBorder="1" applyAlignment="1">
      <alignment horizontal="left" vertical="center" wrapText="1"/>
    </xf>
    <xf numFmtId="0" fontId="14" fillId="7" borderId="2" xfId="0" applyFont="1" applyFill="1" applyBorder="1" applyAlignment="1">
      <alignment horizontal="left"/>
    </xf>
    <xf numFmtId="2" fontId="14" fillId="7" borderId="2" xfId="0" applyNumberFormat="1" applyFont="1" applyFill="1" applyBorder="1" applyAlignment="1">
      <alignment horizontal="left"/>
    </xf>
    <xf numFmtId="1" fontId="14" fillId="7" borderId="2" xfId="0" applyNumberFormat="1" applyFont="1" applyFill="1" applyBorder="1" applyAlignment="1">
      <alignment horizontal="left"/>
    </xf>
    <xf numFmtId="0" fontId="14" fillId="7" borderId="2" xfId="0" applyFont="1" applyFill="1" applyBorder="1" applyAlignment="1">
      <alignment horizontal="left" vertical="center"/>
    </xf>
    <xf numFmtId="0" fontId="14" fillId="8" borderId="2" xfId="0" applyFont="1" applyFill="1" applyBorder="1" applyAlignment="1">
      <alignment horizontal="left" vertical="center"/>
    </xf>
    <xf numFmtId="2" fontId="14" fillId="2" borderId="2" xfId="0" applyNumberFormat="1" applyFont="1" applyFill="1" applyBorder="1" applyAlignment="1">
      <alignment horizontal="left"/>
    </xf>
    <xf numFmtId="0" fontId="16" fillId="8" borderId="2" xfId="0" applyFont="1" applyFill="1" applyBorder="1" applyAlignment="1">
      <alignment horizontal="left" vertical="center"/>
    </xf>
    <xf numFmtId="1" fontId="14" fillId="8" borderId="2" xfId="0" applyNumberFormat="1" applyFont="1" applyFill="1" applyBorder="1" applyAlignment="1">
      <alignment horizontal="left"/>
    </xf>
    <xf numFmtId="0" fontId="13" fillId="0" borderId="2" xfId="0" applyFont="1" applyBorder="1" applyAlignment="1">
      <alignment horizontal="left" vertical="center"/>
    </xf>
    <xf numFmtId="1" fontId="15" fillId="0" borderId="2" xfId="0" applyNumberFormat="1" applyFont="1" applyFill="1" applyBorder="1" applyAlignment="1">
      <alignment horizontal="left" vertical="center" wrapText="1"/>
    </xf>
    <xf numFmtId="1" fontId="13" fillId="2" borderId="2" xfId="0" applyNumberFormat="1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9" borderId="2" xfId="0" applyFont="1" applyFill="1" applyBorder="1" applyAlignment="1">
      <alignment horizontal="left"/>
    </xf>
    <xf numFmtId="9" fontId="17" fillId="7" borderId="2" xfId="1" applyNumberFormat="1" applyFont="1" applyFill="1" applyBorder="1" applyAlignment="1" applyProtection="1">
      <alignment horizontal="left" vertical="center"/>
    </xf>
    <xf numFmtId="0" fontId="15" fillId="12" borderId="2" xfId="0" applyFont="1" applyFill="1" applyBorder="1" applyAlignment="1">
      <alignment horizontal="left" vertical="center" wrapText="1"/>
    </xf>
    <xf numFmtId="0" fontId="15" fillId="13" borderId="2" xfId="0" applyFont="1" applyFill="1" applyBorder="1" applyAlignment="1">
      <alignment horizontal="left" vertical="center" wrapText="1"/>
    </xf>
    <xf numFmtId="0" fontId="15" fillId="14" borderId="2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3" fillId="4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L64"/>
  <sheetViews>
    <sheetView tabSelected="1" topLeftCell="B1" zoomScale="130" zoomScaleNormal="130" workbookViewId="0">
      <selection activeCell="L14" sqref="L14"/>
    </sheetView>
  </sheetViews>
  <sheetFormatPr defaultColWidth="31.28515625" defaultRowHeight="12.75"/>
  <cols>
    <col min="1" max="1" width="31.28515625" style="20" customWidth="1"/>
    <col min="2" max="2" width="12.28515625" style="20" customWidth="1"/>
    <col min="3" max="3" width="12" style="20" customWidth="1"/>
    <col min="4" max="4" width="14.28515625" style="20" customWidth="1"/>
    <col min="5" max="5" width="13" style="20" customWidth="1"/>
    <col min="6" max="6" width="14.5703125" style="20" customWidth="1"/>
    <col min="7" max="7" width="16.85546875" style="20" customWidth="1"/>
    <col min="8" max="8" width="15.140625" style="20" bestFit="1" customWidth="1"/>
    <col min="9" max="9" width="12.5703125" style="20" bestFit="1" customWidth="1"/>
    <col min="10" max="10" width="12.42578125" style="20" customWidth="1"/>
    <col min="11" max="11" width="13.140625" style="20" customWidth="1"/>
    <col min="12" max="12" width="13.7109375" style="20" customWidth="1"/>
    <col min="13" max="13" width="14.140625" style="20" customWidth="1"/>
    <col min="14" max="14" width="11.85546875" style="20" customWidth="1"/>
    <col min="15" max="15" width="12" style="20" customWidth="1"/>
    <col min="16" max="16" width="11" style="20" customWidth="1"/>
    <col min="17" max="17" width="11.5703125" style="20" customWidth="1"/>
    <col min="18" max="18" width="12" style="20" customWidth="1"/>
    <col min="19" max="236" width="31.28515625" style="20"/>
    <col min="237" max="244" width="31.28515625" style="21"/>
    <col min="245" max="246" width="31.28515625" style="22"/>
    <col min="247" max="16384" width="31.28515625" style="23"/>
  </cols>
  <sheetData>
    <row r="1" spans="1:12" ht="18" customHeight="1">
      <c r="A1" s="41" t="s">
        <v>59</v>
      </c>
      <c r="B1" s="41" t="s">
        <v>43</v>
      </c>
      <c r="C1" s="41" t="s">
        <v>44</v>
      </c>
      <c r="D1" s="41" t="s">
        <v>32</v>
      </c>
      <c r="E1" s="42" t="s">
        <v>0</v>
      </c>
      <c r="F1" s="41" t="s">
        <v>33</v>
      </c>
    </row>
    <row r="2" spans="1:12">
      <c r="A2" s="33" t="s">
        <v>46</v>
      </c>
      <c r="B2" s="34">
        <v>309977</v>
      </c>
      <c r="C2" s="35">
        <v>342872</v>
      </c>
      <c r="D2" s="36">
        <f>AVERAGE(B2:C2)</f>
        <v>326424.5</v>
      </c>
      <c r="E2" s="37">
        <v>1</v>
      </c>
      <c r="F2" s="36">
        <f>E2*D2</f>
        <v>326424.5</v>
      </c>
    </row>
    <row r="3" spans="1:12">
      <c r="A3" s="33" t="s">
        <v>60</v>
      </c>
      <c r="B3" s="34">
        <v>94589</v>
      </c>
      <c r="C3" s="35">
        <v>45127</v>
      </c>
      <c r="D3" s="36">
        <f t="shared" ref="D3:D7" si="0">AVERAGE(B3:C3)</f>
        <v>69858</v>
      </c>
      <c r="E3" s="37">
        <v>1</v>
      </c>
      <c r="F3" s="36">
        <f t="shared" ref="F3:F7" si="1">E3*D3</f>
        <v>69858</v>
      </c>
    </row>
    <row r="4" spans="1:12" ht="38.25">
      <c r="A4" s="33" t="s">
        <v>61</v>
      </c>
      <c r="B4" s="34">
        <v>108000</v>
      </c>
      <c r="C4" s="34">
        <f>24000+24000+30000+30000</f>
        <v>108000</v>
      </c>
      <c r="D4" s="36">
        <f t="shared" si="0"/>
        <v>108000</v>
      </c>
      <c r="E4" s="37">
        <v>0</v>
      </c>
      <c r="F4" s="36">
        <f t="shared" si="1"/>
        <v>0</v>
      </c>
      <c r="G4" s="26"/>
      <c r="H4" s="48" t="s">
        <v>102</v>
      </c>
      <c r="J4" s="48" t="s">
        <v>107</v>
      </c>
    </row>
    <row r="5" spans="1:12" ht="25.5">
      <c r="A5" s="33" t="s">
        <v>53</v>
      </c>
      <c r="B5" s="34">
        <v>9099303</v>
      </c>
      <c r="C5" s="34">
        <v>10250921</v>
      </c>
      <c r="D5" s="36">
        <f t="shared" ref="D5" si="2">AVERAGE(B5:C5)</f>
        <v>9675112</v>
      </c>
      <c r="E5" s="37">
        <v>1</v>
      </c>
      <c r="F5" s="36">
        <f t="shared" ref="F5" si="3">E5*D5</f>
        <v>9675112</v>
      </c>
      <c r="H5" s="48" t="s">
        <v>103</v>
      </c>
      <c r="J5" s="48" t="s">
        <v>108</v>
      </c>
    </row>
    <row r="6" spans="1:12">
      <c r="A6" s="33" t="s">
        <v>52</v>
      </c>
      <c r="B6" s="34">
        <f>22986+24000+30000+24000+30000+204000+120000+180000+204000</f>
        <v>838986</v>
      </c>
      <c r="C6" s="34">
        <f>24000+24000+30000+30000+204000+180000+120000+204000</f>
        <v>816000</v>
      </c>
      <c r="D6" s="36">
        <f t="shared" si="0"/>
        <v>827493</v>
      </c>
      <c r="E6" s="37">
        <v>1</v>
      </c>
      <c r="F6" s="36">
        <f t="shared" si="1"/>
        <v>827493</v>
      </c>
      <c r="H6" s="48" t="s">
        <v>104</v>
      </c>
      <c r="J6" s="48" t="s">
        <v>109</v>
      </c>
    </row>
    <row r="7" spans="1:12">
      <c r="A7" s="33" t="s">
        <v>47</v>
      </c>
      <c r="B7" s="34">
        <v>-97806</v>
      </c>
      <c r="C7" s="34">
        <v>-104680</v>
      </c>
      <c r="D7" s="36">
        <f t="shared" si="0"/>
        <v>-101243</v>
      </c>
      <c r="E7" s="37">
        <v>1</v>
      </c>
      <c r="F7" s="36">
        <f t="shared" si="1"/>
        <v>-101243</v>
      </c>
      <c r="H7" s="48" t="s">
        <v>105</v>
      </c>
    </row>
    <row r="8" spans="1:12">
      <c r="A8" s="41" t="s">
        <v>62</v>
      </c>
      <c r="B8" s="41" t="s">
        <v>43</v>
      </c>
      <c r="C8" s="41" t="s">
        <v>44</v>
      </c>
      <c r="D8" s="41" t="s">
        <v>32</v>
      </c>
      <c r="E8" s="42" t="s">
        <v>0</v>
      </c>
      <c r="F8" s="41" t="s">
        <v>33</v>
      </c>
      <c r="H8" s="48" t="s">
        <v>106</v>
      </c>
    </row>
    <row r="9" spans="1:12">
      <c r="A9" s="33" t="s">
        <v>46</v>
      </c>
      <c r="B9" s="38">
        <v>312752</v>
      </c>
      <c r="C9" s="34">
        <v>434268</v>
      </c>
      <c r="D9" s="36">
        <f>AVERAGE(B9:C9)</f>
        <v>373510</v>
      </c>
      <c r="E9" s="37">
        <v>1</v>
      </c>
      <c r="F9" s="36">
        <f>E9*D9</f>
        <v>373510</v>
      </c>
    </row>
    <row r="10" spans="1:12" ht="14.25" customHeight="1">
      <c r="A10" s="33" t="s">
        <v>60</v>
      </c>
      <c r="B10" s="34">
        <v>206884</v>
      </c>
      <c r="C10" s="35">
        <v>86852</v>
      </c>
      <c r="D10" s="36">
        <f t="shared" ref="D10:D14" si="4">AVERAGE(B10:C10)</f>
        <v>146868</v>
      </c>
      <c r="E10" s="37">
        <v>0.5</v>
      </c>
      <c r="F10" s="36">
        <f>E10*D10</f>
        <v>73434</v>
      </c>
    </row>
    <row r="11" spans="1:12">
      <c r="A11" s="33" t="s">
        <v>61</v>
      </c>
      <c r="B11" s="34">
        <v>840000</v>
      </c>
      <c r="C11" s="34">
        <v>840000</v>
      </c>
      <c r="D11" s="36">
        <f t="shared" si="4"/>
        <v>840000</v>
      </c>
      <c r="E11" s="37">
        <v>0</v>
      </c>
      <c r="F11" s="36">
        <f t="shared" ref="F11:F12" si="5">E11*D11</f>
        <v>0</v>
      </c>
      <c r="G11" s="26"/>
    </row>
    <row r="12" spans="1:12" ht="25.5">
      <c r="A12" s="33" t="s">
        <v>53</v>
      </c>
      <c r="B12" s="34">
        <v>5897012</v>
      </c>
      <c r="C12" s="34">
        <v>6286894</v>
      </c>
      <c r="D12" s="36">
        <f t="shared" si="4"/>
        <v>6091953</v>
      </c>
      <c r="E12" s="37">
        <v>1</v>
      </c>
      <c r="F12" s="36">
        <f t="shared" si="5"/>
        <v>6091953</v>
      </c>
      <c r="H12" s="48" t="s">
        <v>57</v>
      </c>
      <c r="I12" s="48" t="s">
        <v>114</v>
      </c>
      <c r="J12" s="48" t="s">
        <v>115</v>
      </c>
      <c r="K12" s="48" t="s">
        <v>116</v>
      </c>
      <c r="L12" s="48" t="s">
        <v>117</v>
      </c>
    </row>
    <row r="13" spans="1:12" ht="14.25" customHeight="1">
      <c r="A13" s="33" t="s">
        <v>52</v>
      </c>
      <c r="B13" s="34">
        <f>180000+600000+600000+240000+589081</f>
        <v>2209081</v>
      </c>
      <c r="C13" s="35">
        <f>600000+240000+180000+600000</f>
        <v>1620000</v>
      </c>
      <c r="D13" s="36">
        <f t="shared" si="4"/>
        <v>1914540.5</v>
      </c>
      <c r="E13" s="37">
        <v>1</v>
      </c>
      <c r="F13" s="36">
        <f>E13*D13</f>
        <v>1914540.5</v>
      </c>
      <c r="H13" s="48" t="s">
        <v>62</v>
      </c>
      <c r="I13" s="48">
        <v>148365996</v>
      </c>
      <c r="J13" s="48">
        <v>124317209</v>
      </c>
      <c r="K13" s="48">
        <f>10695649+5929539+5700339+4423374+5281221+7024908+9676929+9288413+6334915+7490387+8574892+4558924</f>
        <v>84979490</v>
      </c>
      <c r="L13" s="48">
        <f>0+1579150+2559033+4435247+1836533+3108216+8113695</f>
        <v>21631874</v>
      </c>
    </row>
    <row r="14" spans="1:12">
      <c r="A14" s="33" t="s">
        <v>47</v>
      </c>
      <c r="B14" s="34">
        <v>-100932</v>
      </c>
      <c r="C14" s="34">
        <v>-140560</v>
      </c>
      <c r="D14" s="36">
        <f t="shared" si="4"/>
        <v>-120746</v>
      </c>
      <c r="E14" s="37">
        <v>1</v>
      </c>
      <c r="F14" s="36">
        <f t="shared" ref="F14" si="6">E14*D14</f>
        <v>-120746</v>
      </c>
      <c r="H14" s="48" t="s">
        <v>63</v>
      </c>
      <c r="I14" s="48">
        <v>148772862</v>
      </c>
      <c r="J14" s="48">
        <v>124317209</v>
      </c>
      <c r="K14" s="48">
        <f>7763188+6563442+9573959+5391971+6325238+7801607+13020095+13520713+14139448+10508657+8505823+5053289</f>
        <v>108167430</v>
      </c>
      <c r="L14" s="48">
        <f>0+638046+1399217+3894117+4013890+3112424+6961019</f>
        <v>20018713</v>
      </c>
    </row>
    <row r="15" spans="1:12">
      <c r="A15" s="41" t="s">
        <v>77</v>
      </c>
      <c r="B15" s="41" t="s">
        <v>43</v>
      </c>
      <c r="C15" s="41" t="s">
        <v>44</v>
      </c>
      <c r="D15" s="41" t="s">
        <v>32</v>
      </c>
      <c r="E15" s="42" t="s">
        <v>0</v>
      </c>
      <c r="F15" s="41" t="s">
        <v>33</v>
      </c>
    </row>
    <row r="16" spans="1:12">
      <c r="A16" s="33" t="s">
        <v>88</v>
      </c>
      <c r="B16" s="38">
        <v>234000</v>
      </c>
      <c r="C16" s="34">
        <v>234000</v>
      </c>
      <c r="D16" s="36">
        <f>AVERAGE(B16:C16)</f>
        <v>234000</v>
      </c>
      <c r="E16" s="37">
        <v>0</v>
      </c>
      <c r="F16" s="36">
        <f t="shared" ref="F16:F18" si="7">E16*D16</f>
        <v>0</v>
      </c>
    </row>
    <row r="17" spans="1:6">
      <c r="A17" s="33" t="s">
        <v>45</v>
      </c>
      <c r="B17" s="38">
        <f>612+172</f>
        <v>784</v>
      </c>
      <c r="C17" s="34">
        <f>1489+234+96</f>
        <v>1819</v>
      </c>
      <c r="D17" s="36">
        <f t="shared" ref="D17:D18" si="8">AVERAGE(B17:C17)</f>
        <v>1301.5</v>
      </c>
      <c r="E17" s="37">
        <v>0.5</v>
      </c>
      <c r="F17" s="36">
        <f t="shared" ref="F17" si="9">E17*D17</f>
        <v>650.75</v>
      </c>
    </row>
    <row r="18" spans="1:6">
      <c r="A18" s="33" t="s">
        <v>47</v>
      </c>
      <c r="B18" s="34">
        <v>0</v>
      </c>
      <c r="C18" s="34">
        <v>-16954</v>
      </c>
      <c r="D18" s="36">
        <f t="shared" si="8"/>
        <v>-8477</v>
      </c>
      <c r="E18" s="37">
        <v>1</v>
      </c>
      <c r="F18" s="36">
        <f t="shared" si="7"/>
        <v>-8477</v>
      </c>
    </row>
    <row r="19" spans="1:6">
      <c r="A19" s="41" t="s">
        <v>79</v>
      </c>
      <c r="B19" s="41" t="s">
        <v>43</v>
      </c>
      <c r="C19" s="41" t="s">
        <v>44</v>
      </c>
      <c r="D19" s="41" t="s">
        <v>32</v>
      </c>
      <c r="E19" s="42" t="s">
        <v>0</v>
      </c>
      <c r="F19" s="41" t="s">
        <v>33</v>
      </c>
    </row>
    <row r="20" spans="1:6" ht="14.25" customHeight="1">
      <c r="A20" s="33" t="s">
        <v>89</v>
      </c>
      <c r="B20" s="34">
        <v>204000</v>
      </c>
      <c r="C20" s="35">
        <v>204000</v>
      </c>
      <c r="D20" s="36">
        <f>AVERAGE(B20:C20)</f>
        <v>204000</v>
      </c>
      <c r="E20" s="37">
        <v>0</v>
      </c>
      <c r="F20" s="36">
        <f t="shared" ref="F20" si="10">E20*D20</f>
        <v>0</v>
      </c>
    </row>
    <row r="21" spans="1:6" ht="14.25" customHeight="1">
      <c r="A21" s="33" t="s">
        <v>48</v>
      </c>
      <c r="B21" s="34">
        <v>330000</v>
      </c>
      <c r="C21" s="35">
        <v>0</v>
      </c>
      <c r="D21" s="36">
        <f>AVERAGE(B21:C21)</f>
        <v>165000</v>
      </c>
      <c r="E21" s="37">
        <v>0.5</v>
      </c>
      <c r="F21" s="36">
        <f t="shared" ref="F21:F23" si="11">E21*D21</f>
        <v>82500</v>
      </c>
    </row>
    <row r="22" spans="1:6">
      <c r="A22" s="33" t="s">
        <v>45</v>
      </c>
      <c r="B22" s="38">
        <v>61161</v>
      </c>
      <c r="C22" s="34">
        <v>45308</v>
      </c>
      <c r="D22" s="36">
        <f t="shared" ref="D22:D23" si="12">AVERAGE(B22:C22)</f>
        <v>53234.5</v>
      </c>
      <c r="E22" s="37">
        <v>0.5</v>
      </c>
      <c r="F22" s="36">
        <f t="shared" si="11"/>
        <v>26617.25</v>
      </c>
    </row>
    <row r="23" spans="1:6">
      <c r="A23" s="33" t="s">
        <v>47</v>
      </c>
      <c r="B23" s="34">
        <v>0</v>
      </c>
      <c r="C23" s="34">
        <v>0</v>
      </c>
      <c r="D23" s="36">
        <f t="shared" si="12"/>
        <v>0</v>
      </c>
      <c r="E23" s="37">
        <v>1</v>
      </c>
      <c r="F23" s="36">
        <f t="shared" si="11"/>
        <v>0</v>
      </c>
    </row>
    <row r="24" spans="1:6">
      <c r="A24" s="41" t="s">
        <v>90</v>
      </c>
      <c r="B24" s="41" t="s">
        <v>43</v>
      </c>
      <c r="C24" s="41" t="s">
        <v>44</v>
      </c>
      <c r="D24" s="41" t="s">
        <v>32</v>
      </c>
      <c r="E24" s="42" t="s">
        <v>0</v>
      </c>
      <c r="F24" s="41" t="s">
        <v>33</v>
      </c>
    </row>
    <row r="25" spans="1:6" ht="14.25" customHeight="1">
      <c r="A25" s="33" t="s">
        <v>91</v>
      </c>
      <c r="B25" s="34">
        <f>600000+180000</f>
        <v>780000</v>
      </c>
      <c r="C25" s="35">
        <f>600000+180000</f>
        <v>780000</v>
      </c>
      <c r="D25" s="36">
        <f>AVERAGE(B25:C25)</f>
        <v>780000</v>
      </c>
      <c r="E25" s="37">
        <v>0</v>
      </c>
      <c r="F25" s="36">
        <f t="shared" ref="F25:F28" si="13">E25*D25</f>
        <v>0</v>
      </c>
    </row>
    <row r="26" spans="1:6" ht="14.25" customHeight="1">
      <c r="A26" s="33" t="s">
        <v>92</v>
      </c>
      <c r="B26" s="34">
        <v>12000</v>
      </c>
      <c r="C26" s="35">
        <v>60000</v>
      </c>
      <c r="D26" s="36">
        <f>AVERAGE(B26:C26)</f>
        <v>36000</v>
      </c>
      <c r="E26" s="70">
        <v>1</v>
      </c>
      <c r="F26" s="36">
        <f t="shared" ref="F26" si="14">E26*D26</f>
        <v>36000</v>
      </c>
    </row>
    <row r="27" spans="1:6">
      <c r="A27" s="33" t="s">
        <v>45</v>
      </c>
      <c r="B27" s="38">
        <f>17671+1960+232+1405+582</f>
        <v>21850</v>
      </c>
      <c r="C27" s="34">
        <f>236+4717+374+253+344</f>
        <v>5924</v>
      </c>
      <c r="D27" s="36">
        <f t="shared" ref="D27:D28" si="15">AVERAGE(B27:C27)</f>
        <v>13887</v>
      </c>
      <c r="E27" s="37">
        <v>0.5</v>
      </c>
      <c r="F27" s="36">
        <f t="shared" si="13"/>
        <v>6943.5</v>
      </c>
    </row>
    <row r="28" spans="1:6">
      <c r="A28" s="33" t="s">
        <v>47</v>
      </c>
      <c r="B28" s="34">
        <v>-58445</v>
      </c>
      <c r="C28" s="34">
        <v>-80439</v>
      </c>
      <c r="D28" s="36">
        <f t="shared" si="15"/>
        <v>-69442</v>
      </c>
      <c r="E28" s="37">
        <v>1</v>
      </c>
      <c r="F28" s="36">
        <f t="shared" si="13"/>
        <v>-69442</v>
      </c>
    </row>
    <row r="29" spans="1:6">
      <c r="A29" s="41" t="s">
        <v>93</v>
      </c>
      <c r="B29" s="41" t="s">
        <v>43</v>
      </c>
      <c r="C29" s="41" t="s">
        <v>44</v>
      </c>
      <c r="D29" s="41" t="s">
        <v>32</v>
      </c>
      <c r="E29" s="42" t="s">
        <v>0</v>
      </c>
      <c r="F29" s="41" t="s">
        <v>33</v>
      </c>
    </row>
    <row r="30" spans="1:6" ht="14.25" customHeight="1">
      <c r="A30" s="33" t="s">
        <v>94</v>
      </c>
      <c r="B30" s="34">
        <v>240000</v>
      </c>
      <c r="C30" s="35">
        <v>0</v>
      </c>
      <c r="D30" s="36">
        <f>AVERAGE(B30:C30)</f>
        <v>120000</v>
      </c>
      <c r="E30" s="37">
        <v>0</v>
      </c>
      <c r="F30" s="36">
        <f t="shared" ref="F30:F33" si="16">E30*D30</f>
        <v>0</v>
      </c>
    </row>
    <row r="31" spans="1:6" ht="14.25" customHeight="1">
      <c r="A31" s="33" t="s">
        <v>95</v>
      </c>
      <c r="B31" s="34">
        <f>30000+120000</f>
        <v>150000</v>
      </c>
      <c r="C31" s="35">
        <f>30000+120000</f>
        <v>150000</v>
      </c>
      <c r="D31" s="36">
        <f>AVERAGE(B31:C31)</f>
        <v>150000</v>
      </c>
      <c r="E31" s="37">
        <v>0</v>
      </c>
      <c r="F31" s="36">
        <f t="shared" si="16"/>
        <v>0</v>
      </c>
    </row>
    <row r="32" spans="1:6">
      <c r="A32" s="33" t="s">
        <v>45</v>
      </c>
      <c r="B32" s="38">
        <f>1956+458+219</f>
        <v>2633</v>
      </c>
      <c r="C32" s="34">
        <f>1736+791+833+178</f>
        <v>3538</v>
      </c>
      <c r="D32" s="36">
        <f t="shared" ref="D32:D33" si="17">AVERAGE(B32:C32)</f>
        <v>3085.5</v>
      </c>
      <c r="E32" s="37">
        <v>0.5</v>
      </c>
      <c r="F32" s="36">
        <f t="shared" si="16"/>
        <v>1542.75</v>
      </c>
    </row>
    <row r="33" spans="1:6">
      <c r="A33" s="33" t="s">
        <v>47</v>
      </c>
      <c r="B33" s="34">
        <v>0</v>
      </c>
      <c r="C33" s="34">
        <v>0</v>
      </c>
      <c r="D33" s="36">
        <f t="shared" si="17"/>
        <v>0</v>
      </c>
      <c r="E33" s="37">
        <v>1</v>
      </c>
      <c r="F33" s="36">
        <f t="shared" si="16"/>
        <v>0</v>
      </c>
    </row>
    <row r="34" spans="1:6">
      <c r="A34" s="41" t="s">
        <v>96</v>
      </c>
      <c r="B34" s="41" t="s">
        <v>43</v>
      </c>
      <c r="C34" s="41" t="s">
        <v>44</v>
      </c>
      <c r="D34" s="41" t="s">
        <v>32</v>
      </c>
      <c r="E34" s="42" t="s">
        <v>0</v>
      </c>
      <c r="F34" s="41" t="s">
        <v>33</v>
      </c>
    </row>
    <row r="35" spans="1:6" ht="14.25" customHeight="1">
      <c r="A35" s="33" t="s">
        <v>97</v>
      </c>
      <c r="B35" s="34">
        <f>240000+600000</f>
        <v>840000</v>
      </c>
      <c r="C35" s="35">
        <f>240000+600000</f>
        <v>840000</v>
      </c>
      <c r="D35" s="36">
        <f>AVERAGE(B35:C35)</f>
        <v>840000</v>
      </c>
      <c r="E35" s="37">
        <v>0</v>
      </c>
      <c r="F35" s="36">
        <f t="shared" ref="F35:F38" si="18">E35*D35</f>
        <v>0</v>
      </c>
    </row>
    <row r="36" spans="1:6" ht="14.25" customHeight="1">
      <c r="A36" s="33" t="s">
        <v>48</v>
      </c>
      <c r="B36" s="34">
        <v>30000</v>
      </c>
      <c r="C36" s="35">
        <v>36000</v>
      </c>
      <c r="D36" s="36">
        <f>AVERAGE(B36:C36)</f>
        <v>33000</v>
      </c>
      <c r="E36" s="37">
        <v>0.5</v>
      </c>
      <c r="F36" s="36">
        <f t="shared" si="18"/>
        <v>16500</v>
      </c>
    </row>
    <row r="37" spans="1:6">
      <c r="A37" s="33" t="s">
        <v>45</v>
      </c>
      <c r="B37" s="38">
        <f>2508+546+964+22986</f>
        <v>27004</v>
      </c>
      <c r="C37" s="34">
        <f>1160+559+192+2904+27670</f>
        <v>32485</v>
      </c>
      <c r="D37" s="36">
        <f t="shared" ref="D37:D38" si="19">AVERAGE(B37:C37)</f>
        <v>29744.5</v>
      </c>
      <c r="E37" s="37">
        <v>0.5</v>
      </c>
      <c r="F37" s="36">
        <f t="shared" si="18"/>
        <v>14872.25</v>
      </c>
    </row>
    <row r="38" spans="1:6">
      <c r="A38" s="33" t="s">
        <v>47</v>
      </c>
      <c r="B38" s="34">
        <v>-87462</v>
      </c>
      <c r="C38" s="34">
        <v>-121336</v>
      </c>
      <c r="D38" s="36">
        <f t="shared" si="19"/>
        <v>-104399</v>
      </c>
      <c r="E38" s="37">
        <v>1</v>
      </c>
      <c r="F38" s="36">
        <f t="shared" si="18"/>
        <v>-104399</v>
      </c>
    </row>
    <row r="39" spans="1:6">
      <c r="A39" s="41" t="s">
        <v>98</v>
      </c>
      <c r="B39" s="41" t="s">
        <v>43</v>
      </c>
      <c r="C39" s="41" t="s">
        <v>44</v>
      </c>
      <c r="D39" s="41" t="s">
        <v>32</v>
      </c>
      <c r="E39" s="42" t="s">
        <v>0</v>
      </c>
      <c r="F39" s="41" t="s">
        <v>33</v>
      </c>
    </row>
    <row r="40" spans="1:6" ht="14.25" customHeight="1">
      <c r="A40" s="33" t="s">
        <v>95</v>
      </c>
      <c r="B40" s="34">
        <f>24000+204000</f>
        <v>228000</v>
      </c>
      <c r="C40" s="35">
        <f>24000+204000</f>
        <v>228000</v>
      </c>
      <c r="D40" s="36">
        <f>AVERAGE(B40:C40)</f>
        <v>228000</v>
      </c>
      <c r="E40" s="37">
        <v>0</v>
      </c>
      <c r="F40" s="36">
        <f t="shared" ref="F40:F42" si="20">E40*D40</f>
        <v>0</v>
      </c>
    </row>
    <row r="41" spans="1:6">
      <c r="A41" s="33" t="s">
        <v>45</v>
      </c>
      <c r="B41" s="38">
        <f>459+950</f>
        <v>1409</v>
      </c>
      <c r="C41" s="34">
        <f>57+914</f>
        <v>971</v>
      </c>
      <c r="D41" s="36">
        <f t="shared" ref="D41:D42" si="21">AVERAGE(B41:C41)</f>
        <v>1190</v>
      </c>
      <c r="E41" s="37">
        <v>0.5</v>
      </c>
      <c r="F41" s="36">
        <f t="shared" si="20"/>
        <v>595</v>
      </c>
    </row>
    <row r="42" spans="1:6">
      <c r="A42" s="33" t="s">
        <v>47</v>
      </c>
      <c r="B42" s="34">
        <v>-1000</v>
      </c>
      <c r="C42" s="34">
        <v>0</v>
      </c>
      <c r="D42" s="36">
        <f t="shared" si="21"/>
        <v>-500</v>
      </c>
      <c r="E42" s="37">
        <v>1</v>
      </c>
      <c r="F42" s="36">
        <f t="shared" si="20"/>
        <v>-500</v>
      </c>
    </row>
    <row r="43" spans="1:6">
      <c r="A43" s="41" t="s">
        <v>99</v>
      </c>
      <c r="B43" s="41" t="s">
        <v>43</v>
      </c>
      <c r="C43" s="41" t="s">
        <v>44</v>
      </c>
      <c r="D43" s="41" t="s">
        <v>32</v>
      </c>
      <c r="E43" s="42" t="s">
        <v>0</v>
      </c>
      <c r="F43" s="41" t="s">
        <v>33</v>
      </c>
    </row>
    <row r="44" spans="1:6" ht="14.25" customHeight="1">
      <c r="A44" s="33" t="s">
        <v>100</v>
      </c>
      <c r="B44" s="34">
        <v>660000</v>
      </c>
      <c r="C44" s="35">
        <v>540000</v>
      </c>
      <c r="D44" s="36">
        <f>AVERAGE(B44:C44)</f>
        <v>600000</v>
      </c>
      <c r="E44" s="70">
        <v>1</v>
      </c>
      <c r="F44" s="36">
        <f t="shared" ref="F44:F47" si="22">E44*D44</f>
        <v>600000</v>
      </c>
    </row>
    <row r="45" spans="1:6" ht="14.25" customHeight="1">
      <c r="A45" s="33" t="s">
        <v>101</v>
      </c>
      <c r="B45" s="34">
        <f>90000+670203</f>
        <v>760203</v>
      </c>
      <c r="C45" s="35">
        <v>0</v>
      </c>
      <c r="D45" s="36">
        <f>AVERAGE(B45:C45)</f>
        <v>380101.5</v>
      </c>
      <c r="E45" s="37">
        <v>0</v>
      </c>
      <c r="F45" s="36">
        <f t="shared" si="22"/>
        <v>0</v>
      </c>
    </row>
    <row r="46" spans="1:6">
      <c r="A46" s="33" t="s">
        <v>45</v>
      </c>
      <c r="B46" s="38">
        <f>1335+11917</f>
        <v>13252</v>
      </c>
      <c r="C46" s="34">
        <f>1072+630+371748</f>
        <v>373450</v>
      </c>
      <c r="D46" s="36">
        <f t="shared" ref="D46:D47" si="23">AVERAGE(B46:C46)</f>
        <v>193351</v>
      </c>
      <c r="E46" s="37">
        <v>0.5</v>
      </c>
      <c r="F46" s="36">
        <f t="shared" si="22"/>
        <v>96675.5</v>
      </c>
    </row>
    <row r="47" spans="1:6">
      <c r="A47" s="33" t="s">
        <v>47</v>
      </c>
      <c r="B47" s="34">
        <v>-228219</v>
      </c>
      <c r="C47" s="34">
        <v>-88579</v>
      </c>
      <c r="D47" s="36">
        <f t="shared" si="23"/>
        <v>-158399</v>
      </c>
      <c r="E47" s="37">
        <v>1</v>
      </c>
      <c r="F47" s="36">
        <f t="shared" si="22"/>
        <v>-158399</v>
      </c>
    </row>
    <row r="48" spans="1:6" ht="15.4" customHeight="1">
      <c r="A48" s="43" t="s">
        <v>34</v>
      </c>
      <c r="B48" s="28"/>
      <c r="C48" s="28"/>
      <c r="D48" s="28"/>
      <c r="E48" s="28"/>
      <c r="F48" s="44">
        <f>+SUM(F2:F47)</f>
        <v>19672016</v>
      </c>
    </row>
    <row r="49" spans="1:6" ht="16.350000000000001" customHeight="1">
      <c r="A49" s="29" t="s">
        <v>35</v>
      </c>
      <c r="B49" s="30"/>
      <c r="C49" s="30"/>
      <c r="D49" s="30"/>
      <c r="E49" s="30"/>
      <c r="F49" s="44">
        <f>F48/12</f>
        <v>1639334.6666666667</v>
      </c>
    </row>
    <row r="50" spans="1:6">
      <c r="A50" s="29" t="s">
        <v>36</v>
      </c>
      <c r="B50" s="30"/>
      <c r="C50" s="30"/>
      <c r="D50" s="30"/>
      <c r="E50" s="30"/>
      <c r="F50" s="27">
        <f>RTR!L13</f>
        <v>384334</v>
      </c>
    </row>
    <row r="51" spans="1:6" ht="14.25" customHeight="1">
      <c r="A51" s="31" t="s">
        <v>51</v>
      </c>
      <c r="B51" s="31"/>
      <c r="C51" s="31"/>
      <c r="D51" s="31"/>
      <c r="E51" s="31"/>
      <c r="F51" s="32">
        <v>1</v>
      </c>
    </row>
    <row r="52" spans="1:6" ht="16.350000000000001" customHeight="1">
      <c r="A52" s="29" t="s">
        <v>37</v>
      </c>
      <c r="B52" s="30"/>
      <c r="C52" s="30"/>
      <c r="D52" s="30"/>
      <c r="E52" s="30"/>
      <c r="F52" s="45">
        <f>(F49*F51)-F50</f>
        <v>1255000.6666666667</v>
      </c>
    </row>
    <row r="53" spans="1:6" ht="16.350000000000001" customHeight="1">
      <c r="A53" s="29" t="s">
        <v>38</v>
      </c>
      <c r="B53" s="30"/>
      <c r="C53" s="30"/>
      <c r="D53" s="30"/>
      <c r="E53" s="30"/>
      <c r="F53" s="31">
        <v>180</v>
      </c>
    </row>
    <row r="54" spans="1:6" ht="15" customHeight="1">
      <c r="A54" s="29" t="s">
        <v>39</v>
      </c>
      <c r="B54" s="30"/>
      <c r="C54" s="30"/>
      <c r="D54" s="30"/>
      <c r="E54" s="30"/>
      <c r="F54" s="32">
        <v>0.1</v>
      </c>
    </row>
    <row r="55" spans="1:6">
      <c r="A55" s="29" t="s">
        <v>40</v>
      </c>
      <c r="B55" s="30"/>
      <c r="C55" s="30"/>
      <c r="D55" s="30"/>
      <c r="E55" s="30"/>
      <c r="F55" s="46">
        <f>PMT(F54/12,F53,-100000)</f>
        <v>1074.6051177081183</v>
      </c>
    </row>
    <row r="56" spans="1:6">
      <c r="A56" s="29" t="s">
        <v>41</v>
      </c>
      <c r="B56" s="30"/>
      <c r="C56" s="30"/>
      <c r="D56" s="30"/>
      <c r="E56" s="30"/>
      <c r="F56" s="47">
        <f>F52/F55</f>
        <v>1167.8714776115062</v>
      </c>
    </row>
    <row r="64" spans="1:6">
      <c r="B64" s="20">
        <v>0</v>
      </c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scale="90"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</sheetPr>
  <dimension ref="A1:IA13"/>
  <sheetViews>
    <sheetView zoomScale="136" zoomScaleNormal="136" workbookViewId="0">
      <selection activeCell="F7" sqref="F7"/>
    </sheetView>
  </sheetViews>
  <sheetFormatPr defaultColWidth="22.140625" defaultRowHeight="12"/>
  <cols>
    <col min="1" max="1" width="6.140625" style="24" bestFit="1" customWidth="1"/>
    <col min="2" max="2" width="15.140625" style="24" bestFit="1" customWidth="1"/>
    <col min="3" max="3" width="28.140625" style="24" bestFit="1" customWidth="1"/>
    <col min="4" max="4" width="5.7109375" style="24" bestFit="1" customWidth="1"/>
    <col min="5" max="5" width="4.85546875" style="24" bestFit="1" customWidth="1"/>
    <col min="6" max="6" width="9" style="24" bestFit="1" customWidth="1"/>
    <col min="7" max="7" width="7.85546875" style="24" bestFit="1" customWidth="1"/>
    <col min="8" max="8" width="6.5703125" style="24" bestFit="1" customWidth="1"/>
    <col min="9" max="10" width="5.5703125" style="24" bestFit="1" customWidth="1"/>
    <col min="11" max="11" width="7.7109375" style="24" bestFit="1" customWidth="1"/>
    <col min="12" max="12" width="10.5703125" style="24" customWidth="1"/>
    <col min="13" max="13" width="25.85546875" style="24" bestFit="1" customWidth="1"/>
    <col min="14" max="14" width="9.5703125" style="24" customWidth="1"/>
    <col min="15" max="15" width="19.85546875" style="24" customWidth="1"/>
    <col min="16" max="235" width="22.140625" style="24"/>
    <col min="236" max="16384" width="22.140625" style="25"/>
  </cols>
  <sheetData>
    <row r="1" spans="1:235" s="40" customFormat="1" ht="25.5">
      <c r="A1" s="50" t="s">
        <v>1</v>
      </c>
      <c r="B1" s="50" t="s">
        <v>55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58</v>
      </c>
      <c r="H1" s="50" t="s">
        <v>6</v>
      </c>
      <c r="I1" s="50" t="s">
        <v>7</v>
      </c>
      <c r="J1" s="50" t="s">
        <v>8</v>
      </c>
      <c r="K1" s="50" t="s">
        <v>9</v>
      </c>
      <c r="L1" s="50" t="s">
        <v>42</v>
      </c>
      <c r="M1" s="51" t="s">
        <v>81</v>
      </c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39"/>
      <c r="GQ1" s="39"/>
      <c r="GR1" s="39"/>
      <c r="GS1" s="39"/>
      <c r="GT1" s="39"/>
      <c r="GU1" s="39"/>
      <c r="GV1" s="39"/>
      <c r="GW1" s="39"/>
      <c r="GX1" s="39"/>
      <c r="GY1" s="39"/>
      <c r="GZ1" s="39"/>
      <c r="HA1" s="39"/>
      <c r="HB1" s="39"/>
      <c r="HC1" s="39"/>
      <c r="HD1" s="39"/>
      <c r="HE1" s="39"/>
      <c r="HF1" s="39"/>
      <c r="HG1" s="39"/>
      <c r="HH1" s="39"/>
      <c r="HI1" s="39"/>
      <c r="HJ1" s="39"/>
      <c r="HK1" s="39"/>
      <c r="HL1" s="39"/>
      <c r="HM1" s="39"/>
      <c r="HN1" s="39"/>
      <c r="HO1" s="39"/>
      <c r="HP1" s="39"/>
      <c r="HQ1" s="39"/>
      <c r="HR1" s="39"/>
      <c r="HS1" s="39"/>
      <c r="HT1" s="39"/>
      <c r="HU1" s="39"/>
      <c r="HV1" s="39"/>
      <c r="HW1" s="39"/>
      <c r="HX1" s="39"/>
      <c r="HY1" s="39"/>
      <c r="HZ1" s="39"/>
    </row>
    <row r="2" spans="1:235" ht="24">
      <c r="A2" s="71">
        <v>1</v>
      </c>
      <c r="B2" s="57" t="s">
        <v>66</v>
      </c>
      <c r="C2" s="55" t="s">
        <v>59</v>
      </c>
      <c r="D2" s="55" t="s">
        <v>65</v>
      </c>
      <c r="E2" s="58" t="s">
        <v>54</v>
      </c>
      <c r="F2" s="59">
        <v>31500000</v>
      </c>
      <c r="G2" s="60">
        <v>26776646</v>
      </c>
      <c r="H2" s="60">
        <v>156</v>
      </c>
      <c r="I2" s="60">
        <v>48</v>
      </c>
      <c r="J2" s="60">
        <v>109</v>
      </c>
      <c r="K2" s="59">
        <v>348162</v>
      </c>
      <c r="L2" s="56" t="s">
        <v>49</v>
      </c>
      <c r="M2" s="68" t="s">
        <v>82</v>
      </c>
      <c r="N2" s="49" t="s">
        <v>110</v>
      </c>
      <c r="O2" s="74" t="s">
        <v>113</v>
      </c>
      <c r="IA2" s="25"/>
    </row>
    <row r="3" spans="1:235" ht="24">
      <c r="A3" s="71">
        <v>2</v>
      </c>
      <c r="B3" s="57" t="s">
        <v>67</v>
      </c>
      <c r="C3" s="55" t="s">
        <v>59</v>
      </c>
      <c r="D3" s="55" t="s">
        <v>65</v>
      </c>
      <c r="E3" s="58" t="s">
        <v>54</v>
      </c>
      <c r="F3" s="59">
        <v>25000000</v>
      </c>
      <c r="G3" s="60">
        <v>23840111</v>
      </c>
      <c r="H3" s="60">
        <v>132</v>
      </c>
      <c r="I3" s="60">
        <v>15</v>
      </c>
      <c r="J3" s="60">
        <f>132-15</f>
        <v>117</v>
      </c>
      <c r="K3" s="59">
        <v>310659</v>
      </c>
      <c r="L3" s="56" t="s">
        <v>49</v>
      </c>
      <c r="M3" s="68" t="s">
        <v>83</v>
      </c>
      <c r="N3" s="49" t="s">
        <v>110</v>
      </c>
      <c r="O3" s="75"/>
      <c r="IA3" s="25"/>
    </row>
    <row r="4" spans="1:235" ht="12.75" customHeight="1">
      <c r="A4" s="72">
        <v>3</v>
      </c>
      <c r="B4" s="57" t="s">
        <v>69</v>
      </c>
      <c r="C4" s="55" t="s">
        <v>62</v>
      </c>
      <c r="D4" s="58" t="s">
        <v>65</v>
      </c>
      <c r="E4" s="58" t="s">
        <v>54</v>
      </c>
      <c r="F4" s="59">
        <v>10000000</v>
      </c>
      <c r="G4" s="60">
        <v>9822902</v>
      </c>
      <c r="H4" s="60">
        <v>144</v>
      </c>
      <c r="I4" s="60">
        <v>8</v>
      </c>
      <c r="J4" s="60">
        <f>144-8</f>
        <v>136</v>
      </c>
      <c r="K4" s="59">
        <v>115959</v>
      </c>
      <c r="L4" s="56" t="s">
        <v>50</v>
      </c>
      <c r="M4" s="68" t="s">
        <v>84</v>
      </c>
      <c r="N4" s="49" t="s">
        <v>111</v>
      </c>
      <c r="O4" s="76"/>
      <c r="IA4" s="25"/>
    </row>
    <row r="5" spans="1:235">
      <c r="A5" s="72">
        <v>4</v>
      </c>
      <c r="B5" s="57" t="s">
        <v>70</v>
      </c>
      <c r="C5" s="55" t="s">
        <v>62</v>
      </c>
      <c r="D5" s="55" t="s">
        <v>65</v>
      </c>
      <c r="E5" s="58" t="s">
        <v>54</v>
      </c>
      <c r="F5" s="59">
        <v>31500000</v>
      </c>
      <c r="G5" s="60">
        <v>26899490</v>
      </c>
      <c r="H5" s="60">
        <v>156</v>
      </c>
      <c r="I5" s="60">
        <v>48</v>
      </c>
      <c r="J5" s="60">
        <v>109</v>
      </c>
      <c r="K5" s="59">
        <v>348233</v>
      </c>
      <c r="L5" s="56" t="s">
        <v>50</v>
      </c>
      <c r="M5" s="68" t="s">
        <v>85</v>
      </c>
      <c r="N5" s="49" t="s">
        <v>111</v>
      </c>
      <c r="O5" s="77"/>
    </row>
    <row r="6" spans="1:235">
      <c r="A6" s="72">
        <v>5</v>
      </c>
      <c r="B6" s="57" t="s">
        <v>71</v>
      </c>
      <c r="C6" s="55" t="s">
        <v>62</v>
      </c>
      <c r="D6" s="58" t="s">
        <v>65</v>
      </c>
      <c r="E6" s="58" t="s">
        <v>56</v>
      </c>
      <c r="F6" s="59">
        <v>7532000</v>
      </c>
      <c r="G6" s="61"/>
      <c r="H6" s="61"/>
      <c r="I6" s="61"/>
      <c r="J6" s="61"/>
      <c r="K6" s="59">
        <v>37970</v>
      </c>
      <c r="L6" s="62" t="s">
        <v>50</v>
      </c>
      <c r="M6" s="68"/>
      <c r="N6" s="49" t="s">
        <v>111</v>
      </c>
      <c r="O6" s="77"/>
      <c r="IA6" s="25"/>
    </row>
    <row r="7" spans="1:235">
      <c r="A7" s="72">
        <v>6</v>
      </c>
      <c r="B7" s="57">
        <v>9011910438</v>
      </c>
      <c r="C7" s="55" t="s">
        <v>62</v>
      </c>
      <c r="D7" s="55" t="s">
        <v>65</v>
      </c>
      <c r="E7" s="58" t="s">
        <v>72</v>
      </c>
      <c r="F7" s="59">
        <v>4000000</v>
      </c>
      <c r="G7" s="61"/>
      <c r="H7" s="61"/>
      <c r="I7" s="63"/>
      <c r="J7" s="63"/>
      <c r="K7" s="64"/>
      <c r="L7" s="56" t="s">
        <v>50</v>
      </c>
      <c r="M7" s="69"/>
      <c r="N7" s="49" t="s">
        <v>111</v>
      </c>
      <c r="O7" s="78"/>
    </row>
    <row r="8" spans="1:235" ht="24">
      <c r="A8" s="73">
        <v>7</v>
      </c>
      <c r="B8" s="54" t="s">
        <v>64</v>
      </c>
      <c r="C8" s="55" t="s">
        <v>59</v>
      </c>
      <c r="D8" s="55" t="s">
        <v>65</v>
      </c>
      <c r="E8" s="54" t="s">
        <v>54</v>
      </c>
      <c r="F8" s="54">
        <v>16300000</v>
      </c>
      <c r="G8" s="54">
        <v>9560235</v>
      </c>
      <c r="H8" s="54">
        <v>90</v>
      </c>
      <c r="I8" s="54">
        <v>49</v>
      </c>
      <c r="J8" s="54">
        <f>90-49</f>
        <v>41</v>
      </c>
      <c r="K8" s="54">
        <v>266003</v>
      </c>
      <c r="L8" s="56" t="s">
        <v>49</v>
      </c>
      <c r="M8" s="68" t="s">
        <v>82</v>
      </c>
      <c r="N8" s="49" t="s">
        <v>112</v>
      </c>
      <c r="O8" s="49"/>
      <c r="IA8" s="25"/>
    </row>
    <row r="9" spans="1:235" ht="12.75" customHeight="1">
      <c r="A9" s="73">
        <v>8</v>
      </c>
      <c r="B9" s="57" t="s">
        <v>68</v>
      </c>
      <c r="C9" s="55" t="s">
        <v>59</v>
      </c>
      <c r="D9" s="58" t="s">
        <v>65</v>
      </c>
      <c r="E9" s="58" t="s">
        <v>56</v>
      </c>
      <c r="F9" s="59">
        <v>13230792</v>
      </c>
      <c r="G9" s="61"/>
      <c r="H9" s="61"/>
      <c r="I9" s="61"/>
      <c r="J9" s="61"/>
      <c r="K9" s="59">
        <v>66698</v>
      </c>
      <c r="L9" s="56" t="s">
        <v>49</v>
      </c>
      <c r="M9" s="68"/>
      <c r="N9" s="49" t="s">
        <v>112</v>
      </c>
      <c r="O9" s="49"/>
      <c r="IA9" s="25"/>
    </row>
    <row r="10" spans="1:235" ht="24">
      <c r="A10" s="73">
        <v>9</v>
      </c>
      <c r="B10" s="57">
        <v>512499149</v>
      </c>
      <c r="C10" s="55" t="s">
        <v>59</v>
      </c>
      <c r="D10" s="58" t="s">
        <v>65</v>
      </c>
      <c r="E10" s="58" t="s">
        <v>72</v>
      </c>
      <c r="F10" s="59">
        <v>4000000</v>
      </c>
      <c r="G10" s="61"/>
      <c r="H10" s="61"/>
      <c r="I10" s="63"/>
      <c r="J10" s="63"/>
      <c r="K10" s="64"/>
      <c r="L10" s="62" t="s">
        <v>49</v>
      </c>
      <c r="M10" s="69"/>
      <c r="N10" s="49" t="s">
        <v>112</v>
      </c>
      <c r="O10" s="49"/>
      <c r="IA10" s="25"/>
    </row>
    <row r="11" spans="1:235">
      <c r="A11" s="55">
        <v>10</v>
      </c>
      <c r="B11" s="57" t="s">
        <v>73</v>
      </c>
      <c r="C11" s="55" t="s">
        <v>74</v>
      </c>
      <c r="D11" s="58" t="s">
        <v>75</v>
      </c>
      <c r="E11" s="58" t="s">
        <v>76</v>
      </c>
      <c r="F11" s="59">
        <v>1100000</v>
      </c>
      <c r="G11" s="60">
        <v>747043</v>
      </c>
      <c r="H11" s="60">
        <v>60</v>
      </c>
      <c r="I11" s="60">
        <v>21</v>
      </c>
      <c r="J11" s="60">
        <f>60-21</f>
        <v>39</v>
      </c>
      <c r="K11" s="59">
        <v>22773</v>
      </c>
      <c r="L11" s="62" t="s">
        <v>49</v>
      </c>
      <c r="M11" s="68" t="s">
        <v>86</v>
      </c>
      <c r="N11" s="49"/>
      <c r="O11" s="49"/>
      <c r="IA11" s="25"/>
    </row>
    <row r="12" spans="1:235">
      <c r="A12" s="55">
        <v>11</v>
      </c>
      <c r="B12" s="57" t="s">
        <v>78</v>
      </c>
      <c r="C12" s="55" t="s">
        <v>79</v>
      </c>
      <c r="D12" s="58" t="s">
        <v>80</v>
      </c>
      <c r="E12" s="58" t="s">
        <v>76</v>
      </c>
      <c r="F12" s="59">
        <v>1400000</v>
      </c>
      <c r="G12" s="60">
        <v>430711</v>
      </c>
      <c r="H12" s="60">
        <v>60</v>
      </c>
      <c r="I12" s="60">
        <v>43</v>
      </c>
      <c r="J12" s="60">
        <f>60-43</f>
        <v>17</v>
      </c>
      <c r="K12" s="59">
        <v>28860</v>
      </c>
      <c r="L12" s="62" t="s">
        <v>49</v>
      </c>
      <c r="M12" s="68" t="s">
        <v>87</v>
      </c>
      <c r="N12" s="49"/>
      <c r="O12" s="49"/>
      <c r="IA12" s="25"/>
    </row>
    <row r="13" spans="1:235">
      <c r="A13" s="65"/>
      <c r="B13" s="53"/>
      <c r="C13" s="53"/>
      <c r="D13" s="53"/>
      <c r="E13" s="53"/>
      <c r="F13" s="66"/>
      <c r="G13" s="53"/>
      <c r="H13" s="53"/>
      <c r="I13" s="53"/>
      <c r="J13" s="53"/>
      <c r="K13" s="53"/>
      <c r="L13" s="67">
        <f>SUMIF(L4:L12,"Y",K4:K12)</f>
        <v>384334</v>
      </c>
      <c r="M13" s="52"/>
    </row>
  </sheetData>
  <sheetProtection selectLockedCells="1" selectUnlockedCells="1"/>
  <mergeCells count="2">
    <mergeCell ref="O2:O3"/>
    <mergeCell ref="O4:O7"/>
  </mergeCells>
  <pageMargins left="0.78749999999999998" right="0.78749999999999998" top="1.0249999999999999" bottom="1.0249999999999999" header="0.78749999999999998" footer="0.78749999999999998"/>
  <pageSetup scale="90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9" t="s">
        <v>10</v>
      </c>
      <c r="B1" s="79"/>
      <c r="C1" s="2"/>
    </row>
    <row r="2" spans="1:6" ht="14.25" customHeight="1">
      <c r="A2" s="79" t="s">
        <v>11</v>
      </c>
      <c r="B2" s="79"/>
      <c r="C2" s="2"/>
    </row>
    <row r="5" spans="1:6" ht="30">
      <c r="A5" s="3" t="s">
        <v>1</v>
      </c>
      <c r="B5" s="4" t="s">
        <v>12</v>
      </c>
      <c r="C5" s="4" t="s">
        <v>13</v>
      </c>
      <c r="D5" s="5" t="s">
        <v>14</v>
      </c>
      <c r="E5" s="1" t="s">
        <v>15</v>
      </c>
      <c r="F5" s="1" t="s">
        <v>16</v>
      </c>
    </row>
    <row r="6" spans="1:6" ht="42.75">
      <c r="A6" s="6">
        <v>1</v>
      </c>
      <c r="B6" s="7" t="s">
        <v>17</v>
      </c>
      <c r="C6" s="8" t="s">
        <v>18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19</v>
      </c>
      <c r="C7" s="8" t="s">
        <v>20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21</v>
      </c>
      <c r="C8" s="8" t="s">
        <v>22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23</v>
      </c>
      <c r="C9" s="12" t="s">
        <v>24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25</v>
      </c>
      <c r="C10" s="8" t="s">
        <v>26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27</v>
      </c>
      <c r="C11" s="14" t="s">
        <v>28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29</v>
      </c>
      <c r="C12" s="15" t="s">
        <v>30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31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2020-12-19T10:14:29Z</cp:lastPrinted>
  <dcterms:created xsi:type="dcterms:W3CDTF">2015-09-25T09:25:31Z</dcterms:created>
  <dcterms:modified xsi:type="dcterms:W3CDTF">2020-12-22T09:01:57Z</dcterms:modified>
</cp:coreProperties>
</file>