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 activeTab="1"/>
  </bookViews>
  <sheets>
    <sheet name="Eligibility" sheetId="1" r:id="rId1"/>
    <sheet name="RTR" sheetId="2" r:id="rId2"/>
    <sheet name="Sheet1" sheetId="5" state="hidden" r:id="rId3"/>
    <sheet name="Banking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2"/>
  <c r="N21" i="6"/>
  <c r="N20"/>
  <c r="C18"/>
  <c r="D18"/>
  <c r="E18"/>
  <c r="F18"/>
  <c r="G18"/>
  <c r="H18"/>
  <c r="I18"/>
  <c r="J18"/>
  <c r="K18"/>
  <c r="L18"/>
  <c r="M18"/>
  <c r="B18"/>
  <c r="C9"/>
  <c r="D9"/>
  <c r="E9"/>
  <c r="F9"/>
  <c r="G9"/>
  <c r="H9"/>
  <c r="I9"/>
  <c r="J9"/>
  <c r="K9"/>
  <c r="L9"/>
  <c r="M9"/>
  <c r="B9"/>
  <c r="N18" l="1"/>
  <c r="N9"/>
  <c r="F28" i="1" l="1"/>
  <c r="G16"/>
  <c r="H11" i="2"/>
  <c r="C8" i="1"/>
  <c r="B8"/>
  <c r="I13" i="2" l="1"/>
  <c r="I8"/>
  <c r="I7"/>
  <c r="I6"/>
  <c r="I5"/>
  <c r="I4"/>
  <c r="I3"/>
  <c r="I2"/>
  <c r="D27" i="1"/>
  <c r="F27" s="1"/>
  <c r="D26"/>
  <c r="F26" s="1"/>
  <c r="D25"/>
  <c r="F25" s="1"/>
  <c r="D24"/>
  <c r="F24" s="1"/>
  <c r="D22"/>
  <c r="F22" s="1"/>
  <c r="C16"/>
  <c r="B16"/>
  <c r="D16" s="1"/>
  <c r="F16" s="1"/>
  <c r="D17"/>
  <c r="F17" s="1"/>
  <c r="D8"/>
  <c r="F8" s="1"/>
  <c r="D21" l="1"/>
  <c r="F21" s="1"/>
  <c r="D20"/>
  <c r="F20" s="1"/>
  <c r="D19"/>
  <c r="F19" s="1"/>
  <c r="D11"/>
  <c r="F11" s="1"/>
  <c r="D14"/>
  <c r="F14" s="1"/>
  <c r="D6" l="1"/>
  <c r="F6" s="1"/>
  <c r="D5" l="1"/>
  <c r="F5" s="1"/>
  <c r="D7"/>
  <c r="F7" s="1"/>
  <c r="D3"/>
  <c r="D4"/>
  <c r="D9"/>
  <c r="D13" l="1"/>
  <c r="F13" s="1"/>
  <c r="D15"/>
  <c r="F15" s="1"/>
  <c r="D12"/>
  <c r="F12" s="1"/>
  <c r="F3" l="1"/>
  <c r="F4"/>
  <c r="F9"/>
  <c r="E13" i="5"/>
  <c r="F12"/>
  <c r="F11"/>
  <c r="F10"/>
  <c r="F9"/>
  <c r="F13" s="1"/>
  <c r="F8"/>
  <c r="F7"/>
  <c r="F6"/>
  <c r="F30" i="1"/>
  <c r="F35"/>
  <c r="F29" l="1"/>
  <c r="F32" s="1"/>
  <c r="F36" s="1"/>
</calcChain>
</file>

<file path=xl/sharedStrings.xml><?xml version="1.0" encoding="utf-8"?>
<sst xmlns="http://schemas.openxmlformats.org/spreadsheetml/2006/main" count="200" uniqueCount="111">
  <si>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</si>
  <si>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</si>
  <si>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</si>
  <si>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</si>
  <si>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</si>
  <si>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</si>
  <si>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</si>
  <si>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</si>
  <si>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</si>
  <si>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</si>
  <si>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</si>
  <si>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</si>
  <si>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</si>
  <si>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</si>
  <si>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</si>
  <si>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</si>
  <si>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</si>
  <si>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</si>
  <si>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</si>
  <si>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</si>
  <si>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</si>
  <si>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</si>
  <si>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</si>
  <si>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</si>
  <si>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</si>
  <si>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</si>
  <si>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</si>
  <si>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</si>
  <si>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</si>
  <si>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</si>
  <si>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</si>
  <si>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</si>
  <si>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</si>
  <si>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</si>
  <si>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</si>
  <si>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</si>
  <si>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</si>
  <si>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</si>
  <si>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</si>
  <si>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</si>
  <si>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</si>
  <si>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</si>
  <si>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</si>
  <si>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</si>
  <si>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</si>
  <si>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</si>
  <si>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</si>
  <si>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</si>
  <si>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</si>
  <si>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</si>
  <si>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</si>
  <si>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Income From Other Sources</t>
  </si>
  <si>
    <t>Income From Salary</t>
  </si>
  <si>
    <t>Lap</t>
  </si>
  <si>
    <t>n</t>
  </si>
  <si>
    <t>Arr Ess Industries Private Limited</t>
  </si>
  <si>
    <t>Bank Interest</t>
  </si>
  <si>
    <t>Interest On Car Loan</t>
  </si>
  <si>
    <t>Interest To Others</t>
  </si>
  <si>
    <t>Payment Made u/s 40 (2)ab</t>
  </si>
  <si>
    <t>Salary To Partners</t>
  </si>
  <si>
    <t>Sanjay Singla</t>
  </si>
  <si>
    <t>Share In Partnership Firm</t>
  </si>
  <si>
    <t>Rajeev Singla</t>
  </si>
  <si>
    <t>AUR004204581205</t>
  </si>
  <si>
    <t>Arr Ess Industries Private Ltd</t>
  </si>
  <si>
    <t>Axis Bank</t>
  </si>
  <si>
    <t>Car Loan</t>
  </si>
  <si>
    <t>ALN002300464572</t>
  </si>
  <si>
    <t>yes bank</t>
  </si>
  <si>
    <t>HP Loan</t>
  </si>
  <si>
    <t>DHFL</t>
  </si>
  <si>
    <t>Tata Capital</t>
  </si>
  <si>
    <t>Home Loan</t>
  </si>
  <si>
    <t>426LAP00040053</t>
  </si>
  <si>
    <t>Bajaj Finserv</t>
  </si>
  <si>
    <t>AUR004203057895</t>
  </si>
  <si>
    <t>Home Equity</t>
  </si>
  <si>
    <t>AUR004202461188</t>
  </si>
  <si>
    <t>AUR004203054281</t>
  </si>
  <si>
    <t>AUR004203118372</t>
  </si>
  <si>
    <t>HDFC Bank</t>
  </si>
  <si>
    <t>Arr Ess Bros</t>
  </si>
  <si>
    <t>&gt;12</t>
  </si>
  <si>
    <t>Closed</t>
  </si>
  <si>
    <t>Actual Figures</t>
  </si>
  <si>
    <t>2019-20 ( With Capping of 150%)</t>
  </si>
  <si>
    <t xml:space="preserve">Date's 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</si>
  <si>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</si>
  <si>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</si>
  <si>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</si>
  <si>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</si>
  <si>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</si>
  <si>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</si>
  <si>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</si>
  <si>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</si>
  <si>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</si>
  <si>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Dec</t>
  </si>
  <si>
    <t>Jan</t>
  </si>
  <si>
    <t>7th</t>
  </si>
  <si>
    <t>14th</t>
  </si>
  <si>
    <t>21st</t>
  </si>
  <si>
    <t>28th</t>
  </si>
  <si>
    <t>Total</t>
  </si>
  <si>
    <t xml:space="preserve">Average Balance </t>
  </si>
  <si>
    <t>Eligibilty In Lacs</t>
  </si>
  <si>
    <t>No Of Cr</t>
  </si>
  <si>
    <t>Arr Ess Industries Pvt Ltd</t>
  </si>
  <si>
    <t>Nov</t>
  </si>
  <si>
    <t>HDFC Bank A/c No. 50200021847885</t>
  </si>
  <si>
    <t>ICICI A/c No. 337105500147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</si>
</sst>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21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.5"/>
      <color rgb="FFFF0000"/>
      <name val="Cambria"/>
      <family val="1"/>
      <scheme val="major"/>
    </font>
    <font>
      <b/>
      <sz val="10"/>
      <name val="Zurich BT"/>
    </font>
    <font>
      <b/>
      <u/>
      <sz val="16"/>
      <color theme="1"/>
      <name val="Calibri"/>
      <family val="2"/>
      <scheme val="minor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5" fillId="0" borderId="0"/>
  </cellStyleXfs>
  <cellXfs count="82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2" xfId="0" applyFont="1" applyFill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" fontId="14" fillId="4" borderId="2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1" fontId="11" fillId="6" borderId="2" xfId="0" applyNumberFormat="1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2" fontId="12" fillId="6" borderId="2" xfId="0" applyNumberFormat="1" applyFont="1" applyFill="1" applyBorder="1" applyAlignment="1">
      <alignment horizontal="center" vertical="center"/>
    </xf>
    <xf numFmtId="164" fontId="11" fillId="7" borderId="2" xfId="1" applyNumberFormat="1" applyFont="1" applyFill="1" applyBorder="1" applyAlignment="1" applyProtection="1">
      <alignment horizontal="left" vertical="center" wrapText="1"/>
    </xf>
    <xf numFmtId="164" fontId="12" fillId="6" borderId="2" xfId="1" applyNumberFormat="1" applyFont="1" applyFill="1" applyBorder="1" applyAlignment="1" applyProtection="1">
      <alignment horizontal="left" vertical="center" wrapText="1"/>
    </xf>
    <xf numFmtId="164" fontId="12" fillId="0" borderId="2" xfId="1" applyNumberFormat="1" applyFont="1" applyFill="1" applyBorder="1" applyAlignment="1" applyProtection="1">
      <alignment horizontal="left" vertical="top" wrapText="1"/>
    </xf>
    <xf numFmtId="164" fontId="11" fillId="5" borderId="2" xfId="1" applyNumberFormat="1" applyFont="1" applyFill="1" applyBorder="1" applyAlignment="1" applyProtection="1">
      <alignment horizontal="left" vertical="center" wrapText="1"/>
    </xf>
    <xf numFmtId="0" fontId="5" fillId="6" borderId="0" xfId="3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11" fillId="8" borderId="2" xfId="1" applyNumberFormat="1" applyFont="1" applyFill="1" applyBorder="1" applyAlignment="1" applyProtection="1">
      <alignment horizontal="left" vertical="center" wrapText="1"/>
    </xf>
    <xf numFmtId="9" fontId="11" fillId="8" borderId="2" xfId="1" applyNumberFormat="1" applyFont="1" applyFill="1" applyBorder="1" applyAlignment="1" applyProtection="1">
      <alignment horizontal="left" vertical="center" wrapText="1"/>
    </xf>
    <xf numFmtId="166" fontId="12" fillId="9" borderId="2" xfId="1" applyNumberFormat="1" applyFont="1" applyFill="1" applyBorder="1" applyAlignment="1" applyProtection="1">
      <alignment horizontal="left" vertical="center"/>
    </xf>
    <xf numFmtId="166" fontId="12" fillId="10" borderId="2" xfId="1" applyNumberFormat="1" applyFont="1" applyFill="1" applyBorder="1" applyAlignment="1" applyProtection="1">
      <alignment horizontal="left" vertical="center"/>
    </xf>
    <xf numFmtId="164" fontId="12" fillId="6" borderId="2" xfId="1" applyNumberFormat="1" applyFont="1" applyFill="1" applyBorder="1" applyAlignment="1" applyProtection="1">
      <alignment horizontal="left" vertical="top"/>
    </xf>
    <xf numFmtId="9" fontId="12" fillId="6" borderId="2" xfId="1" applyNumberFormat="1" applyFont="1" applyFill="1" applyBorder="1" applyAlignment="1" applyProtection="1">
      <alignment horizontal="left" vertical="top"/>
    </xf>
    <xf numFmtId="166" fontId="12" fillId="6" borderId="2" xfId="1" applyNumberFormat="1" applyFont="1" applyFill="1" applyBorder="1" applyAlignment="1" applyProtection="1">
      <alignment horizontal="left" vertical="center"/>
    </xf>
    <xf numFmtId="166" fontId="12" fillId="0" borderId="2" xfId="1" applyNumberFormat="1" applyFont="1" applyFill="1" applyBorder="1" applyAlignment="1" applyProtection="1">
      <alignment horizontal="left" vertical="center"/>
    </xf>
    <xf numFmtId="166" fontId="17" fillId="6" borderId="2" xfId="1" applyNumberFormat="1" applyFont="1" applyFill="1" applyBorder="1" applyAlignment="1" applyProtection="1">
      <alignment horizontal="left" vertical="center"/>
    </xf>
    <xf numFmtId="166" fontId="17" fillId="0" borderId="2" xfId="1" applyNumberFormat="1" applyFont="1" applyFill="1" applyBorder="1" applyAlignment="1" applyProtection="1">
      <alignment horizontal="left" vertical="center"/>
    </xf>
    <xf numFmtId="164" fontId="17" fillId="6" borderId="2" xfId="1" applyNumberFormat="1" applyFont="1" applyFill="1" applyBorder="1" applyAlignment="1" applyProtection="1">
      <alignment horizontal="left" vertical="top"/>
    </xf>
    <xf numFmtId="9" fontId="17" fillId="6" borderId="2" xfId="1" applyNumberFormat="1" applyFont="1" applyFill="1" applyBorder="1" applyAlignment="1" applyProtection="1">
      <alignment horizontal="left" vertical="top"/>
    </xf>
    <xf numFmtId="166" fontId="12" fillId="11" borderId="2" xfId="1" applyNumberFormat="1" applyFont="1" applyFill="1" applyBorder="1" applyAlignment="1" applyProtection="1">
      <alignment horizontal="left" vertical="center"/>
    </xf>
    <xf numFmtId="165" fontId="11" fillId="8" borderId="2" xfId="1" applyFont="1" applyFill="1" applyBorder="1" applyAlignment="1" applyProtection="1">
      <alignment horizontal="left" vertical="top" wrapText="1"/>
    </xf>
    <xf numFmtId="167" fontId="11" fillId="8" borderId="2" xfId="1" applyNumberFormat="1" applyFont="1" applyFill="1" applyBorder="1" applyAlignment="1" applyProtection="1">
      <alignment horizontal="left" vertical="top"/>
    </xf>
    <xf numFmtId="10" fontId="12" fillId="0" borderId="2" xfId="1" applyNumberFormat="1" applyFont="1" applyFill="1" applyBorder="1" applyAlignment="1" applyProtection="1">
      <alignment horizontal="left" vertical="top"/>
    </xf>
    <xf numFmtId="164" fontId="12" fillId="8" borderId="2" xfId="1" applyNumberFormat="1" applyFont="1" applyFill="1" applyBorder="1" applyAlignment="1" applyProtection="1">
      <alignment horizontal="left" vertical="top"/>
    </xf>
    <xf numFmtId="164" fontId="12" fillId="0" borderId="2" xfId="1" applyNumberFormat="1" applyFont="1" applyFill="1" applyBorder="1" applyAlignment="1" applyProtection="1">
      <alignment horizontal="left" vertical="top"/>
    </xf>
    <xf numFmtId="2" fontId="12" fillId="8" borderId="2" xfId="5" applyNumberFormat="1" applyFont="1" applyFill="1" applyBorder="1" applyAlignment="1" applyProtection="1">
      <alignment horizontal="left" vertical="top"/>
    </xf>
    <xf numFmtId="165" fontId="12" fillId="8" borderId="2" xfId="5" applyNumberFormat="1" applyFont="1" applyFill="1" applyBorder="1" applyAlignment="1" applyProtection="1">
      <alignment horizontal="left" vertical="top"/>
    </xf>
    <xf numFmtId="164" fontId="11" fillId="8" borderId="2" xfId="1" applyNumberFormat="1" applyFont="1" applyFill="1" applyBorder="1" applyAlignment="1" applyProtection="1">
      <alignment horizontal="left" vertical="center"/>
    </xf>
    <xf numFmtId="0" fontId="18" fillId="12" borderId="2" xfId="3" applyFont="1" applyFill="1" applyBorder="1" applyAlignment="1">
      <alignment horizontal="left" vertical="top" wrapText="1"/>
    </xf>
    <xf numFmtId="0" fontId="12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6" fillId="13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6" fillId="1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20" fillId="13" borderId="2" xfId="0" applyFont="1" applyFill="1" applyBorder="1"/>
    <xf numFmtId="164" fontId="11" fillId="5" borderId="2" xfId="1" applyNumberFormat="1" applyFont="1" applyFill="1" applyBorder="1" applyAlignment="1" applyProtection="1">
      <alignment horizontal="left" vertical="center" wrapText="1"/>
    </xf>
    <xf numFmtId="0" fontId="12" fillId="8" borderId="2" xfId="0" applyNumberFormat="1" applyFont="1" applyFill="1" applyBorder="1" applyAlignment="1">
      <alignment horizontal="left"/>
    </xf>
    <xf numFmtId="0" fontId="12" fillId="0" borderId="2" xfId="0" applyNumberFormat="1" applyFont="1" applyFill="1" applyBorder="1" applyAlignment="1">
      <alignment horizontal="left"/>
    </xf>
    <xf numFmtId="164" fontId="11" fillId="0" borderId="2" xfId="1" applyNumberFormat="1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9" fillId="13" borderId="3" xfId="0" applyFont="1" applyFill="1" applyBorder="1" applyAlignment="1">
      <alignment horizontal="center" vertical="center"/>
    </xf>
    <xf numFmtId="0" fontId="19" fillId="13" borderId="4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20" fillId="13" borderId="3" xfId="0" applyFont="1" applyFill="1" applyBorder="1" applyAlignment="1">
      <alignment horizontal="center"/>
    </xf>
    <xf numFmtId="0" fontId="20" fillId="13" borderId="4" xfId="0" applyFont="1" applyFill="1" applyBorder="1" applyAlignment="1">
      <alignment horizontal="center"/>
    </xf>
    <xf numFmtId="0" fontId="20" fillId="13" borderId="5" xfId="0" applyFont="1" applyFill="1" applyBorder="1" applyAlignment="1">
      <alignment horizontal="center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36"/>
  <sheetViews>
    <sheetView topLeftCell="A15" zoomScale="107" zoomScaleNormal="107" workbookViewId="0">
      <selection activeCell="E3" sqref="E3"/>
    </sheetView>
  </sheetViews>
  <sheetFormatPr defaultColWidth="31.28515625" defaultRowHeight="13.5"/>
  <cols>
    <col min="1" max="1" width="32" style="33" customWidth="1"/>
    <col min="2" max="2" width="13" style="33" customWidth="1"/>
    <col min="3" max="3" width="13.5703125" style="33" customWidth="1"/>
    <col min="4" max="4" width="14.140625" style="33" customWidth="1"/>
    <col min="5" max="5" width="14" style="33" customWidth="1"/>
    <col min="6" max="6" width="15.42578125" style="33" customWidth="1"/>
    <col min="7" max="7" width="14.5703125" style="33" bestFit="1" customWidth="1"/>
    <col min="8" max="8" width="13" style="33" customWidth="1"/>
    <col min="9" max="9" width="10.85546875" style="33" customWidth="1"/>
    <col min="10" max="10" width="14.5703125" style="33" customWidth="1"/>
    <col min="11" max="12" width="13.140625" style="33" customWidth="1"/>
    <col min="13" max="13" width="13.5703125" style="33" customWidth="1"/>
    <col min="14" max="14" width="14.140625" style="33" customWidth="1"/>
    <col min="15" max="15" width="11.85546875" style="33" customWidth="1"/>
    <col min="16" max="16" width="12" style="33" customWidth="1"/>
    <col min="17" max="17" width="11" style="33" customWidth="1"/>
    <col min="18" max="18" width="11.5703125" style="33" customWidth="1"/>
    <col min="19" max="19" width="12" style="33" customWidth="1"/>
    <col min="20" max="237" width="31.28515625" style="33"/>
    <col min="238" max="245" width="31.28515625" style="34"/>
    <col min="246" max="247" width="31.28515625" style="35"/>
    <col min="248" max="254" width="31.28515625" style="36"/>
    <col min="255" max="16384" width="31.28515625" style="37"/>
  </cols>
  <sheetData>
    <row r="1" spans="1:7" ht="15.75" customHeight="1">
      <c r="A1" s="32" t="s">
        <v>55</v>
      </c>
      <c r="B1" s="71"/>
      <c r="C1" s="71"/>
      <c r="D1" s="32"/>
      <c r="E1" s="32"/>
      <c r="F1" s="32"/>
    </row>
    <row r="2" spans="1:7" ht="15.75" customHeight="1">
      <c r="A2" s="29" t="s">
        <v>55</v>
      </c>
      <c r="B2" s="38" t="s">
        <v>48</v>
      </c>
      <c r="C2" s="38" t="s">
        <v>0</v>
      </c>
      <c r="D2" s="38" t="s">
        <v>1</v>
      </c>
      <c r="E2" s="39" t="s">
        <v>2</v>
      </c>
      <c r="F2" s="38" t="s">
        <v>3</v>
      </c>
    </row>
    <row r="3" spans="1:7">
      <c r="A3" s="30" t="s">
        <v>49</v>
      </c>
      <c r="B3" s="40">
        <v>13006246</v>
      </c>
      <c r="C3" s="41">
        <v>12197180</v>
      </c>
      <c r="D3" s="42">
        <f>AVERAGE(B3:C3)</f>
        <v>12601713</v>
      </c>
      <c r="E3" s="43">
        <v>1</v>
      </c>
      <c r="F3" s="42">
        <f t="shared" ref="F3:F9" si="0">E3*D3</f>
        <v>12601713</v>
      </c>
    </row>
    <row r="4" spans="1:7">
      <c r="A4" s="30" t="s">
        <v>50</v>
      </c>
      <c r="B4" s="40">
        <v>13054900.16</v>
      </c>
      <c r="C4" s="41">
        <v>11547606</v>
      </c>
      <c r="D4" s="42">
        <f t="shared" ref="D4:D9" si="1">AVERAGE(B4:C4)</f>
        <v>12301253.08</v>
      </c>
      <c r="E4" s="43">
        <v>1</v>
      </c>
      <c r="F4" s="42">
        <f t="shared" si="0"/>
        <v>12301253.08</v>
      </c>
    </row>
    <row r="5" spans="1:7" ht="15" customHeight="1">
      <c r="A5" s="30" t="s">
        <v>56</v>
      </c>
      <c r="B5" s="44">
        <v>488736</v>
      </c>
      <c r="C5" s="45">
        <v>0</v>
      </c>
      <c r="D5" s="42">
        <f t="shared" si="1"/>
        <v>244368</v>
      </c>
      <c r="E5" s="43">
        <v>0</v>
      </c>
      <c r="F5" s="42">
        <f t="shared" ref="F5" si="2">E5*D5</f>
        <v>0</v>
      </c>
    </row>
    <row r="6" spans="1:7" ht="15" customHeight="1">
      <c r="A6" s="30" t="s">
        <v>57</v>
      </c>
      <c r="B6" s="40">
        <v>1806864</v>
      </c>
      <c r="C6" s="41">
        <v>1108228</v>
      </c>
      <c r="D6" s="42">
        <f t="shared" ref="D6" si="3">AVERAGE(B6:C6)</f>
        <v>1457546</v>
      </c>
      <c r="E6" s="43">
        <v>1</v>
      </c>
      <c r="F6" s="42">
        <f t="shared" ref="F6" si="4">E6*D6</f>
        <v>1457546</v>
      </c>
    </row>
    <row r="7" spans="1:7" ht="12.75" customHeight="1">
      <c r="A7" s="30" t="s">
        <v>58</v>
      </c>
      <c r="B7" s="46">
        <v>9482759.5999999996</v>
      </c>
      <c r="C7" s="47">
        <v>3067494.2</v>
      </c>
      <c r="D7" s="48">
        <f t="shared" ref="D7" si="5">AVERAGE(B7:C7)</f>
        <v>6275126.9000000004</v>
      </c>
      <c r="E7" s="49">
        <v>0</v>
      </c>
      <c r="F7" s="42">
        <f t="shared" ref="F7" si="6">E7*D7</f>
        <v>0</v>
      </c>
    </row>
    <row r="8" spans="1:7" ht="15" customHeight="1">
      <c r="A8" s="30" t="s">
        <v>59</v>
      </c>
      <c r="B8" s="44">
        <f>6000000+2400000</f>
        <v>8400000</v>
      </c>
      <c r="C8" s="45">
        <f>6233333+2493333</f>
        <v>8726666</v>
      </c>
      <c r="D8" s="42">
        <f t="shared" ref="D8" si="7">AVERAGE(B8:C8)</f>
        <v>8563333</v>
      </c>
      <c r="E8" s="43">
        <v>1</v>
      </c>
      <c r="F8" s="42">
        <f t="shared" ref="F8" si="8">E8*D8</f>
        <v>8563333</v>
      </c>
    </row>
    <row r="9" spans="1:7">
      <c r="A9" s="30" t="s">
        <v>4</v>
      </c>
      <c r="B9" s="40">
        <v>-3983978</v>
      </c>
      <c r="C9" s="40">
        <v>-2930273</v>
      </c>
      <c r="D9" s="42">
        <f t="shared" si="1"/>
        <v>-3457125.5</v>
      </c>
      <c r="E9" s="43">
        <v>1</v>
      </c>
      <c r="F9" s="42">
        <f t="shared" si="0"/>
        <v>-3457125.5</v>
      </c>
    </row>
    <row r="10" spans="1:7" ht="15" customHeight="1">
      <c r="A10" s="29" t="s">
        <v>82</v>
      </c>
      <c r="B10" s="58" t="s">
        <v>86</v>
      </c>
      <c r="C10" s="38" t="s">
        <v>0</v>
      </c>
      <c r="D10" s="38" t="s">
        <v>1</v>
      </c>
      <c r="E10" s="39" t="s">
        <v>2</v>
      </c>
      <c r="F10" s="38" t="s">
        <v>3</v>
      </c>
      <c r="G10" s="59" t="s">
        <v>85</v>
      </c>
    </row>
    <row r="11" spans="1:7">
      <c r="A11" s="30" t="s">
        <v>49</v>
      </c>
      <c r="B11" s="40">
        <v>2997198</v>
      </c>
      <c r="C11" s="41">
        <v>1998131.92</v>
      </c>
      <c r="D11" s="42">
        <f>AVERAGE(B11:C11)</f>
        <v>2497664.96</v>
      </c>
      <c r="E11" s="43">
        <v>1</v>
      </c>
      <c r="F11" s="42">
        <f t="shared" ref="F11" si="9">E11*D11</f>
        <v>2497664.96</v>
      </c>
      <c r="G11" s="40">
        <v>9873917.8000000007</v>
      </c>
    </row>
    <row r="12" spans="1:7">
      <c r="A12" s="30" t="s">
        <v>50</v>
      </c>
      <c r="B12" s="40">
        <v>4152586</v>
      </c>
      <c r="C12" s="41">
        <v>2768391</v>
      </c>
      <c r="D12" s="42">
        <f>AVERAGE(B12:C12)</f>
        <v>3460488.5</v>
      </c>
      <c r="E12" s="43">
        <v>1</v>
      </c>
      <c r="F12" s="42">
        <f t="shared" ref="F12:F16" si="10">E12*D12</f>
        <v>3460488.5</v>
      </c>
      <c r="G12" s="40">
        <v>5718786</v>
      </c>
    </row>
    <row r="13" spans="1:7">
      <c r="A13" s="30" t="s">
        <v>60</v>
      </c>
      <c r="B13" s="40">
        <v>960000</v>
      </c>
      <c r="C13" s="41">
        <v>960000</v>
      </c>
      <c r="D13" s="42">
        <f t="shared" ref="D13" si="11">AVERAGE(B13:C13)</f>
        <v>960000</v>
      </c>
      <c r="E13" s="43">
        <v>1</v>
      </c>
      <c r="F13" s="42">
        <f t="shared" ref="F13" si="12">E13*D13</f>
        <v>960000</v>
      </c>
      <c r="G13" s="40">
        <v>960000</v>
      </c>
    </row>
    <row r="14" spans="1:7">
      <c r="A14" s="30" t="s">
        <v>57</v>
      </c>
      <c r="B14" s="40">
        <v>1656802.24</v>
      </c>
      <c r="C14" s="41">
        <v>75709</v>
      </c>
      <c r="D14" s="42">
        <f t="shared" ref="D14" si="13">AVERAGE(B14:C14)</f>
        <v>866255.62</v>
      </c>
      <c r="E14" s="43">
        <v>1</v>
      </c>
      <c r="F14" s="42">
        <f t="shared" ref="F14" si="14">E14*D14</f>
        <v>866255.62</v>
      </c>
      <c r="G14" s="40">
        <v>1656802.24</v>
      </c>
    </row>
    <row r="15" spans="1:7" ht="12.75" customHeight="1">
      <c r="A15" s="30" t="s">
        <v>56</v>
      </c>
      <c r="B15" s="46">
        <v>5302529</v>
      </c>
      <c r="C15" s="46">
        <v>5533273</v>
      </c>
      <c r="D15" s="48">
        <f t="shared" ref="D15:D16" si="15">AVERAGE(B15:C15)</f>
        <v>5417901</v>
      </c>
      <c r="E15" s="49">
        <v>0</v>
      </c>
      <c r="F15" s="42">
        <f t="shared" si="10"/>
        <v>0</v>
      </c>
      <c r="G15" s="46">
        <v>5302529</v>
      </c>
    </row>
    <row r="16" spans="1:7">
      <c r="A16" s="30" t="s">
        <v>59</v>
      </c>
      <c r="B16" s="50">
        <f>720000+240000</f>
        <v>960000</v>
      </c>
      <c r="C16" s="45">
        <f>720000+240000</f>
        <v>960000</v>
      </c>
      <c r="D16" s="42">
        <f t="shared" si="15"/>
        <v>960000</v>
      </c>
      <c r="E16" s="43">
        <v>0</v>
      </c>
      <c r="F16" s="42">
        <f t="shared" si="10"/>
        <v>0</v>
      </c>
      <c r="G16" s="50">
        <f>720000+240000</f>
        <v>960000</v>
      </c>
    </row>
    <row r="17" spans="1:7" ht="12.75" customHeight="1">
      <c r="A17" s="30" t="s">
        <v>4</v>
      </c>
      <c r="B17" s="40">
        <v>-3437615</v>
      </c>
      <c r="C17" s="40">
        <v>-800985</v>
      </c>
      <c r="D17" s="42">
        <f t="shared" ref="D17" si="16">AVERAGE(B17:C17)</f>
        <v>-2119300</v>
      </c>
      <c r="E17" s="43">
        <v>1</v>
      </c>
      <c r="F17" s="42">
        <f t="shared" ref="F17" si="17">E17*D17</f>
        <v>-2119300</v>
      </c>
      <c r="G17" s="40">
        <v>-3437615</v>
      </c>
    </row>
    <row r="18" spans="1:7" ht="12.75" customHeight="1">
      <c r="A18" s="29" t="s">
        <v>61</v>
      </c>
      <c r="B18" s="38" t="s">
        <v>48</v>
      </c>
      <c r="C18" s="38" t="s">
        <v>0</v>
      </c>
      <c r="D18" s="38" t="s">
        <v>1</v>
      </c>
      <c r="E18" s="39" t="s">
        <v>2</v>
      </c>
      <c r="F18" s="38" t="s">
        <v>3</v>
      </c>
    </row>
    <row r="19" spans="1:7">
      <c r="A19" s="30" t="s">
        <v>52</v>
      </c>
      <c r="B19" s="44">
        <v>2400000</v>
      </c>
      <c r="C19" s="45">
        <v>2493333</v>
      </c>
      <c r="D19" s="42">
        <f>AVERAGE(B19:C19)</f>
        <v>2446666.5</v>
      </c>
      <c r="E19" s="43">
        <v>0</v>
      </c>
      <c r="F19" s="42">
        <f t="shared" ref="F19:F22" si="18">E19*D19</f>
        <v>0</v>
      </c>
    </row>
    <row r="20" spans="1:7">
      <c r="A20" s="30" t="s">
        <v>62</v>
      </c>
      <c r="B20" s="44">
        <v>240000</v>
      </c>
      <c r="C20" s="45">
        <v>240000</v>
      </c>
      <c r="D20" s="42">
        <f t="shared" ref="D20:D22" si="19">AVERAGE(B20:C20)</f>
        <v>240000</v>
      </c>
      <c r="E20" s="43">
        <v>0</v>
      </c>
      <c r="F20" s="42">
        <f t="shared" si="18"/>
        <v>0</v>
      </c>
    </row>
    <row r="21" spans="1:7" ht="12.75" customHeight="1">
      <c r="A21" s="30" t="s">
        <v>51</v>
      </c>
      <c r="B21" s="44">
        <v>12975</v>
      </c>
      <c r="C21" s="44">
        <v>21606</v>
      </c>
      <c r="D21" s="42">
        <f t="shared" si="19"/>
        <v>17290.5</v>
      </c>
      <c r="E21" s="43">
        <v>0</v>
      </c>
      <c r="F21" s="42">
        <f t="shared" si="18"/>
        <v>0</v>
      </c>
    </row>
    <row r="22" spans="1:7" ht="12.75" customHeight="1">
      <c r="A22" s="30" t="s">
        <v>4</v>
      </c>
      <c r="B22" s="44">
        <v>-646272</v>
      </c>
      <c r="C22" s="44">
        <v>-600307</v>
      </c>
      <c r="D22" s="42">
        <f t="shared" si="19"/>
        <v>-623289.5</v>
      </c>
      <c r="E22" s="43">
        <v>1</v>
      </c>
      <c r="F22" s="42">
        <f t="shared" si="18"/>
        <v>-623289.5</v>
      </c>
    </row>
    <row r="23" spans="1:7" ht="12.75" customHeight="1">
      <c r="A23" s="29" t="s">
        <v>63</v>
      </c>
      <c r="B23" s="38" t="s">
        <v>48</v>
      </c>
      <c r="C23" s="38" t="s">
        <v>0</v>
      </c>
      <c r="D23" s="38" t="s">
        <v>1</v>
      </c>
      <c r="E23" s="39" t="s">
        <v>2</v>
      </c>
      <c r="F23" s="38" t="s">
        <v>3</v>
      </c>
    </row>
    <row r="24" spans="1:7">
      <c r="A24" s="30" t="s">
        <v>52</v>
      </c>
      <c r="B24" s="44">
        <v>6000000</v>
      </c>
      <c r="C24" s="45">
        <v>6233333</v>
      </c>
      <c r="D24" s="42">
        <f>AVERAGE(B24:C24)</f>
        <v>6116666.5</v>
      </c>
      <c r="E24" s="43">
        <v>0</v>
      </c>
      <c r="F24" s="42">
        <f t="shared" ref="F24:F27" si="20">E24*D24</f>
        <v>0</v>
      </c>
    </row>
    <row r="25" spans="1:7">
      <c r="A25" s="30" t="s">
        <v>62</v>
      </c>
      <c r="B25" s="44">
        <v>720000</v>
      </c>
      <c r="C25" s="45">
        <v>720000</v>
      </c>
      <c r="D25" s="42">
        <f t="shared" ref="D25:D27" si="21">AVERAGE(B25:C25)</f>
        <v>720000</v>
      </c>
      <c r="E25" s="43">
        <v>0</v>
      </c>
      <c r="F25" s="42">
        <f t="shared" si="20"/>
        <v>0</v>
      </c>
    </row>
    <row r="26" spans="1:7" ht="12.75" customHeight="1">
      <c r="A26" s="30" t="s">
        <v>51</v>
      </c>
      <c r="B26" s="44">
        <v>80723</v>
      </c>
      <c r="C26" s="44">
        <v>78489</v>
      </c>
      <c r="D26" s="42">
        <f t="shared" si="21"/>
        <v>79606</v>
      </c>
      <c r="E26" s="43">
        <v>0</v>
      </c>
      <c r="F26" s="42">
        <f t="shared" si="20"/>
        <v>0</v>
      </c>
    </row>
    <row r="27" spans="1:7" ht="12.75" customHeight="1">
      <c r="A27" s="30" t="s">
        <v>4</v>
      </c>
      <c r="B27" s="44">
        <v>-2021479</v>
      </c>
      <c r="C27" s="44">
        <v>-2086335</v>
      </c>
      <c r="D27" s="42">
        <f t="shared" si="21"/>
        <v>-2053907</v>
      </c>
      <c r="E27" s="43">
        <v>1</v>
      </c>
      <c r="F27" s="42">
        <f t="shared" si="20"/>
        <v>-2053907</v>
      </c>
    </row>
    <row r="28" spans="1:7" ht="15.4" customHeight="1">
      <c r="A28" s="51" t="s">
        <v>5</v>
      </c>
      <c r="B28" s="72"/>
      <c r="C28" s="72"/>
      <c r="D28" s="72"/>
      <c r="E28" s="72"/>
      <c r="F28" s="52">
        <f>+SUM(F3:F27)</f>
        <v>34454632.159999996</v>
      </c>
    </row>
    <row r="29" spans="1:7" ht="16.350000000000001" customHeight="1">
      <c r="A29" s="31" t="s">
        <v>6</v>
      </c>
      <c r="B29" s="73"/>
      <c r="C29" s="73"/>
      <c r="D29" s="73"/>
      <c r="E29" s="73"/>
      <c r="F29" s="52">
        <f>F28/12</f>
        <v>2871219.3466666662</v>
      </c>
    </row>
    <row r="30" spans="1:7">
      <c r="A30" s="31" t="s">
        <v>7</v>
      </c>
      <c r="B30" s="73"/>
      <c r="C30" s="73"/>
      <c r="D30" s="73"/>
      <c r="E30" s="73"/>
      <c r="F30" s="42">
        <f>RTR!K16</f>
        <v>2800654</v>
      </c>
    </row>
    <row r="31" spans="1:7" ht="16.350000000000001" customHeight="1">
      <c r="A31" s="31" t="s">
        <v>8</v>
      </c>
      <c r="B31" s="74"/>
      <c r="C31" s="74"/>
      <c r="D31" s="74"/>
      <c r="E31" s="74"/>
      <c r="F31" s="53">
        <v>1</v>
      </c>
    </row>
    <row r="32" spans="1:7" ht="16.350000000000001" customHeight="1">
      <c r="A32" s="31" t="s">
        <v>9</v>
      </c>
      <c r="B32" s="73"/>
      <c r="C32" s="73"/>
      <c r="D32" s="73"/>
      <c r="E32" s="73"/>
      <c r="F32" s="54">
        <f>(F29*F31)-F30</f>
        <v>70565.346666666213</v>
      </c>
    </row>
    <row r="33" spans="1:6" ht="16.350000000000001" customHeight="1">
      <c r="A33" s="31" t="s">
        <v>10</v>
      </c>
      <c r="B33" s="73"/>
      <c r="C33" s="73"/>
      <c r="D33" s="73"/>
      <c r="E33" s="73"/>
      <c r="F33" s="55">
        <v>180</v>
      </c>
    </row>
    <row r="34" spans="1:6" ht="14.25" customHeight="1">
      <c r="A34" s="31" t="s">
        <v>11</v>
      </c>
      <c r="B34" s="73"/>
      <c r="C34" s="73"/>
      <c r="D34" s="73"/>
      <c r="E34" s="73"/>
      <c r="F34" s="53">
        <v>0.1</v>
      </c>
    </row>
    <row r="35" spans="1:6">
      <c r="A35" s="31" t="s">
        <v>12</v>
      </c>
      <c r="B35" s="73"/>
      <c r="C35" s="73"/>
      <c r="D35" s="73"/>
      <c r="E35" s="73"/>
      <c r="F35" s="56">
        <f>PMT(F34/12,F33,-100000)</f>
        <v>1074.6051177081163</v>
      </c>
    </row>
    <row r="36" spans="1:6">
      <c r="A36" s="31" t="s">
        <v>13</v>
      </c>
      <c r="B36" s="73"/>
      <c r="C36" s="73"/>
      <c r="D36" s="73"/>
      <c r="E36" s="73"/>
      <c r="F36" s="57">
        <f>F32/F35</f>
        <v>65.666304304567007</v>
      </c>
    </row>
  </sheetData>
  <sheetProtection selectLockedCells="1" selectUnlockedCells="1"/>
  <mergeCells count="10">
    <mergeCell ref="B32:E32"/>
    <mergeCell ref="B33:E33"/>
    <mergeCell ref="B34:E34"/>
    <mergeCell ref="B35:E35"/>
    <mergeCell ref="B36:E36"/>
    <mergeCell ref="B1:C1"/>
    <mergeCell ref="B28:E28"/>
    <mergeCell ref="B29:E29"/>
    <mergeCell ref="B30:E30"/>
    <mergeCell ref="B31:E31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M16"/>
  <sheetViews>
    <sheetView tabSelected="1" zoomScale="89" zoomScaleNormal="89" workbookViewId="0">
      <selection activeCell="K17" sqref="K17"/>
    </sheetView>
  </sheetViews>
  <sheetFormatPr defaultColWidth="22.140625" defaultRowHeight="13.5"/>
  <cols>
    <col min="1" max="1" width="6.85546875" style="20" customWidth="1"/>
    <col min="2" max="2" width="22.5703125" style="20" customWidth="1"/>
    <col min="3" max="3" width="30" style="20" customWidth="1"/>
    <col min="4" max="4" width="17.140625" style="20" customWidth="1"/>
    <col min="5" max="5" width="14.28515625" style="20" customWidth="1"/>
    <col min="6" max="6" width="13" style="20" customWidth="1"/>
    <col min="7" max="7" width="7.5703125" style="20" bestFit="1" customWidth="1"/>
    <col min="8" max="8" width="9.28515625" style="20" bestFit="1" customWidth="1"/>
    <col min="9" max="9" width="11" style="20" customWidth="1"/>
    <col min="10" max="10" width="13.85546875" style="20" customWidth="1"/>
    <col min="11" max="11" width="13.140625" style="20" customWidth="1"/>
    <col min="12" max="12" width="10.85546875" style="20" customWidth="1"/>
    <col min="13" max="247" width="22.140625" style="20"/>
    <col min="248" max="16384" width="22.140625" style="21"/>
  </cols>
  <sheetData>
    <row r="1" spans="1:12" ht="30" customHeight="1">
      <c r="A1" s="27" t="s">
        <v>14</v>
      </c>
      <c r="B1" s="27" t="s">
        <v>15</v>
      </c>
      <c r="C1" s="27" t="s">
        <v>16</v>
      </c>
      <c r="D1" s="27" t="s">
        <v>17</v>
      </c>
      <c r="E1" s="27" t="s">
        <v>18</v>
      </c>
      <c r="F1" s="27" t="s">
        <v>19</v>
      </c>
      <c r="G1" s="27" t="s">
        <v>20</v>
      </c>
      <c r="H1" s="27" t="s">
        <v>21</v>
      </c>
      <c r="I1" s="27" t="s">
        <v>22</v>
      </c>
      <c r="J1" s="27" t="s">
        <v>23</v>
      </c>
      <c r="K1" s="27" t="s">
        <v>24</v>
      </c>
      <c r="L1" s="60"/>
    </row>
    <row r="2" spans="1:12" ht="15.75" customHeight="1">
      <c r="A2" s="22">
        <v>1</v>
      </c>
      <c r="B2" s="23" t="s">
        <v>64</v>
      </c>
      <c r="C2" s="22" t="s">
        <v>65</v>
      </c>
      <c r="D2" s="22" t="s">
        <v>66</v>
      </c>
      <c r="E2" s="23" t="s">
        <v>67</v>
      </c>
      <c r="F2" s="23">
        <v>12500000</v>
      </c>
      <c r="G2" s="24">
        <v>36</v>
      </c>
      <c r="H2" s="24">
        <v>5</v>
      </c>
      <c r="I2" s="24">
        <f>36-5</f>
        <v>31</v>
      </c>
      <c r="J2" s="24">
        <v>397788</v>
      </c>
      <c r="K2" s="28" t="s">
        <v>25</v>
      </c>
      <c r="L2" s="60"/>
    </row>
    <row r="3" spans="1:12">
      <c r="A3" s="22">
        <v>2</v>
      </c>
      <c r="B3" s="23" t="s">
        <v>68</v>
      </c>
      <c r="C3" s="22" t="s">
        <v>65</v>
      </c>
      <c r="D3" s="22" t="s">
        <v>69</v>
      </c>
      <c r="E3" s="23" t="s">
        <v>70</v>
      </c>
      <c r="F3" s="23">
        <v>9000000</v>
      </c>
      <c r="G3" s="24">
        <v>37</v>
      </c>
      <c r="H3" s="24">
        <v>14</v>
      </c>
      <c r="I3" s="24">
        <f>37-14</f>
        <v>23</v>
      </c>
      <c r="J3" s="24">
        <v>280130</v>
      </c>
      <c r="K3" s="28" t="s">
        <v>25</v>
      </c>
      <c r="L3" s="60"/>
    </row>
    <row r="4" spans="1:12">
      <c r="A4" s="22">
        <v>3</v>
      </c>
      <c r="B4" s="23">
        <v>1749</v>
      </c>
      <c r="C4" s="22" t="s">
        <v>65</v>
      </c>
      <c r="D4" s="22" t="s">
        <v>71</v>
      </c>
      <c r="E4" s="23" t="s">
        <v>53</v>
      </c>
      <c r="F4" s="23">
        <v>30000000</v>
      </c>
      <c r="G4" s="24">
        <v>240</v>
      </c>
      <c r="H4" s="24">
        <v>59</v>
      </c>
      <c r="I4" s="24">
        <f>240-59</f>
        <v>181</v>
      </c>
      <c r="J4" s="24">
        <v>320100</v>
      </c>
      <c r="K4" s="28" t="s">
        <v>25</v>
      </c>
      <c r="L4" s="60"/>
    </row>
    <row r="5" spans="1:12">
      <c r="A5" s="22">
        <v>4</v>
      </c>
      <c r="B5" s="23">
        <v>10358362</v>
      </c>
      <c r="C5" s="22" t="s">
        <v>65</v>
      </c>
      <c r="D5" s="22" t="s">
        <v>72</v>
      </c>
      <c r="E5" s="23" t="s">
        <v>73</v>
      </c>
      <c r="F5" s="23">
        <v>18500000</v>
      </c>
      <c r="G5" s="24">
        <v>181</v>
      </c>
      <c r="H5" s="24">
        <v>21</v>
      </c>
      <c r="I5" s="24">
        <f>181-21</f>
        <v>160</v>
      </c>
      <c r="J5" s="24">
        <v>184352</v>
      </c>
      <c r="K5" s="28" t="s">
        <v>25</v>
      </c>
      <c r="L5" s="60"/>
    </row>
    <row r="6" spans="1:12" ht="15.75" customHeight="1">
      <c r="A6" s="22">
        <v>5</v>
      </c>
      <c r="B6" s="23" t="s">
        <v>74</v>
      </c>
      <c r="C6" s="22" t="s">
        <v>65</v>
      </c>
      <c r="D6" s="22" t="s">
        <v>75</v>
      </c>
      <c r="E6" s="23" t="s">
        <v>53</v>
      </c>
      <c r="F6" s="23">
        <v>42950000</v>
      </c>
      <c r="G6" s="24">
        <v>127</v>
      </c>
      <c r="H6" s="24">
        <v>101</v>
      </c>
      <c r="I6" s="24">
        <f>127-101</f>
        <v>26</v>
      </c>
      <c r="J6" s="24">
        <v>641290</v>
      </c>
      <c r="K6" s="28" t="s">
        <v>25</v>
      </c>
      <c r="L6" s="60"/>
    </row>
    <row r="7" spans="1:12">
      <c r="A7" s="22">
        <v>6</v>
      </c>
      <c r="B7" s="23" t="s">
        <v>76</v>
      </c>
      <c r="C7" s="22" t="s">
        <v>65</v>
      </c>
      <c r="D7" s="22" t="s">
        <v>66</v>
      </c>
      <c r="E7" s="23" t="s">
        <v>67</v>
      </c>
      <c r="F7" s="23">
        <v>16577000</v>
      </c>
      <c r="G7" s="24">
        <v>36</v>
      </c>
      <c r="H7" s="24">
        <v>24</v>
      </c>
      <c r="I7" s="24">
        <f>36-24</f>
        <v>12</v>
      </c>
      <c r="J7" s="24">
        <v>523400</v>
      </c>
      <c r="K7" s="28" t="s">
        <v>54</v>
      </c>
      <c r="L7" s="60" t="s">
        <v>84</v>
      </c>
    </row>
    <row r="8" spans="1:12">
      <c r="A8" s="22">
        <v>7</v>
      </c>
      <c r="B8" s="23">
        <v>10381200</v>
      </c>
      <c r="C8" s="22" t="s">
        <v>65</v>
      </c>
      <c r="D8" s="22" t="s">
        <v>72</v>
      </c>
      <c r="E8" s="23" t="s">
        <v>77</v>
      </c>
      <c r="F8" s="23">
        <v>17700000</v>
      </c>
      <c r="G8" s="24">
        <v>181</v>
      </c>
      <c r="H8" s="24">
        <v>20</v>
      </c>
      <c r="I8" s="24">
        <f>181-20</f>
        <v>161</v>
      </c>
      <c r="J8" s="24">
        <v>191289</v>
      </c>
      <c r="K8" s="28" t="s">
        <v>25</v>
      </c>
      <c r="L8" s="60"/>
    </row>
    <row r="9" spans="1:12">
      <c r="A9" s="22">
        <v>8</v>
      </c>
      <c r="B9" s="23" t="s">
        <v>78</v>
      </c>
      <c r="C9" s="22" t="s">
        <v>65</v>
      </c>
      <c r="D9" s="22" t="s">
        <v>66</v>
      </c>
      <c r="E9" s="23" t="s">
        <v>67</v>
      </c>
      <c r="F9" s="23">
        <v>2391500</v>
      </c>
      <c r="G9" s="24">
        <v>36</v>
      </c>
      <c r="H9" s="24">
        <v>33</v>
      </c>
      <c r="I9" s="24">
        <v>3</v>
      </c>
      <c r="J9" s="24">
        <v>75768</v>
      </c>
      <c r="K9" s="28" t="s">
        <v>54</v>
      </c>
      <c r="L9" s="60" t="s">
        <v>83</v>
      </c>
    </row>
    <row r="10" spans="1:12" ht="15.75" customHeight="1">
      <c r="A10" s="22">
        <v>9</v>
      </c>
      <c r="B10" s="23" t="s">
        <v>79</v>
      </c>
      <c r="C10" s="22" t="s">
        <v>82</v>
      </c>
      <c r="D10" s="22" t="s">
        <v>66</v>
      </c>
      <c r="E10" s="23" t="s">
        <v>67</v>
      </c>
      <c r="F10" s="23">
        <v>11215000</v>
      </c>
      <c r="G10" s="24">
        <v>36</v>
      </c>
      <c r="H10" s="24">
        <v>28</v>
      </c>
      <c r="I10" s="24">
        <v>8</v>
      </c>
      <c r="J10" s="24">
        <v>354100</v>
      </c>
      <c r="K10" s="28" t="s">
        <v>25</v>
      </c>
      <c r="L10" s="60" t="s">
        <v>83</v>
      </c>
    </row>
    <row r="11" spans="1:12">
      <c r="A11" s="22">
        <v>10</v>
      </c>
      <c r="B11" s="23" t="s">
        <v>80</v>
      </c>
      <c r="C11" s="22" t="s">
        <v>82</v>
      </c>
      <c r="D11" s="22" t="s">
        <v>66</v>
      </c>
      <c r="E11" s="23" t="s">
        <v>67</v>
      </c>
      <c r="F11" s="23">
        <v>1913000</v>
      </c>
      <c r="G11" s="24">
        <v>36</v>
      </c>
      <c r="H11" s="24">
        <f>36-9</f>
        <v>27</v>
      </c>
      <c r="I11" s="24">
        <v>9</v>
      </c>
      <c r="J11" s="24">
        <v>60708</v>
      </c>
      <c r="K11" s="28" t="s">
        <v>25</v>
      </c>
      <c r="L11" s="60" t="s">
        <v>83</v>
      </c>
    </row>
    <row r="12" spans="1:12">
      <c r="A12" s="22">
        <v>11</v>
      </c>
      <c r="B12" s="23">
        <v>57446041</v>
      </c>
      <c r="C12" s="22" t="s">
        <v>82</v>
      </c>
      <c r="D12" s="22" t="s">
        <v>81</v>
      </c>
      <c r="E12" s="23" t="s">
        <v>67</v>
      </c>
      <c r="F12" s="23">
        <v>4500000</v>
      </c>
      <c r="G12" s="24">
        <v>24</v>
      </c>
      <c r="H12" s="24">
        <v>21</v>
      </c>
      <c r="I12" s="24">
        <v>3</v>
      </c>
      <c r="J12" s="24">
        <v>209330</v>
      </c>
      <c r="K12" s="28" t="s">
        <v>54</v>
      </c>
      <c r="L12" s="60" t="s">
        <v>83</v>
      </c>
    </row>
    <row r="13" spans="1:12">
      <c r="A13" s="22">
        <v>12</v>
      </c>
      <c r="B13" s="23">
        <v>60304473</v>
      </c>
      <c r="C13" s="22" t="s">
        <v>82</v>
      </c>
      <c r="D13" s="22" t="s">
        <v>81</v>
      </c>
      <c r="E13" s="23" t="s">
        <v>67</v>
      </c>
      <c r="F13" s="23">
        <v>6500000</v>
      </c>
      <c r="G13" s="24">
        <v>60</v>
      </c>
      <c r="H13" s="24">
        <v>18</v>
      </c>
      <c r="I13" s="24">
        <f>60-18</f>
        <v>42</v>
      </c>
      <c r="J13" s="24">
        <v>134173</v>
      </c>
      <c r="K13" s="28" t="s">
        <v>25</v>
      </c>
      <c r="L13" s="60"/>
    </row>
    <row r="14" spans="1:12">
      <c r="A14" s="22">
        <v>13</v>
      </c>
      <c r="B14" s="23"/>
      <c r="C14" s="22" t="s">
        <v>65</v>
      </c>
      <c r="D14" s="22" t="s">
        <v>69</v>
      </c>
      <c r="E14" s="23"/>
      <c r="F14" s="23">
        <v>4800000</v>
      </c>
      <c r="G14" s="24"/>
      <c r="H14" s="24"/>
      <c r="I14" s="24"/>
      <c r="J14" s="24">
        <v>149403</v>
      </c>
      <c r="K14" s="28" t="s">
        <v>25</v>
      </c>
      <c r="L14" s="60"/>
    </row>
    <row r="15" spans="1:12">
      <c r="A15" s="22">
        <v>14</v>
      </c>
      <c r="B15" s="23"/>
      <c r="C15" s="22" t="s">
        <v>82</v>
      </c>
      <c r="D15" s="22" t="s">
        <v>66</v>
      </c>
      <c r="E15" s="23"/>
      <c r="F15" s="23">
        <v>2750000</v>
      </c>
      <c r="G15" s="24"/>
      <c r="H15" s="24"/>
      <c r="I15" s="24"/>
      <c r="J15" s="24">
        <v>87321</v>
      </c>
      <c r="K15" s="28" t="s">
        <v>25</v>
      </c>
      <c r="L15" s="60"/>
    </row>
    <row r="16" spans="1:12">
      <c r="A16" s="25"/>
      <c r="B16" s="22"/>
      <c r="C16" s="22"/>
      <c r="D16" s="22"/>
      <c r="E16" s="23"/>
      <c r="F16" s="22"/>
      <c r="G16" s="22"/>
      <c r="H16" s="22"/>
      <c r="I16" s="22"/>
      <c r="J16" s="22"/>
      <c r="K16" s="26">
        <f>SUMIF(K2:K15,"Y",J2:J15)</f>
        <v>2800654</v>
      </c>
      <c r="L16" s="60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5" t="s">
        <v>26</v>
      </c>
      <c r="B1" s="75"/>
      <c r="C1" s="2"/>
    </row>
    <row r="2" spans="1:6" ht="14.25" customHeight="1">
      <c r="A2" s="75" t="s">
        <v>27</v>
      </c>
      <c r="B2" s="75"/>
      <c r="C2" s="2"/>
    </row>
    <row r="5" spans="1:6" ht="27">
      <c r="A5" s="3" t="s">
        <v>14</v>
      </c>
      <c r="B5" s="4" t="s">
        <v>28</v>
      </c>
      <c r="C5" s="4" t="s">
        <v>29</v>
      </c>
      <c r="D5" s="5" t="s">
        <v>30</v>
      </c>
      <c r="E5" s="1" t="s">
        <v>31</v>
      </c>
      <c r="F5" s="1" t="s">
        <v>32</v>
      </c>
    </row>
    <row r="6" spans="1:6" ht="40.5">
      <c r="A6" s="6">
        <v>1</v>
      </c>
      <c r="B6" s="7" t="s">
        <v>33</v>
      </c>
      <c r="C6" s="8" t="s">
        <v>34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35</v>
      </c>
      <c r="C7" s="8" t="s">
        <v>36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37</v>
      </c>
      <c r="C8" s="8" t="s">
        <v>38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39</v>
      </c>
      <c r="C9" s="12" t="s">
        <v>40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41</v>
      </c>
      <c r="C10" s="8" t="s">
        <v>42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43</v>
      </c>
      <c r="C11" s="14" t="s">
        <v>44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45</v>
      </c>
      <c r="C12" s="15" t="s">
        <v>46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47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N21"/>
  <sheetViews>
    <sheetView workbookViewId="0">
      <selection activeCell="G3" sqref="G3"/>
    </sheetView>
  </sheetViews>
  <sheetFormatPr defaultRowHeight="12.75"/>
  <cols>
    <col min="1" max="1" width="21.5703125" customWidth="1"/>
    <col min="2" max="2" width="10.42578125" customWidth="1"/>
    <col min="3" max="3" width="9.42578125" customWidth="1"/>
    <col min="4" max="4" width="11.140625" customWidth="1"/>
    <col min="5" max="5" width="10.140625" customWidth="1"/>
  </cols>
  <sheetData>
    <row r="2" spans="1:14" ht="21">
      <c r="A2" s="61"/>
      <c r="B2" s="62"/>
      <c r="C2" s="76" t="s">
        <v>107</v>
      </c>
      <c r="D2" s="77"/>
      <c r="E2" s="78"/>
      <c r="F2" s="61"/>
      <c r="G2" s="61"/>
      <c r="H2" s="61"/>
      <c r="I2" s="61"/>
      <c r="J2" s="61"/>
      <c r="K2" s="61"/>
      <c r="L2" s="61"/>
      <c r="M2" s="61"/>
      <c r="N2" s="61"/>
    </row>
    <row r="3" spans="1:14" ht="30">
      <c r="A3" s="63" t="s">
        <v>109</v>
      </c>
      <c r="B3" s="62"/>
      <c r="C3" s="64"/>
      <c r="D3" s="64"/>
      <c r="E3" s="65"/>
      <c r="F3" s="61"/>
      <c r="G3" s="61"/>
      <c r="H3" s="61"/>
      <c r="I3" s="61"/>
      <c r="J3" s="61"/>
      <c r="K3" s="61"/>
      <c r="L3" s="61"/>
      <c r="M3" s="61"/>
      <c r="N3" s="61"/>
    </row>
    <row r="4" spans="1:14" ht="15">
      <c r="A4" s="66" t="s">
        <v>87</v>
      </c>
      <c r="B4" s="66" t="s">
        <v>92</v>
      </c>
      <c r="C4" s="66" t="s">
        <v>93</v>
      </c>
      <c r="D4" s="66" t="s">
        <v>94</v>
      </c>
      <c r="E4" s="66" t="s">
        <v>95</v>
      </c>
      <c r="F4" s="66" t="s">
        <v>96</v>
      </c>
      <c r="G4" s="66" t="s">
        <v>108</v>
      </c>
      <c r="H4" s="66" t="s">
        <v>97</v>
      </c>
      <c r="I4" s="66" t="s">
        <v>98</v>
      </c>
      <c r="J4" s="66" t="s">
        <v>88</v>
      </c>
      <c r="K4" s="66" t="s">
        <v>89</v>
      </c>
      <c r="L4" s="66" t="s">
        <v>90</v>
      </c>
      <c r="M4" s="66" t="s">
        <v>91</v>
      </c>
      <c r="N4" s="67"/>
    </row>
    <row r="5" spans="1:14" ht="15">
      <c r="A5" s="66" t="s">
        <v>99</v>
      </c>
      <c r="B5" s="68">
        <v>23865048</v>
      </c>
      <c r="C5" s="67">
        <v>63876.35</v>
      </c>
      <c r="D5" s="68">
        <v>7694813</v>
      </c>
      <c r="E5" s="68">
        <v>46571</v>
      </c>
      <c r="F5" s="68">
        <v>2571</v>
      </c>
      <c r="G5" s="67">
        <v>3304</v>
      </c>
      <c r="H5" s="68">
        <v>80304</v>
      </c>
      <c r="I5" s="67">
        <v>80304</v>
      </c>
      <c r="J5" s="68">
        <v>2446293</v>
      </c>
      <c r="K5" s="68">
        <v>36293</v>
      </c>
      <c r="L5" s="68">
        <v>36293</v>
      </c>
      <c r="M5" s="68">
        <v>16293</v>
      </c>
      <c r="N5" s="67"/>
    </row>
    <row r="6" spans="1:14" ht="15">
      <c r="A6" s="66" t="s">
        <v>100</v>
      </c>
      <c r="B6" s="68">
        <v>223876</v>
      </c>
      <c r="C6" s="68">
        <v>6481632</v>
      </c>
      <c r="D6" s="68">
        <v>1694813</v>
      </c>
      <c r="E6" s="68">
        <v>46571</v>
      </c>
      <c r="F6" s="67">
        <v>2571</v>
      </c>
      <c r="G6" s="67">
        <v>3304</v>
      </c>
      <c r="H6" s="68">
        <v>1080304</v>
      </c>
      <c r="I6" s="68">
        <v>4510304</v>
      </c>
      <c r="J6" s="68">
        <v>3786293</v>
      </c>
      <c r="K6" s="68">
        <v>36293</v>
      </c>
      <c r="L6" s="67">
        <v>36293</v>
      </c>
      <c r="M6" s="67">
        <v>366293</v>
      </c>
      <c r="N6" s="67"/>
    </row>
    <row r="7" spans="1:14" ht="15">
      <c r="A7" s="66" t="s">
        <v>101</v>
      </c>
      <c r="B7" s="68">
        <v>63876</v>
      </c>
      <c r="C7" s="68">
        <v>151632</v>
      </c>
      <c r="D7" s="68">
        <v>6994571</v>
      </c>
      <c r="E7" s="68">
        <v>7902571</v>
      </c>
      <c r="F7" s="67">
        <v>2571</v>
      </c>
      <c r="G7" s="67">
        <v>3304</v>
      </c>
      <c r="H7" s="68">
        <v>80304</v>
      </c>
      <c r="I7" s="68">
        <v>10304</v>
      </c>
      <c r="J7" s="68">
        <v>36293</v>
      </c>
      <c r="K7" s="68">
        <v>7511293</v>
      </c>
      <c r="L7" s="67">
        <v>16293</v>
      </c>
      <c r="M7" s="67">
        <v>5649846</v>
      </c>
      <c r="N7" s="67"/>
    </row>
    <row r="8" spans="1:14" ht="15">
      <c r="A8" s="66" t="s">
        <v>102</v>
      </c>
      <c r="B8" s="68">
        <v>63876</v>
      </c>
      <c r="C8" s="68">
        <v>151809</v>
      </c>
      <c r="D8" s="68">
        <v>394571</v>
      </c>
      <c r="E8" s="68">
        <v>7802571</v>
      </c>
      <c r="F8" s="67">
        <v>3304</v>
      </c>
      <c r="G8" s="67">
        <v>3304</v>
      </c>
      <c r="H8" s="68">
        <v>80304</v>
      </c>
      <c r="I8" s="68">
        <v>10304</v>
      </c>
      <c r="J8" s="68">
        <v>36293</v>
      </c>
      <c r="K8" s="68">
        <v>36293</v>
      </c>
      <c r="L8" s="67">
        <v>16293</v>
      </c>
      <c r="M8" s="67">
        <v>1390147</v>
      </c>
      <c r="N8" s="67"/>
    </row>
    <row r="9" spans="1:14" ht="15">
      <c r="A9" s="66" t="s">
        <v>103</v>
      </c>
      <c r="B9" s="67">
        <f>SUM(B5:B8)/4</f>
        <v>6054169</v>
      </c>
      <c r="C9" s="67">
        <f t="shared" ref="C9:M9" si="0">SUM(C5:C8)/4</f>
        <v>1712237.3374999999</v>
      </c>
      <c r="D9" s="67">
        <f t="shared" si="0"/>
        <v>4194692</v>
      </c>
      <c r="E9" s="67">
        <f t="shared" si="0"/>
        <v>3949571</v>
      </c>
      <c r="F9" s="67">
        <f t="shared" si="0"/>
        <v>2754.25</v>
      </c>
      <c r="G9" s="67">
        <f t="shared" si="0"/>
        <v>3304</v>
      </c>
      <c r="H9" s="67">
        <f t="shared" si="0"/>
        <v>330304</v>
      </c>
      <c r="I9" s="67">
        <f t="shared" si="0"/>
        <v>1152804</v>
      </c>
      <c r="J9" s="67">
        <f t="shared" si="0"/>
        <v>1576293</v>
      </c>
      <c r="K9" s="67">
        <f t="shared" si="0"/>
        <v>1905043</v>
      </c>
      <c r="L9" s="67">
        <f t="shared" si="0"/>
        <v>26293</v>
      </c>
      <c r="M9" s="67">
        <f t="shared" si="0"/>
        <v>1855644.75</v>
      </c>
      <c r="N9" s="66">
        <f>(SUM(B9:M9)/12)</f>
        <v>1896925.778125</v>
      </c>
    </row>
    <row r="10" spans="1:14" ht="15">
      <c r="A10" s="66" t="s">
        <v>106</v>
      </c>
      <c r="B10" s="67">
        <v>15</v>
      </c>
      <c r="C10" s="67">
        <v>12</v>
      </c>
      <c r="D10" s="67">
        <v>6</v>
      </c>
      <c r="E10" s="67">
        <v>5</v>
      </c>
      <c r="F10" s="67">
        <v>4</v>
      </c>
      <c r="G10" s="67">
        <v>2</v>
      </c>
      <c r="H10" s="67">
        <v>1</v>
      </c>
      <c r="I10" s="67">
        <v>2</v>
      </c>
      <c r="J10" s="67">
        <v>2</v>
      </c>
      <c r="K10" s="67">
        <v>2</v>
      </c>
      <c r="L10" s="67">
        <v>0</v>
      </c>
      <c r="M10" s="67">
        <v>7</v>
      </c>
      <c r="N10" s="69"/>
    </row>
    <row r="11" spans="1:1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</row>
    <row r="12" spans="1:14" ht="30">
      <c r="A12" s="63" t="s">
        <v>110</v>
      </c>
      <c r="B12" s="62"/>
      <c r="C12" s="64"/>
      <c r="D12" s="64"/>
      <c r="E12" s="65"/>
      <c r="F12" s="61"/>
      <c r="G12" s="61"/>
      <c r="H12" s="61"/>
      <c r="I12" s="61"/>
      <c r="J12" s="61"/>
      <c r="K12" s="61"/>
      <c r="L12" s="61"/>
      <c r="M12" s="61"/>
      <c r="N12" s="61"/>
    </row>
    <row r="13" spans="1:14" ht="15">
      <c r="A13" s="66" t="s">
        <v>87</v>
      </c>
      <c r="B13" s="66" t="s">
        <v>92</v>
      </c>
      <c r="C13" s="66" t="s">
        <v>93</v>
      </c>
      <c r="D13" s="66" t="s">
        <v>94</v>
      </c>
      <c r="E13" s="66" t="s">
        <v>95</v>
      </c>
      <c r="F13" s="66" t="s">
        <v>96</v>
      </c>
      <c r="G13" s="66" t="s">
        <v>108</v>
      </c>
      <c r="H13" s="66" t="s">
        <v>97</v>
      </c>
      <c r="I13" s="66" t="s">
        <v>98</v>
      </c>
      <c r="J13" s="66" t="s">
        <v>88</v>
      </c>
      <c r="K13" s="66" t="s">
        <v>89</v>
      </c>
      <c r="L13" s="66" t="s">
        <v>90</v>
      </c>
      <c r="M13" s="66" t="s">
        <v>91</v>
      </c>
      <c r="N13" s="67"/>
    </row>
    <row r="14" spans="1:14" ht="15">
      <c r="A14" s="66" t="s">
        <v>99</v>
      </c>
      <c r="B14" s="68">
        <v>101072</v>
      </c>
      <c r="C14" s="67">
        <v>37751</v>
      </c>
      <c r="D14" s="68">
        <v>57357</v>
      </c>
      <c r="E14" s="68">
        <v>23961</v>
      </c>
      <c r="F14" s="68">
        <v>58479</v>
      </c>
      <c r="G14" s="67">
        <v>51891</v>
      </c>
      <c r="H14" s="68">
        <v>10209</v>
      </c>
      <c r="I14" s="67">
        <v>5264</v>
      </c>
      <c r="J14" s="68">
        <v>62895</v>
      </c>
      <c r="K14" s="68">
        <v>58253</v>
      </c>
      <c r="L14" s="68">
        <v>22185</v>
      </c>
      <c r="M14" s="68">
        <v>14410</v>
      </c>
      <c r="N14" s="67"/>
    </row>
    <row r="15" spans="1:14" ht="15">
      <c r="A15" s="66" t="s">
        <v>100</v>
      </c>
      <c r="B15" s="68">
        <v>803339</v>
      </c>
      <c r="C15" s="68">
        <v>11847</v>
      </c>
      <c r="D15" s="68">
        <v>1130192</v>
      </c>
      <c r="E15" s="68">
        <v>8713</v>
      </c>
      <c r="F15" s="67">
        <v>31317</v>
      </c>
      <c r="G15" s="67">
        <v>26200</v>
      </c>
      <c r="H15" s="68">
        <v>58409</v>
      </c>
      <c r="I15" s="68">
        <v>91967</v>
      </c>
      <c r="J15" s="68">
        <v>15798</v>
      </c>
      <c r="K15" s="68">
        <v>24909</v>
      </c>
      <c r="L15" s="67">
        <v>84893</v>
      </c>
      <c r="M15" s="67">
        <v>970</v>
      </c>
      <c r="N15" s="67"/>
    </row>
    <row r="16" spans="1:14" ht="15">
      <c r="A16" s="66" t="s">
        <v>101</v>
      </c>
      <c r="B16" s="68">
        <v>14341</v>
      </c>
      <c r="C16" s="68">
        <v>87749</v>
      </c>
      <c r="D16" s="68">
        <v>93532</v>
      </c>
      <c r="E16" s="68">
        <v>67935</v>
      </c>
      <c r="F16" s="67">
        <v>8522</v>
      </c>
      <c r="G16" s="67">
        <v>69171</v>
      </c>
      <c r="H16" s="68">
        <v>36158</v>
      </c>
      <c r="I16" s="68">
        <v>21400</v>
      </c>
      <c r="J16" s="68">
        <v>84459</v>
      </c>
      <c r="K16" s="68">
        <v>34365</v>
      </c>
      <c r="L16" s="67">
        <v>37493</v>
      </c>
      <c r="M16" s="67">
        <v>13832</v>
      </c>
      <c r="N16" s="67"/>
    </row>
    <row r="17" spans="1:14" ht="15">
      <c r="A17" s="66" t="s">
        <v>102</v>
      </c>
      <c r="B17" s="68">
        <v>50234</v>
      </c>
      <c r="C17" s="68">
        <v>34694</v>
      </c>
      <c r="D17" s="68">
        <v>77298</v>
      </c>
      <c r="E17" s="68">
        <v>14309</v>
      </c>
      <c r="F17" s="67">
        <v>10939</v>
      </c>
      <c r="G17" s="67">
        <v>6602</v>
      </c>
      <c r="H17" s="68">
        <v>5020</v>
      </c>
      <c r="I17" s="68">
        <v>5490</v>
      </c>
      <c r="J17" s="68">
        <v>42228</v>
      </c>
      <c r="K17" s="68">
        <v>24365</v>
      </c>
      <c r="L17" s="67">
        <v>3453</v>
      </c>
      <c r="M17" s="67">
        <v>12892</v>
      </c>
      <c r="N17" s="67"/>
    </row>
    <row r="18" spans="1:14" ht="15">
      <c r="A18" s="66" t="s">
        <v>103</v>
      </c>
      <c r="B18" s="67">
        <f>SUM(B14:B17)/4</f>
        <v>242246.5</v>
      </c>
      <c r="C18" s="67">
        <f t="shared" ref="C18:M18" si="1">SUM(C14:C17)/4</f>
        <v>43010.25</v>
      </c>
      <c r="D18" s="67">
        <f t="shared" si="1"/>
        <v>339594.75</v>
      </c>
      <c r="E18" s="67">
        <f t="shared" si="1"/>
        <v>28729.5</v>
      </c>
      <c r="F18" s="67">
        <f t="shared" si="1"/>
        <v>27314.25</v>
      </c>
      <c r="G18" s="67">
        <f t="shared" si="1"/>
        <v>38466</v>
      </c>
      <c r="H18" s="67">
        <f t="shared" si="1"/>
        <v>27449</v>
      </c>
      <c r="I18" s="67">
        <f t="shared" si="1"/>
        <v>31030.25</v>
      </c>
      <c r="J18" s="67">
        <f t="shared" si="1"/>
        <v>51345</v>
      </c>
      <c r="K18" s="67">
        <f t="shared" si="1"/>
        <v>35473</v>
      </c>
      <c r="L18" s="67">
        <f t="shared" si="1"/>
        <v>37006</v>
      </c>
      <c r="M18" s="67">
        <f t="shared" si="1"/>
        <v>10526</v>
      </c>
      <c r="N18" s="66">
        <f>(SUM(B18:M18)/48)</f>
        <v>19003.96875</v>
      </c>
    </row>
    <row r="19" spans="1:14" ht="15">
      <c r="A19" s="66" t="s">
        <v>106</v>
      </c>
      <c r="B19" s="67">
        <v>8</v>
      </c>
      <c r="C19" s="67">
        <v>8</v>
      </c>
      <c r="D19" s="67">
        <v>4</v>
      </c>
      <c r="E19" s="67">
        <v>2</v>
      </c>
      <c r="F19" s="67">
        <v>7</v>
      </c>
      <c r="G19" s="67">
        <v>6</v>
      </c>
      <c r="H19" s="67">
        <v>8</v>
      </c>
      <c r="I19" s="67">
        <v>4</v>
      </c>
      <c r="J19" s="67">
        <v>4</v>
      </c>
      <c r="K19" s="67">
        <v>4</v>
      </c>
      <c r="L19" s="67">
        <v>4</v>
      </c>
      <c r="M19" s="67">
        <v>3</v>
      </c>
      <c r="N19" s="69"/>
    </row>
    <row r="20" spans="1:14">
      <c r="K20" s="79" t="s">
        <v>104</v>
      </c>
      <c r="L20" s="80"/>
      <c r="M20" s="81"/>
      <c r="N20" s="70">
        <f>N9+N18</f>
        <v>1915929.746875</v>
      </c>
    </row>
    <row r="21" spans="1:14">
      <c r="K21" s="79" t="s">
        <v>105</v>
      </c>
      <c r="L21" s="80"/>
      <c r="M21" s="81"/>
      <c r="N21" s="70">
        <f>N20/1074.61</f>
        <v>1782.9070517443538</v>
      </c>
    </row>
  </sheetData>
  <mergeCells count="3">
    <mergeCell ref="C2:E2"/>
    <mergeCell ref="K20:M20"/>
    <mergeCell ref="K21:M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2020-08-07T07:26:41Z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