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2"/>
  <c r="I12"/>
  <c r="I11"/>
  <c r="I10"/>
  <c r="I8"/>
  <c r="I7"/>
  <c r="I6"/>
  <c r="K19"/>
  <c r="I5"/>
  <c r="I4"/>
  <c r="I3"/>
  <c r="B32" i="1"/>
  <c r="D31"/>
  <c r="F31" s="1"/>
  <c r="D33"/>
  <c r="F33" s="1"/>
  <c r="F34" s="1"/>
  <c r="D32"/>
  <c r="F32" s="1"/>
  <c r="D30"/>
  <c r="F30" s="1"/>
  <c r="D29"/>
  <c r="F29" s="1"/>
  <c r="C26"/>
  <c r="D24"/>
  <c r="F24" s="1"/>
  <c r="D27"/>
  <c r="F27" s="1"/>
  <c r="D26"/>
  <c r="F26" s="1"/>
  <c r="D25"/>
  <c r="F25" s="1"/>
  <c r="D23"/>
  <c r="F23" s="1"/>
  <c r="D22"/>
  <c r="F22" s="1"/>
  <c r="D18"/>
  <c r="F18" s="1"/>
  <c r="D20"/>
  <c r="F20" s="1"/>
  <c r="D19"/>
  <c r="F19" s="1"/>
  <c r="D17"/>
  <c r="F17" s="1"/>
  <c r="B14"/>
  <c r="C14"/>
  <c r="C9"/>
  <c r="D5"/>
  <c r="F5" s="1"/>
  <c r="D8"/>
  <c r="F8" s="1"/>
  <c r="D6"/>
  <c r="F6" s="1"/>
  <c r="B9"/>
  <c r="D9" s="1"/>
  <c r="D3"/>
  <c r="D4"/>
  <c r="D7"/>
  <c r="D10"/>
  <c r="D14" l="1"/>
  <c r="F14" s="1"/>
  <c r="F9"/>
  <c r="D15"/>
  <c r="F15" s="1"/>
  <c r="D13"/>
  <c r="F13" s="1"/>
  <c r="D12"/>
  <c r="F12" s="1"/>
  <c r="F3" l="1"/>
  <c r="F4"/>
  <c r="F7"/>
  <c r="F10"/>
  <c r="E13" i="5"/>
  <c r="F12"/>
  <c r="F11"/>
  <c r="F10"/>
  <c r="F9"/>
  <c r="F8"/>
  <c r="F7"/>
  <c r="F6"/>
  <c r="F13"/>
  <c r="F36" i="1"/>
  <c r="F41"/>
  <c r="F35" l="1"/>
  <c r="F38" s="1"/>
  <c r="F42" s="1"/>
</calcChain>
</file>

<file path=xl/sharedStrings.xml><?xml version="1.0" encoding="utf-8"?>
<sst xmlns="http://schemas.openxmlformats.org/spreadsheetml/2006/main" count="177" uniqueCount="89">
  <si>
    <t>ASSESSMENT YEAR</t>
  </si>
  <si>
    <t xml:space="preserve">Application No.    </t>
  </si>
  <si>
    <t xml:space="preserve">TOP UP 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</si>
  <si>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</si>
  <si>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</si>
  <si>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</si>
  <si>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</si>
  <si>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</si>
  <si>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</si>
  <si>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</si>
  <si>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</si>
  <si>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</si>
  <si>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</si>
  <si>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</si>
  <si>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</si>
  <si>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</si>
  <si>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</si>
  <si>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</si>
  <si>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</si>
  <si>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</si>
  <si>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</si>
  <si>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</si>
  <si>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</si>
  <si>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</si>
  <si>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</si>
  <si>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</si>
  <si>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</si>
  <si>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</si>
  <si>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</si>
  <si>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</si>
  <si>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</si>
  <si>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</si>
  <si>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</si>
  <si>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</si>
  <si>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</si>
  <si>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</si>
  <si>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</si>
  <si>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</si>
  <si>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</si>
  <si>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</si>
  <si>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</si>
  <si>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</si>
  <si>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</si>
  <si>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</si>
  <si>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</si>
  <si>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</si>
  <si>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</si>
  <si>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</si>
  <si>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</si>
  <si>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</si>
  <si>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</si>
  <si>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</si>
  <si>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HDFC Bank</t>
  </si>
  <si>
    <t>Car Loan</t>
  </si>
  <si>
    <t>Net Profit</t>
  </si>
  <si>
    <t>Depreciation</t>
  </si>
  <si>
    <t>Interest To Unsecured Loans</t>
  </si>
  <si>
    <t>Payment Made u/s 40 2 (A)b</t>
  </si>
  <si>
    <t>Income From Salary</t>
  </si>
  <si>
    <t>Income From House Property</t>
  </si>
  <si>
    <t>Income From Other Sources</t>
  </si>
  <si>
    <t>Lap</t>
  </si>
  <si>
    <t>Avon Cottex Private Limited</t>
  </si>
  <si>
    <t>Interest On Vehicle Loan</t>
  </si>
  <si>
    <t>Interest To Bank On MTL</t>
  </si>
  <si>
    <t>Interest To Bank (Limit)</t>
  </si>
  <si>
    <t>Gaganjot Singh</t>
  </si>
  <si>
    <t>Share In Partnership Firm (DP Singh &amp; Co.)</t>
  </si>
  <si>
    <t>Taranjit Singh Pruthi</t>
  </si>
  <si>
    <t>Share In Partnership Firm (Grand Tower)</t>
  </si>
  <si>
    <t>Satnam Singh</t>
  </si>
  <si>
    <t>Share In Partnership Firm (Bee Ess Developers &amp; Builders)</t>
  </si>
  <si>
    <t>Paramjit Singh</t>
  </si>
  <si>
    <t>LALUD00037306855</t>
  </si>
  <si>
    <t>Avon Cottex Pvt Ltd</t>
  </si>
  <si>
    <t>ICICI Bank</t>
  </si>
  <si>
    <t>LCV</t>
  </si>
  <si>
    <t>Auto Premium</t>
  </si>
  <si>
    <t>HDB Fin Services</t>
  </si>
  <si>
    <t>Taranjit Singh</t>
  </si>
  <si>
    <t>LBLUD00002423045</t>
  </si>
  <si>
    <t>LBLUD00004204330</t>
  </si>
  <si>
    <t>TopUp Loan</t>
  </si>
  <si>
    <t>LBLUD00002485236</t>
  </si>
  <si>
    <t>lap</t>
  </si>
  <si>
    <t>LBLUD00002423052</t>
  </si>
  <si>
    <t>Axis Bank</t>
  </si>
  <si>
    <t>Limit</t>
  </si>
  <si>
    <t>MTL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</si>
</sst>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5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charset val="134"/>
    </font>
    <font>
      <sz val="11"/>
      <name val="Zurich BT"/>
      <charset val="134"/>
    </font>
    <font>
      <sz val="11"/>
      <name val="Arial"/>
      <charset val="134"/>
    </font>
    <font>
      <sz val="10.5"/>
      <name val="Zurich BT"/>
      <charset val="134"/>
    </font>
    <font>
      <sz val="10.5"/>
      <name val="Arial"/>
      <charset val="134"/>
    </font>
    <font>
      <sz val="10"/>
      <name val="Arial1"/>
      <charset val="134"/>
    </font>
    <font>
      <sz val="11"/>
      <color theme="1"/>
      <name val="Calibri"/>
      <charset val="134"/>
      <scheme val="minor"/>
    </font>
    <font>
      <sz val="11"/>
      <name val="Rupee Foradian"/>
      <charset val="134"/>
    </font>
    <font>
      <sz val="10"/>
      <name val="Arial"/>
      <charset val="134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6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</cellStyleXfs>
  <cellXfs count="66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3" fillId="5" borderId="6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1" fontId="14" fillId="4" borderId="5" xfId="0" applyNumberFormat="1" applyFont="1" applyFill="1" applyBorder="1" applyAlignment="1">
      <alignment horizontal="center" vertical="center" wrapText="1"/>
    </xf>
    <xf numFmtId="1" fontId="14" fillId="9" borderId="5" xfId="0" applyNumberFormat="1" applyFont="1" applyFill="1" applyBorder="1" applyAlignment="1">
      <alignment horizontal="center" vertical="center" wrapText="1"/>
    </xf>
    <xf numFmtId="2" fontId="12" fillId="6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/>
    <xf numFmtId="0" fontId="1" fillId="2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42"/>
  <sheetViews>
    <sheetView zoomScale="107" zoomScaleNormal="107" workbookViewId="0">
      <selection activeCell="A34" sqref="A34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16.28515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6" ht="26.85" customHeight="1">
      <c r="A1" s="53" t="s">
        <v>62</v>
      </c>
      <c r="B1" s="54" t="s">
        <v>0</v>
      </c>
      <c r="C1" s="54"/>
      <c r="D1" s="25" t="s">
        <v>1</v>
      </c>
      <c r="E1" s="25"/>
      <c r="F1" s="25" t="s">
        <v>2</v>
      </c>
    </row>
    <row r="2" spans="1:6" ht="12.75" customHeight="1">
      <c r="A2" s="26" t="s">
        <v>62</v>
      </c>
      <c r="B2" s="27" t="s">
        <v>51</v>
      </c>
      <c r="C2" s="27" t="s">
        <v>3</v>
      </c>
      <c r="D2" s="27" t="s">
        <v>4</v>
      </c>
      <c r="E2" s="28" t="s">
        <v>5</v>
      </c>
      <c r="F2" s="27" t="s">
        <v>6</v>
      </c>
    </row>
    <row r="3" spans="1:6">
      <c r="A3" s="29" t="s">
        <v>54</v>
      </c>
      <c r="B3" s="30">
        <v>19571732.350000001</v>
      </c>
      <c r="C3" s="31">
        <v>13031890.689999999</v>
      </c>
      <c r="D3" s="32">
        <f>AVERAGE(B3:C3)</f>
        <v>16301811.52</v>
      </c>
      <c r="E3" s="33">
        <v>1</v>
      </c>
      <c r="F3" s="32">
        <f t="shared" ref="F3:F10" si="0">E3*D3</f>
        <v>16301811.52</v>
      </c>
    </row>
    <row r="4" spans="1:6">
      <c r="A4" s="29" t="s">
        <v>55</v>
      </c>
      <c r="B4" s="30">
        <v>37867713.960000001</v>
      </c>
      <c r="C4" s="31">
        <v>34380124.001000002</v>
      </c>
      <c r="D4" s="32">
        <f t="shared" ref="D4:D10" si="1">AVERAGE(B4:C4)</f>
        <v>36123918.980499998</v>
      </c>
      <c r="E4" s="33">
        <v>1</v>
      </c>
      <c r="F4" s="32">
        <f t="shared" si="0"/>
        <v>36123918.980499998</v>
      </c>
    </row>
    <row r="5" spans="1:6" ht="15" customHeight="1">
      <c r="A5" s="29" t="s">
        <v>65</v>
      </c>
      <c r="B5" s="30">
        <v>3993502</v>
      </c>
      <c r="C5" s="31">
        <v>3479055</v>
      </c>
      <c r="D5" s="32">
        <f t="shared" si="1"/>
        <v>3736278.5</v>
      </c>
      <c r="E5" s="33">
        <v>0</v>
      </c>
      <c r="F5" s="32">
        <f t="shared" ref="F5" si="2">E5*D5</f>
        <v>0</v>
      </c>
    </row>
    <row r="6" spans="1:6" ht="15" customHeight="1">
      <c r="A6" s="29" t="s">
        <v>63</v>
      </c>
      <c r="B6" s="30">
        <v>860269.11</v>
      </c>
      <c r="C6" s="31">
        <v>822779.69</v>
      </c>
      <c r="D6" s="32">
        <f t="shared" ref="D6" si="3">AVERAGE(B6:C6)</f>
        <v>841524.39999999991</v>
      </c>
      <c r="E6" s="33">
        <v>1</v>
      </c>
      <c r="F6" s="32">
        <f t="shared" ref="F6" si="4">E6*D6</f>
        <v>841524.39999999991</v>
      </c>
    </row>
    <row r="7" spans="1:6" ht="15" customHeight="1">
      <c r="A7" s="29" t="s">
        <v>56</v>
      </c>
      <c r="B7" s="30">
        <v>4998583.28</v>
      </c>
      <c r="C7" s="31">
        <v>5240471.95</v>
      </c>
      <c r="D7" s="32">
        <f t="shared" si="1"/>
        <v>5119527.6150000002</v>
      </c>
      <c r="E7" s="33">
        <v>1</v>
      </c>
      <c r="F7" s="32">
        <f t="shared" ref="F7:F8" si="5">E7*D7</f>
        <v>5119527.6150000002</v>
      </c>
    </row>
    <row r="8" spans="1:6" ht="15" customHeight="1">
      <c r="A8" s="29" t="s">
        <v>64</v>
      </c>
      <c r="B8" s="30">
        <v>10689270</v>
      </c>
      <c r="C8" s="31">
        <v>6791230</v>
      </c>
      <c r="D8" s="32">
        <f t="shared" si="1"/>
        <v>8740250</v>
      </c>
      <c r="E8" s="33">
        <v>1</v>
      </c>
      <c r="F8" s="32">
        <f t="shared" si="5"/>
        <v>8740250</v>
      </c>
    </row>
    <row r="9" spans="1:6" ht="15" customHeight="1">
      <c r="A9" s="29" t="s">
        <v>57</v>
      </c>
      <c r="B9" s="30">
        <f>600000+1500000+1500000+774000+426000+456000+405000+426000+1198500+1348500+251500+426000+600000</f>
        <v>9911500</v>
      </c>
      <c r="C9" s="31">
        <f>900000+900000+720000+300000+420000</f>
        <v>3240000</v>
      </c>
      <c r="D9" s="32">
        <f t="shared" ref="D9" si="6">AVERAGE(B9:C9)</f>
        <v>6575750</v>
      </c>
      <c r="E9" s="33">
        <v>1</v>
      </c>
      <c r="F9" s="32">
        <f t="shared" ref="F9" si="7">E9*D9</f>
        <v>6575750</v>
      </c>
    </row>
    <row r="10" spans="1:6">
      <c r="A10" s="29" t="s">
        <v>7</v>
      </c>
      <c r="B10" s="30">
        <v>-4029193</v>
      </c>
      <c r="C10" s="30">
        <v>-2657053</v>
      </c>
      <c r="D10" s="32">
        <f t="shared" si="1"/>
        <v>-3343123</v>
      </c>
      <c r="E10" s="33">
        <v>1</v>
      </c>
      <c r="F10" s="32">
        <f t="shared" si="0"/>
        <v>-3343123</v>
      </c>
    </row>
    <row r="11" spans="1:6" ht="12.75" customHeight="1">
      <c r="A11" s="26" t="s">
        <v>66</v>
      </c>
      <c r="B11" s="27" t="s">
        <v>51</v>
      </c>
      <c r="C11" s="27" t="s">
        <v>3</v>
      </c>
      <c r="D11" s="27" t="s">
        <v>4</v>
      </c>
      <c r="E11" s="28" t="s">
        <v>5</v>
      </c>
      <c r="F11" s="27" t="s">
        <v>6</v>
      </c>
    </row>
    <row r="12" spans="1:6">
      <c r="A12" s="29" t="s">
        <v>59</v>
      </c>
      <c r="B12" s="30">
        <v>341800</v>
      </c>
      <c r="C12" s="31">
        <v>258469</v>
      </c>
      <c r="D12" s="32">
        <f>AVERAGE(B12:C12)</f>
        <v>300134.5</v>
      </c>
      <c r="E12" s="33">
        <v>0</v>
      </c>
      <c r="F12" s="32">
        <f t="shared" ref="F12:F15" si="8">E12*D12</f>
        <v>0</v>
      </c>
    </row>
    <row r="13" spans="1:6">
      <c r="A13" s="29" t="s">
        <v>67</v>
      </c>
      <c r="B13" s="30">
        <v>323220</v>
      </c>
      <c r="C13" s="31">
        <v>306040</v>
      </c>
      <c r="D13" s="32">
        <f t="shared" ref="D13:D15" si="9">AVERAGE(B13:C13)</f>
        <v>314630</v>
      </c>
      <c r="E13" s="33">
        <v>0.5</v>
      </c>
      <c r="F13" s="32">
        <f t="shared" si="8"/>
        <v>157315</v>
      </c>
    </row>
    <row r="14" spans="1:6">
      <c r="A14" s="29" t="s">
        <v>60</v>
      </c>
      <c r="B14" s="30">
        <f>(5284+1001609+820000)-992303</f>
        <v>834590</v>
      </c>
      <c r="C14" s="31">
        <f>(11925+254203+1748+648700)-400000</f>
        <v>516576</v>
      </c>
      <c r="D14" s="32">
        <f t="shared" ref="D14" si="10">AVERAGE(B14:C14)</f>
        <v>675583</v>
      </c>
      <c r="E14" s="33">
        <v>0.5</v>
      </c>
      <c r="F14" s="32">
        <f t="shared" ref="F14" si="11">E14*D14</f>
        <v>337791.5</v>
      </c>
    </row>
    <row r="15" spans="1:6" ht="12.75" customHeight="1">
      <c r="A15" s="29" t="s">
        <v>7</v>
      </c>
      <c r="B15" s="30">
        <v>-226475</v>
      </c>
      <c r="C15" s="30">
        <v>-97720</v>
      </c>
      <c r="D15" s="32">
        <f t="shared" si="9"/>
        <v>-162097.5</v>
      </c>
      <c r="E15" s="33">
        <v>1</v>
      </c>
      <c r="F15" s="32">
        <f t="shared" si="8"/>
        <v>-162097.5</v>
      </c>
    </row>
    <row r="16" spans="1:6" ht="12.75" customHeight="1">
      <c r="A16" s="26" t="s">
        <v>68</v>
      </c>
      <c r="B16" s="27" t="s">
        <v>51</v>
      </c>
      <c r="C16" s="27" t="s">
        <v>3</v>
      </c>
      <c r="D16" s="27" t="s">
        <v>4</v>
      </c>
      <c r="E16" s="28" t="s">
        <v>5</v>
      </c>
      <c r="F16" s="27" t="s">
        <v>6</v>
      </c>
    </row>
    <row r="17" spans="1:6">
      <c r="A17" s="29" t="s">
        <v>58</v>
      </c>
      <c r="B17" s="30">
        <v>200000</v>
      </c>
      <c r="C17" s="30">
        <v>240000</v>
      </c>
      <c r="D17" s="32">
        <f>AVERAGE(B17:C17)</f>
        <v>220000</v>
      </c>
      <c r="E17" s="33">
        <v>1</v>
      </c>
      <c r="F17" s="32">
        <f t="shared" ref="F17:F20" si="12">E17*D17</f>
        <v>220000</v>
      </c>
    </row>
    <row r="18" spans="1:6">
      <c r="A18" s="29" t="s">
        <v>59</v>
      </c>
      <c r="B18" s="30">
        <v>298200</v>
      </c>
      <c r="C18" s="30">
        <v>210000</v>
      </c>
      <c r="D18" s="32">
        <f>AVERAGE(B18:C18)</f>
        <v>254100</v>
      </c>
      <c r="E18" s="33">
        <v>0</v>
      </c>
      <c r="F18" s="32">
        <f t="shared" ref="F18" si="13">E18*D18</f>
        <v>0</v>
      </c>
    </row>
    <row r="19" spans="1:6">
      <c r="A19" s="29" t="s">
        <v>60</v>
      </c>
      <c r="B19" s="30">
        <v>1218651</v>
      </c>
      <c r="C19" s="30">
        <v>958195</v>
      </c>
      <c r="D19" s="32">
        <f t="shared" ref="D19:D20" si="14">AVERAGE(B19:C19)</f>
        <v>1088423</v>
      </c>
      <c r="E19" s="33">
        <v>0.25</v>
      </c>
      <c r="F19" s="32">
        <f t="shared" si="12"/>
        <v>272105.75</v>
      </c>
    </row>
    <row r="20" spans="1:6" ht="12.75" customHeight="1">
      <c r="A20" s="29" t="s">
        <v>7</v>
      </c>
      <c r="B20" s="30">
        <v>-285655</v>
      </c>
      <c r="C20" s="30">
        <v>-192042</v>
      </c>
      <c r="D20" s="32">
        <f t="shared" si="14"/>
        <v>-238848.5</v>
      </c>
      <c r="E20" s="33">
        <v>1</v>
      </c>
      <c r="F20" s="32">
        <f t="shared" si="12"/>
        <v>-238848.5</v>
      </c>
    </row>
    <row r="21" spans="1:6" ht="12.75" customHeight="1">
      <c r="A21" s="26" t="s">
        <v>70</v>
      </c>
      <c r="B21" s="27" t="s">
        <v>51</v>
      </c>
      <c r="C21" s="27" t="s">
        <v>3</v>
      </c>
      <c r="D21" s="27" t="s">
        <v>4</v>
      </c>
      <c r="E21" s="28" t="s">
        <v>5</v>
      </c>
      <c r="F21" s="27" t="s">
        <v>6</v>
      </c>
    </row>
    <row r="22" spans="1:6">
      <c r="A22" s="29" t="s">
        <v>58</v>
      </c>
      <c r="B22" s="30">
        <v>1500000</v>
      </c>
      <c r="C22" s="31">
        <v>900000</v>
      </c>
      <c r="D22" s="32">
        <f>AVERAGE(B22:C22)</f>
        <v>1200000</v>
      </c>
      <c r="E22" s="33">
        <v>0</v>
      </c>
      <c r="F22" s="32">
        <f t="shared" ref="F22:F27" si="15">E22*D22</f>
        <v>0</v>
      </c>
    </row>
    <row r="23" spans="1:6">
      <c r="A23" s="29" t="s">
        <v>59</v>
      </c>
      <c r="B23" s="30">
        <v>180000</v>
      </c>
      <c r="C23" s="31">
        <v>138600</v>
      </c>
      <c r="D23" s="32">
        <f>AVERAGE(B23:C23)</f>
        <v>159300</v>
      </c>
      <c r="E23" s="33">
        <v>0.5</v>
      </c>
      <c r="F23" s="32">
        <f t="shared" si="15"/>
        <v>79650</v>
      </c>
    </row>
    <row r="24" spans="1:6">
      <c r="A24" s="29" t="s">
        <v>69</v>
      </c>
      <c r="B24" s="30">
        <v>865467</v>
      </c>
      <c r="C24" s="31">
        <v>0</v>
      </c>
      <c r="D24" s="32">
        <f>AVERAGE(B24:C24)</f>
        <v>432733.5</v>
      </c>
      <c r="E24" s="33">
        <v>0.25</v>
      </c>
      <c r="F24" s="32">
        <f t="shared" ref="F24" si="16">E24*D24</f>
        <v>108183.375</v>
      </c>
    </row>
    <row r="25" spans="1:6" ht="27">
      <c r="A25" s="29" t="s">
        <v>71</v>
      </c>
      <c r="B25" s="30">
        <v>0</v>
      </c>
      <c r="C25" s="31">
        <v>231088</v>
      </c>
      <c r="D25" s="32">
        <f>AVERAGE(B25:C25)</f>
        <v>115544</v>
      </c>
      <c r="E25" s="33">
        <v>0.25</v>
      </c>
      <c r="F25" s="32">
        <f t="shared" si="15"/>
        <v>28886</v>
      </c>
    </row>
    <row r="26" spans="1:6">
      <c r="A26" s="29" t="s">
        <v>60</v>
      </c>
      <c r="B26" s="30">
        <v>6429</v>
      </c>
      <c r="C26" s="31">
        <f>9250+53730+346776</f>
        <v>409756</v>
      </c>
      <c r="D26" s="32">
        <f>AVERAGE(B26:C26)</f>
        <v>208092.5</v>
      </c>
      <c r="E26" s="33">
        <v>0.25</v>
      </c>
      <c r="F26" s="32">
        <f t="shared" si="15"/>
        <v>52023.125</v>
      </c>
    </row>
    <row r="27" spans="1:6" ht="12.75" customHeight="1">
      <c r="A27" s="29" t="s">
        <v>7</v>
      </c>
      <c r="B27" s="30">
        <v>-688211</v>
      </c>
      <c r="C27" s="30">
        <v>-243816</v>
      </c>
      <c r="D27" s="32">
        <f>AVERAGE(B27:C27)</f>
        <v>-466013.5</v>
      </c>
      <c r="E27" s="33">
        <v>1</v>
      </c>
      <c r="F27" s="32">
        <f t="shared" si="15"/>
        <v>-466013.5</v>
      </c>
    </row>
    <row r="28" spans="1:6" ht="12.75" customHeight="1">
      <c r="A28" s="26" t="s">
        <v>72</v>
      </c>
      <c r="B28" s="27" t="s">
        <v>51</v>
      </c>
      <c r="C28" s="27" t="s">
        <v>3</v>
      </c>
      <c r="D28" s="27" t="s">
        <v>4</v>
      </c>
      <c r="E28" s="28" t="s">
        <v>5</v>
      </c>
      <c r="F28" s="27" t="s">
        <v>6</v>
      </c>
    </row>
    <row r="29" spans="1:6">
      <c r="A29" s="29" t="s">
        <v>58</v>
      </c>
      <c r="B29" s="30">
        <v>1500000</v>
      </c>
      <c r="C29" s="30"/>
      <c r="D29" s="32">
        <f>AVERAGE(B29:C29)</f>
        <v>1500000</v>
      </c>
      <c r="E29" s="33">
        <v>0</v>
      </c>
      <c r="F29" s="32">
        <f t="shared" ref="F29:F33" si="17">E29*D29</f>
        <v>0</v>
      </c>
    </row>
    <row r="30" spans="1:6">
      <c r="A30" s="29" t="s">
        <v>59</v>
      </c>
      <c r="B30" s="30">
        <v>180000</v>
      </c>
      <c r="C30" s="30"/>
      <c r="D30" s="32">
        <f>AVERAGE(B30:C30)</f>
        <v>180000</v>
      </c>
      <c r="E30" s="33">
        <v>0.5</v>
      </c>
      <c r="F30" s="32">
        <f t="shared" si="17"/>
        <v>90000</v>
      </c>
    </row>
    <row r="31" spans="1:6">
      <c r="A31" s="29" t="s">
        <v>69</v>
      </c>
      <c r="B31" s="30">
        <v>208587</v>
      </c>
      <c r="C31" s="30"/>
      <c r="D31" s="32">
        <f t="shared" ref="D31" si="18">AVERAGE(B31:C31)</f>
        <v>208587</v>
      </c>
      <c r="E31" s="33">
        <v>0.25</v>
      </c>
      <c r="F31" s="32">
        <f t="shared" ref="F31" si="19">E31*D31</f>
        <v>52146.75</v>
      </c>
    </row>
    <row r="32" spans="1:6">
      <c r="A32" s="29" t="s">
        <v>60</v>
      </c>
      <c r="B32" s="30">
        <f>28+43994+67+530000</f>
        <v>574089</v>
      </c>
      <c r="C32" s="30"/>
      <c r="D32" s="32">
        <f t="shared" ref="D32:D33" si="20">AVERAGE(B32:C32)</f>
        <v>574089</v>
      </c>
      <c r="E32" s="33">
        <v>0.25</v>
      </c>
      <c r="F32" s="32">
        <f t="shared" si="17"/>
        <v>143522.25</v>
      </c>
    </row>
    <row r="33" spans="1:6" ht="12.75" customHeight="1">
      <c r="A33" s="29" t="s">
        <v>7</v>
      </c>
      <c r="B33" s="30">
        <v>-485663</v>
      </c>
      <c r="C33" s="30">
        <v>-230458</v>
      </c>
      <c r="D33" s="32">
        <f t="shared" si="20"/>
        <v>-358060.5</v>
      </c>
      <c r="E33" s="33">
        <v>1</v>
      </c>
      <c r="F33" s="32">
        <f t="shared" si="17"/>
        <v>-358060.5</v>
      </c>
    </row>
    <row r="34" spans="1:6" ht="15.4" customHeight="1">
      <c r="A34" s="34" t="s">
        <v>8</v>
      </c>
      <c r="B34" s="55"/>
      <c r="C34" s="56"/>
      <c r="D34" s="56"/>
      <c r="E34" s="57"/>
      <c r="F34" s="35">
        <f>+SUM(F3:F33)</f>
        <v>70676263.265499994</v>
      </c>
    </row>
    <row r="35" spans="1:6" ht="16.350000000000001" customHeight="1">
      <c r="A35" s="36" t="s">
        <v>9</v>
      </c>
      <c r="B35" s="58"/>
      <c r="C35" s="59"/>
      <c r="D35" s="59"/>
      <c r="E35" s="60"/>
      <c r="F35" s="35">
        <f>F34/12</f>
        <v>5889688.6054583332</v>
      </c>
    </row>
    <row r="36" spans="1:6">
      <c r="A36" s="36" t="s">
        <v>10</v>
      </c>
      <c r="B36" s="58"/>
      <c r="C36" s="59"/>
      <c r="D36" s="59"/>
      <c r="E36" s="60"/>
      <c r="F36" s="32">
        <f ca="1">RTR!K19</f>
        <v>1134675</v>
      </c>
    </row>
    <row r="37" spans="1:6" ht="16.350000000000001" customHeight="1">
      <c r="A37" s="37" t="s">
        <v>11</v>
      </c>
      <c r="B37" s="61"/>
      <c r="C37" s="62"/>
      <c r="D37" s="62"/>
      <c r="E37" s="63"/>
      <c r="F37" s="38">
        <v>1</v>
      </c>
    </row>
    <row r="38" spans="1:6" ht="16.350000000000001" customHeight="1">
      <c r="A38" s="36" t="s">
        <v>12</v>
      </c>
      <c r="B38" s="64"/>
      <c r="C38" s="64"/>
      <c r="D38" s="64"/>
      <c r="E38" s="64"/>
      <c r="F38" s="39">
        <f ca="1">(F35*F37)-F36</f>
        <v>4755013.6054583332</v>
      </c>
    </row>
    <row r="39" spans="1:6" ht="16.350000000000001" customHeight="1">
      <c r="A39" s="36" t="s">
        <v>13</v>
      </c>
      <c r="B39" s="64"/>
      <c r="C39" s="64"/>
      <c r="D39" s="64"/>
      <c r="E39" s="64"/>
      <c r="F39" s="40">
        <v>180</v>
      </c>
    </row>
    <row r="40" spans="1:6" ht="14.25" customHeight="1">
      <c r="A40" s="36" t="s">
        <v>14</v>
      </c>
      <c r="B40" s="64"/>
      <c r="C40" s="64"/>
      <c r="D40" s="64"/>
      <c r="E40" s="64"/>
      <c r="F40" s="38">
        <v>0.1</v>
      </c>
    </row>
    <row r="41" spans="1:6">
      <c r="A41" s="36" t="s">
        <v>15</v>
      </c>
      <c r="B41" s="64"/>
      <c r="C41" s="64"/>
      <c r="D41" s="64"/>
      <c r="E41" s="64"/>
      <c r="F41" s="41">
        <f>PMT(F40/12,F39,-100000)</f>
        <v>1074.6051177081183</v>
      </c>
    </row>
    <row r="42" spans="1:6">
      <c r="A42" s="36" t="s">
        <v>16</v>
      </c>
      <c r="B42" s="64"/>
      <c r="C42" s="64"/>
      <c r="D42" s="64"/>
      <c r="E42" s="64"/>
      <c r="F42" s="42">
        <f ca="1">F38/F41</f>
        <v>4424.8938769244523</v>
      </c>
    </row>
  </sheetData>
  <sheetProtection selectLockedCells="1" selectUnlockedCells="1"/>
  <mergeCells count="10">
    <mergeCell ref="B38:E38"/>
    <mergeCell ref="B39:E39"/>
    <mergeCell ref="B40:E40"/>
    <mergeCell ref="B41:E41"/>
    <mergeCell ref="B42:E42"/>
    <mergeCell ref="B1:C1"/>
    <mergeCell ref="B34:E34"/>
    <mergeCell ref="B35:E35"/>
    <mergeCell ref="B36:E36"/>
    <mergeCell ref="B37:E37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19"/>
  <sheetViews>
    <sheetView tabSelected="1" zoomScale="89" zoomScaleNormal="89" workbookViewId="0">
      <selection activeCell="D22" sqref="D22"/>
    </sheetView>
  </sheetViews>
  <sheetFormatPr defaultColWidth="22.140625" defaultRowHeight="13.5"/>
  <cols>
    <col min="1" max="1" width="5.42578125" style="43" customWidth="1"/>
    <col min="2" max="2" width="21.28515625" style="43" customWidth="1"/>
    <col min="3" max="4" width="18.5703125" style="43" customWidth="1"/>
    <col min="5" max="5" width="13.28515625" style="43" customWidth="1"/>
    <col min="6" max="6" width="10.28515625" style="43" bestFit="1" customWidth="1"/>
    <col min="7" max="7" width="10.140625" style="43" customWidth="1"/>
    <col min="8" max="8" width="6.5703125" style="43" customWidth="1"/>
    <col min="9" max="9" width="6.42578125" style="43" customWidth="1"/>
    <col min="10" max="10" width="8.7109375" style="43" bestFit="1" customWidth="1"/>
    <col min="11" max="11" width="13.140625" style="43" customWidth="1"/>
    <col min="12" max="248" width="22.140625" style="43"/>
    <col min="249" max="16384" width="22.140625" style="44"/>
  </cols>
  <sheetData>
    <row r="1" spans="1:11" ht="27">
      <c r="A1" s="45" t="s">
        <v>17</v>
      </c>
      <c r="B1" s="45" t="s">
        <v>18</v>
      </c>
      <c r="C1" s="45" t="s">
        <v>19</v>
      </c>
      <c r="D1" s="45" t="s">
        <v>20</v>
      </c>
      <c r="E1" s="45" t="s">
        <v>21</v>
      </c>
      <c r="F1" s="45" t="s">
        <v>22</v>
      </c>
      <c r="G1" s="45" t="s">
        <v>23</v>
      </c>
      <c r="H1" s="45" t="s">
        <v>24</v>
      </c>
      <c r="I1" s="45" t="s">
        <v>25</v>
      </c>
      <c r="J1" s="45" t="s">
        <v>26</v>
      </c>
      <c r="K1" s="45" t="s">
        <v>27</v>
      </c>
    </row>
    <row r="2" spans="1:11">
      <c r="A2" s="46">
        <v>1</v>
      </c>
      <c r="B2" s="47" t="s">
        <v>73</v>
      </c>
      <c r="C2" s="46" t="s">
        <v>74</v>
      </c>
      <c r="D2" s="46" t="s">
        <v>75</v>
      </c>
      <c r="E2" s="47" t="s">
        <v>53</v>
      </c>
      <c r="F2" s="47">
        <v>1710000</v>
      </c>
      <c r="G2" s="48">
        <v>60</v>
      </c>
      <c r="H2" s="48">
        <v>20</v>
      </c>
      <c r="I2" s="48">
        <v>40</v>
      </c>
      <c r="J2" s="48">
        <v>35002</v>
      </c>
      <c r="K2" s="50" t="s">
        <v>28</v>
      </c>
    </row>
    <row r="3" spans="1:11">
      <c r="A3" s="46">
        <v>2</v>
      </c>
      <c r="B3" s="47">
        <v>47645209</v>
      </c>
      <c r="C3" s="46" t="s">
        <v>74</v>
      </c>
      <c r="D3" s="46" t="s">
        <v>52</v>
      </c>
      <c r="E3" s="47" t="s">
        <v>76</v>
      </c>
      <c r="F3" s="47">
        <v>600000</v>
      </c>
      <c r="G3" s="48">
        <v>48</v>
      </c>
      <c r="H3" s="48">
        <v>31</v>
      </c>
      <c r="I3" s="48">
        <f>48-31</f>
        <v>17</v>
      </c>
      <c r="J3" s="48">
        <v>14860</v>
      </c>
      <c r="K3" s="50" t="s">
        <v>28</v>
      </c>
    </row>
    <row r="4" spans="1:11" ht="17.25" customHeight="1">
      <c r="A4" s="46">
        <v>3</v>
      </c>
      <c r="B4" s="47">
        <v>38389481</v>
      </c>
      <c r="C4" s="46" t="s">
        <v>74</v>
      </c>
      <c r="D4" s="46" t="s">
        <v>52</v>
      </c>
      <c r="E4" s="47" t="s">
        <v>77</v>
      </c>
      <c r="F4" s="47">
        <v>6800000</v>
      </c>
      <c r="G4" s="48">
        <v>60</v>
      </c>
      <c r="H4" s="48">
        <v>46</v>
      </c>
      <c r="I4" s="48">
        <f>60-46</f>
        <v>14</v>
      </c>
      <c r="J4" s="48">
        <v>141250</v>
      </c>
      <c r="K4" s="50" t="s">
        <v>28</v>
      </c>
    </row>
    <row r="5" spans="1:11" ht="16.5" customHeight="1">
      <c r="A5" s="46">
        <v>4</v>
      </c>
      <c r="B5" s="47">
        <v>64249662</v>
      </c>
      <c r="C5" s="46" t="s">
        <v>74</v>
      </c>
      <c r="D5" s="46" t="s">
        <v>52</v>
      </c>
      <c r="E5" s="47" t="s">
        <v>77</v>
      </c>
      <c r="F5" s="47">
        <v>2750000</v>
      </c>
      <c r="G5" s="48">
        <v>60</v>
      </c>
      <c r="H5" s="48">
        <v>11</v>
      </c>
      <c r="I5" s="48">
        <f>60-11</f>
        <v>49</v>
      </c>
      <c r="J5" s="48">
        <v>57085</v>
      </c>
      <c r="K5" s="50" t="s">
        <v>28</v>
      </c>
    </row>
    <row r="6" spans="1:11" ht="15.75" customHeight="1">
      <c r="A6" s="46">
        <v>5</v>
      </c>
      <c r="B6" s="47">
        <v>3637233</v>
      </c>
      <c r="C6" s="46" t="s">
        <v>66</v>
      </c>
      <c r="D6" s="46" t="s">
        <v>78</v>
      </c>
      <c r="E6" s="47" t="s">
        <v>61</v>
      </c>
      <c r="F6" s="47">
        <v>8000000</v>
      </c>
      <c r="G6" s="48">
        <v>120</v>
      </c>
      <c r="H6" s="48">
        <v>24</v>
      </c>
      <c r="I6" s="48">
        <f>120-24</f>
        <v>96</v>
      </c>
      <c r="J6" s="48">
        <v>102426</v>
      </c>
      <c r="K6" s="50" t="s">
        <v>28</v>
      </c>
    </row>
    <row r="7" spans="1:11">
      <c r="A7" s="46">
        <v>6</v>
      </c>
      <c r="B7" s="47">
        <v>3597161</v>
      </c>
      <c r="C7" s="46" t="s">
        <v>79</v>
      </c>
      <c r="D7" s="46" t="s">
        <v>78</v>
      </c>
      <c r="E7" s="47" t="s">
        <v>61</v>
      </c>
      <c r="F7" s="47">
        <v>8000000</v>
      </c>
      <c r="G7" s="48">
        <v>120</v>
      </c>
      <c r="H7" s="48">
        <v>24</v>
      </c>
      <c r="I7" s="48">
        <f>120-24</f>
        <v>96</v>
      </c>
      <c r="J7" s="48">
        <v>102426</v>
      </c>
      <c r="K7" s="50" t="s">
        <v>28</v>
      </c>
    </row>
    <row r="8" spans="1:11">
      <c r="A8" s="46">
        <v>7</v>
      </c>
      <c r="B8" s="47">
        <v>1028212</v>
      </c>
      <c r="C8" s="46" t="s">
        <v>74</v>
      </c>
      <c r="D8" s="46" t="s">
        <v>78</v>
      </c>
      <c r="E8" s="47" t="s">
        <v>61</v>
      </c>
      <c r="F8" s="47">
        <v>40000000</v>
      </c>
      <c r="G8" s="48">
        <v>115</v>
      </c>
      <c r="H8" s="48">
        <v>41</v>
      </c>
      <c r="I8" s="48">
        <f>115-41</f>
        <v>74</v>
      </c>
      <c r="J8" s="48">
        <v>545587</v>
      </c>
      <c r="K8" s="50" t="s">
        <v>28</v>
      </c>
    </row>
    <row r="9" spans="1:11">
      <c r="A9" s="46">
        <v>8</v>
      </c>
      <c r="B9" s="47">
        <v>1060041</v>
      </c>
      <c r="C9" s="46" t="s">
        <v>70</v>
      </c>
      <c r="D9" s="46" t="s">
        <v>78</v>
      </c>
      <c r="E9" s="47" t="s">
        <v>61</v>
      </c>
      <c r="F9" s="47">
        <v>10000000</v>
      </c>
      <c r="G9" s="48">
        <v>115</v>
      </c>
      <c r="H9" s="48">
        <v>41</v>
      </c>
      <c r="I9" s="48">
        <v>74</v>
      </c>
      <c r="J9" s="48">
        <v>136039</v>
      </c>
      <c r="K9" s="50" t="s">
        <v>28</v>
      </c>
    </row>
    <row r="10" spans="1:11">
      <c r="A10" s="46">
        <v>9</v>
      </c>
      <c r="B10" s="47" t="s">
        <v>80</v>
      </c>
      <c r="C10" s="46" t="s">
        <v>74</v>
      </c>
      <c r="D10" s="46" t="s">
        <v>75</v>
      </c>
      <c r="E10" s="47" t="s">
        <v>61</v>
      </c>
      <c r="F10" s="47">
        <v>10225237</v>
      </c>
      <c r="G10" s="48">
        <v>112</v>
      </c>
      <c r="H10" s="48">
        <v>52</v>
      </c>
      <c r="I10" s="48">
        <f>112-52</f>
        <v>60</v>
      </c>
      <c r="J10" s="48">
        <v>137132</v>
      </c>
      <c r="K10" s="50" t="s">
        <v>28</v>
      </c>
    </row>
    <row r="11" spans="1:11">
      <c r="A11" s="46">
        <v>10</v>
      </c>
      <c r="B11" s="47" t="s">
        <v>81</v>
      </c>
      <c r="C11" s="46" t="s">
        <v>74</v>
      </c>
      <c r="D11" s="46" t="s">
        <v>75</v>
      </c>
      <c r="E11" s="47" t="s">
        <v>82</v>
      </c>
      <c r="F11" s="47">
        <v>15000000</v>
      </c>
      <c r="G11" s="48">
        <v>120</v>
      </c>
      <c r="H11" s="48">
        <v>23</v>
      </c>
      <c r="I11" s="48">
        <f>120-23</f>
        <v>97</v>
      </c>
      <c r="J11" s="48">
        <v>188394</v>
      </c>
      <c r="K11" s="50" t="s">
        <v>28</v>
      </c>
    </row>
    <row r="12" spans="1:11" ht="17.25" customHeight="1">
      <c r="A12" s="46">
        <v>11</v>
      </c>
      <c r="B12" s="47" t="s">
        <v>83</v>
      </c>
      <c r="C12" s="46" t="s">
        <v>70</v>
      </c>
      <c r="D12" s="46" t="s">
        <v>75</v>
      </c>
      <c r="E12" s="47" t="s">
        <v>84</v>
      </c>
      <c r="F12" s="47">
        <v>17500000</v>
      </c>
      <c r="G12" s="48">
        <v>127</v>
      </c>
      <c r="H12" s="48">
        <v>49</v>
      </c>
      <c r="I12" s="48">
        <f>127-49</f>
        <v>78</v>
      </c>
      <c r="J12" s="48">
        <v>233985</v>
      </c>
      <c r="K12" s="50" t="s">
        <v>28</v>
      </c>
    </row>
    <row r="13" spans="1:11" ht="16.5" customHeight="1">
      <c r="A13" s="46">
        <v>12</v>
      </c>
      <c r="B13" s="47" t="s">
        <v>85</v>
      </c>
      <c r="C13" s="46" t="s">
        <v>72</v>
      </c>
      <c r="D13" s="46" t="s">
        <v>75</v>
      </c>
      <c r="E13" s="47" t="s">
        <v>82</v>
      </c>
      <c r="F13" s="47">
        <v>17500000</v>
      </c>
      <c r="G13" s="48">
        <v>116</v>
      </c>
      <c r="H13" s="48">
        <v>52</v>
      </c>
      <c r="I13" s="48">
        <f>116-52</f>
        <v>64</v>
      </c>
      <c r="J13" s="48">
        <v>231938</v>
      </c>
      <c r="K13" s="50" t="s">
        <v>28</v>
      </c>
    </row>
    <row r="14" spans="1:11" ht="15.75" customHeight="1">
      <c r="A14" s="46">
        <v>13</v>
      </c>
      <c r="B14" s="47">
        <v>919030017280318</v>
      </c>
      <c r="C14" s="46" t="s">
        <v>74</v>
      </c>
      <c r="D14" s="46" t="s">
        <v>86</v>
      </c>
      <c r="E14" s="47" t="s">
        <v>87</v>
      </c>
      <c r="F14" s="47">
        <v>65000000</v>
      </c>
      <c r="G14" s="49"/>
      <c r="H14" s="49"/>
      <c r="I14" s="49"/>
      <c r="J14" s="49"/>
      <c r="K14" s="50" t="s">
        <v>28</v>
      </c>
    </row>
    <row r="15" spans="1:11">
      <c r="A15" s="46">
        <v>14</v>
      </c>
      <c r="B15" s="47">
        <v>919060017280377</v>
      </c>
      <c r="C15" s="46" t="s">
        <v>74</v>
      </c>
      <c r="D15" s="46" t="s">
        <v>86</v>
      </c>
      <c r="E15" s="47" t="s">
        <v>88</v>
      </c>
      <c r="F15" s="47">
        <v>48000000</v>
      </c>
      <c r="G15" s="49"/>
      <c r="H15" s="49"/>
      <c r="I15" s="49"/>
      <c r="J15" s="48"/>
      <c r="K15" s="50" t="s">
        <v>28</v>
      </c>
    </row>
    <row r="16" spans="1:11">
      <c r="A16" s="46">
        <v>15</v>
      </c>
      <c r="B16" s="47">
        <v>919060017280393</v>
      </c>
      <c r="C16" s="46" t="s">
        <v>74</v>
      </c>
      <c r="D16" s="46" t="s">
        <v>86</v>
      </c>
      <c r="E16" s="47" t="s">
        <v>88</v>
      </c>
      <c r="F16" s="47">
        <v>19100000</v>
      </c>
      <c r="G16" s="49"/>
      <c r="H16" s="49"/>
      <c r="I16" s="49"/>
      <c r="J16" s="48">
        <v>139307</v>
      </c>
      <c r="K16" s="50" t="s">
        <v>28</v>
      </c>
    </row>
    <row r="17" spans="1:11">
      <c r="A17" s="46">
        <v>16</v>
      </c>
      <c r="B17" s="47">
        <v>919060017280458</v>
      </c>
      <c r="C17" s="46" t="s">
        <v>74</v>
      </c>
      <c r="D17" s="46" t="s">
        <v>86</v>
      </c>
      <c r="E17" s="47" t="s">
        <v>88</v>
      </c>
      <c r="F17" s="47">
        <v>72500000</v>
      </c>
      <c r="G17" s="49"/>
      <c r="H17" s="49"/>
      <c r="I17" s="49"/>
      <c r="J17" s="48">
        <v>547495</v>
      </c>
      <c r="K17" s="50" t="s">
        <v>28</v>
      </c>
    </row>
    <row r="18" spans="1:11">
      <c r="A18" s="46">
        <v>17</v>
      </c>
      <c r="B18" s="47">
        <v>919060017280513</v>
      </c>
      <c r="C18" s="46" t="s">
        <v>74</v>
      </c>
      <c r="D18" s="46" t="s">
        <v>86</v>
      </c>
      <c r="E18" s="47" t="s">
        <v>88</v>
      </c>
      <c r="F18" s="47"/>
      <c r="G18" s="49"/>
      <c r="H18" s="49"/>
      <c r="I18" s="49"/>
      <c r="J18" s="48">
        <v>312629</v>
      </c>
      <c r="K18" s="50" t="s">
        <v>28</v>
      </c>
    </row>
    <row r="19" spans="1:11">
      <c r="A19" s="51"/>
      <c r="B19" s="46"/>
      <c r="C19" s="46"/>
      <c r="D19" s="46"/>
      <c r="E19" s="47"/>
      <c r="F19" s="46"/>
      <c r="G19" s="46"/>
      <c r="H19" s="46"/>
      <c r="I19" s="46"/>
      <c r="J19" s="46"/>
      <c r="K19" s="52">
        <f ca="1">SUMIF(K2:K9,"Y",J2:J5)</f>
        <v>1134675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5" t="s">
        <v>29</v>
      </c>
      <c r="B1" s="65"/>
      <c r="C1" s="2"/>
    </row>
    <row r="2" spans="1:6" ht="14.25" customHeight="1">
      <c r="A2" s="65" t="s">
        <v>30</v>
      </c>
      <c r="B2" s="65"/>
      <c r="C2" s="2"/>
    </row>
    <row r="5" spans="1:6" ht="27">
      <c r="A5" s="3" t="s">
        <v>17</v>
      </c>
      <c r="B5" s="4" t="s">
        <v>31</v>
      </c>
      <c r="C5" s="4" t="s">
        <v>32</v>
      </c>
      <c r="D5" s="5" t="s">
        <v>33</v>
      </c>
      <c r="E5" s="1" t="s">
        <v>34</v>
      </c>
      <c r="F5" s="1" t="s">
        <v>35</v>
      </c>
    </row>
    <row r="6" spans="1:6" ht="40.5">
      <c r="A6" s="6">
        <v>1</v>
      </c>
      <c r="B6" s="7" t="s">
        <v>36</v>
      </c>
      <c r="C6" s="8" t="s">
        <v>37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38</v>
      </c>
      <c r="C7" s="8" t="s">
        <v>39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40</v>
      </c>
      <c r="C8" s="8" t="s">
        <v>41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42</v>
      </c>
      <c r="C9" s="12" t="s">
        <v>43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44</v>
      </c>
      <c r="C10" s="8" t="s">
        <v>45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46</v>
      </c>
      <c r="C11" s="14" t="s">
        <v>47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48</v>
      </c>
      <c r="C12" s="15" t="s">
        <v>49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50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2020-01-06T10:18:54Z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