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1" l="1"/>
  <c r="D20" i="1" s="1"/>
  <c r="F20" i="1" s="1"/>
  <c r="C21" i="1"/>
  <c r="B21" i="1"/>
  <c r="D21" i="1" s="1"/>
  <c r="F21" i="1" s="1"/>
  <c r="D22" i="1"/>
  <c r="F22" i="1" s="1"/>
  <c r="D19" i="1"/>
  <c r="F19" i="1" s="1"/>
  <c r="C16" i="1"/>
  <c r="B16" i="1"/>
  <c r="D17" i="1"/>
  <c r="F17" i="1" s="1"/>
  <c r="D15" i="1"/>
  <c r="F15" i="1" s="1"/>
  <c r="C12" i="1"/>
  <c r="C11" i="1"/>
  <c r="D11" i="1" s="1"/>
  <c r="F11" i="1" s="1"/>
  <c r="B12" i="1"/>
  <c r="D13" i="1"/>
  <c r="F13" i="1" s="1"/>
  <c r="D10" i="1"/>
  <c r="F10" i="1" s="1"/>
  <c r="I4" i="1"/>
  <c r="M3" i="2"/>
  <c r="D6" i="1"/>
  <c r="F6" i="1" s="1"/>
  <c r="D7" i="1"/>
  <c r="F7" i="1" s="1"/>
  <c r="D5" i="1"/>
  <c r="F5" i="1" s="1"/>
  <c r="D8" i="1"/>
  <c r="F8" i="1" s="1"/>
  <c r="D4" i="1"/>
  <c r="F4" i="1" s="1"/>
  <c r="D3" i="1"/>
  <c r="F3" i="1" s="1"/>
  <c r="F30" i="1"/>
  <c r="D16" i="1" l="1"/>
  <c r="F16" i="1" s="1"/>
  <c r="D12" i="1"/>
  <c r="F12" i="1" s="1"/>
  <c r="F23" i="1" s="1"/>
  <c r="F25" i="1"/>
  <c r="E13" i="5" l="1"/>
  <c r="F12" i="5"/>
  <c r="F11" i="5"/>
  <c r="F10" i="5"/>
  <c r="F9" i="5"/>
  <c r="F8" i="5"/>
  <c r="F7" i="5"/>
  <c r="F6" i="5"/>
  <c r="F13" i="5" l="1"/>
  <c r="F24" i="1"/>
  <c r="F27" i="1" s="1"/>
  <c r="F31" i="1" s="1"/>
</calcChain>
</file>

<file path=xl/sharedStrings.xml><?xml version="1.0" encoding="utf-8"?>
<sst xmlns="http://schemas.openxmlformats.org/spreadsheetml/2006/main" count="96" uniqueCount="73">
  <si>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</si>
  <si>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</si>
  <si>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</si>
  <si>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</si>
  <si>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</si>
  <si>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</si>
  <si>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</si>
  <si>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</si>
  <si>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</si>
  <si>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</si>
  <si>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</si>
  <si>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</si>
  <si>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</si>
  <si>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</si>
  <si>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</si>
  <si>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</si>
  <si>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</si>
  <si>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</si>
  <si>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</si>
  <si>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</si>
  <si>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</si>
  <si>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</si>
  <si>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</si>
  <si>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</si>
  <si>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</si>
  <si>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</si>
  <si>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</si>
  <si>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</si>
  <si>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</si>
  <si>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</si>
  <si>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</si>
  <si>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</si>
  <si>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</si>
  <si>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</si>
  <si>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</si>
  <si>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</si>
  <si>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</si>
  <si>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</si>
  <si>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</si>
  <si>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</si>
  <si>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</si>
  <si>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</si>
  <si>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</si>
  <si>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</si>
  <si>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</si>
  <si>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</si>
  <si>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Net Profit</t>
  </si>
  <si>
    <t>Depreciation</t>
  </si>
  <si>
    <t>Auto Loan</t>
  </si>
  <si>
    <t xml:space="preserve">Bank Interest </t>
  </si>
  <si>
    <t>20-21</t>
  </si>
  <si>
    <t>19-20</t>
  </si>
  <si>
    <t>Income from house property</t>
  </si>
  <si>
    <t>Income from other sources</t>
  </si>
  <si>
    <t>Loan Start Date</t>
  </si>
  <si>
    <t>Sale as on 31/03/19</t>
  </si>
  <si>
    <t>Till March</t>
  </si>
  <si>
    <t>Sale as on 31/03/20</t>
  </si>
  <si>
    <t>Surinder Kumar</t>
  </si>
  <si>
    <t xml:space="preserve">HDFC </t>
  </si>
  <si>
    <t>POS</t>
  </si>
  <si>
    <t>Jindal And Co (Prop. Surinder Kumar HUF)</t>
  </si>
  <si>
    <t>(Bifurcation req as bank charges &amp; bank interest are combined)</t>
  </si>
  <si>
    <t>Interest on loans</t>
  </si>
  <si>
    <t>(Bifurcation req)</t>
  </si>
  <si>
    <t>Surender Kumar</t>
  </si>
  <si>
    <t>Income from salary (Aggarwal coal co)</t>
  </si>
  <si>
    <t>Parmesh Mittal</t>
  </si>
  <si>
    <t>Income from business &amp; profession</t>
  </si>
  <si>
    <t>Raj Rani</t>
  </si>
  <si>
    <t xml:space="preserve">Income from partnership firm </t>
  </si>
  <si>
    <t>Income from partnership firm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</si>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</sst>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  <numFmt numFmtId="168" formatCode="[$-409]d\-mmm\-yy;@"/>
  </numFmts>
  <fonts count="18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family val="2"/>
    </font>
    <font>
      <sz val="11"/>
      <name val="Zurich BT"/>
      <charset val="134"/>
    </font>
    <font>
      <sz val="11"/>
      <name val="Arial"/>
      <family val="2"/>
    </font>
    <font>
      <sz val="10"/>
      <name val="Arial1"/>
      <charset val="134"/>
    </font>
    <font>
      <sz val="11"/>
      <color theme="1"/>
      <name val="Calibri"/>
      <family val="2"/>
      <scheme val="minor"/>
    </font>
    <font>
      <sz val="11"/>
      <name val="Rupee Foradian"/>
      <charset val="134"/>
    </font>
    <font>
      <sz val="10"/>
      <name val="Arial"/>
      <family val="2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0.5"/>
      <color indexed="8"/>
      <name val="Cambria"/>
      <family val="1"/>
      <scheme val="major"/>
    </font>
    <font>
      <sz val="10.5"/>
      <color indexed="8"/>
      <name val="Cambria"/>
      <family val="1"/>
      <scheme val="major"/>
    </font>
    <font>
      <sz val="11"/>
      <color indexed="8"/>
      <name val="Calibri"/>
      <family val="2"/>
    </font>
    <font>
      <b/>
      <sz val="10"/>
      <name val="Calibri"/>
      <family val="2"/>
      <scheme val="minor"/>
    </font>
    <font>
      <sz val="10"/>
      <name val="Zurich BT"/>
      <charset val="134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theme="0" tint="-4.9989318521683403E-2"/>
        <bgColor indexed="31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8" fillId="0" borderId="0" applyFill="0" applyAlignment="0" applyProtection="0"/>
    <xf numFmtId="9" fontId="8" fillId="0" borderId="0" applyFill="0" applyBorder="0" applyAlignment="0" applyProtection="0"/>
    <xf numFmtId="0" fontId="8" fillId="0" borderId="0"/>
    <xf numFmtId="0" fontId="6" fillId="0" borderId="0"/>
    <xf numFmtId="165" fontId="5" fillId="0" borderId="0" applyBorder="0" applyProtection="0"/>
    <xf numFmtId="0" fontId="13" fillId="0" borderId="0"/>
  </cellStyleXfs>
  <cellXfs count="64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10" fillId="0" borderId="0" xfId="0" applyFont="1" applyBorder="1" applyAlignment="1">
      <alignment horizontal="center"/>
    </xf>
    <xf numFmtId="0" fontId="10" fillId="0" borderId="0" xfId="0" applyFont="1"/>
    <xf numFmtId="0" fontId="12" fillId="0" borderId="2" xfId="0" applyFont="1" applyFill="1" applyBorder="1" applyAlignment="1">
      <alignment horizontal="center" vertical="center" wrapText="1"/>
    </xf>
    <xf numFmtId="1" fontId="12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1" fontId="9" fillId="5" borderId="2" xfId="0" applyNumberFormat="1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 wrapText="1"/>
    </xf>
    <xf numFmtId="0" fontId="11" fillId="8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left" vertical="center" wrapText="1"/>
    </xf>
    <xf numFmtId="1" fontId="12" fillId="0" borderId="2" xfId="0" applyNumberFormat="1" applyFont="1" applyBorder="1" applyAlignment="1">
      <alignment horizontal="left" vertical="center" wrapText="1"/>
    </xf>
    <xf numFmtId="0" fontId="12" fillId="4" borderId="2" xfId="0" applyFont="1" applyFill="1" applyBorder="1" applyAlignment="1">
      <alignment horizontal="left" vertical="center" wrapText="1"/>
    </xf>
    <xf numFmtId="1" fontId="12" fillId="4" borderId="2" xfId="0" applyNumberFormat="1" applyFont="1" applyFill="1" applyBorder="1" applyAlignment="1">
      <alignment horizontal="left" vertical="center" wrapText="1"/>
    </xf>
    <xf numFmtId="2" fontId="10" fillId="5" borderId="2" xfId="0" applyNumberFormat="1" applyFont="1" applyFill="1" applyBorder="1" applyAlignment="1">
      <alignment horizontal="left"/>
    </xf>
    <xf numFmtId="168" fontId="12" fillId="4" borderId="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 applyProtection="1">
      <alignment horizontal="center" vertical="top" wrapText="1"/>
      <protection hidden="1"/>
    </xf>
    <xf numFmtId="164" fontId="14" fillId="8" borderId="2" xfId="1" applyNumberFormat="1" applyFont="1" applyFill="1" applyBorder="1" applyAlignment="1" applyProtection="1">
      <alignment horizontal="left" vertical="center" wrapText="1"/>
    </xf>
    <xf numFmtId="164" fontId="14" fillId="8" borderId="2" xfId="1" applyNumberFormat="1" applyFont="1" applyFill="1" applyBorder="1" applyAlignment="1" applyProtection="1">
      <alignment horizontal="left" vertical="center" wrapText="1"/>
    </xf>
    <xf numFmtId="0" fontId="15" fillId="5" borderId="0" xfId="3" applyFont="1" applyFill="1" applyBorder="1" applyAlignment="1">
      <alignment horizontal="left" vertical="top" wrapText="1"/>
    </xf>
    <xf numFmtId="0" fontId="15" fillId="0" borderId="0" xfId="0" applyFont="1" applyBorder="1" applyAlignment="1">
      <alignment horizontal="left" wrapText="1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64" fontId="14" fillId="6" borderId="2" xfId="1" applyNumberFormat="1" applyFont="1" applyFill="1" applyBorder="1" applyAlignment="1" applyProtection="1">
      <alignment horizontal="left" vertical="center" wrapText="1"/>
    </xf>
    <xf numFmtId="164" fontId="14" fillId="7" borderId="2" xfId="1" applyNumberFormat="1" applyFont="1" applyFill="1" applyBorder="1" applyAlignment="1" applyProtection="1">
      <alignment horizontal="left" vertical="center" wrapText="1"/>
    </xf>
    <xf numFmtId="9" fontId="14" fillId="7" borderId="2" xfId="1" applyNumberFormat="1" applyFont="1" applyFill="1" applyBorder="1" applyAlignment="1" applyProtection="1">
      <alignment horizontal="left" vertical="center" wrapText="1"/>
    </xf>
    <xf numFmtId="0" fontId="16" fillId="5" borderId="2" xfId="3" applyFont="1" applyFill="1" applyBorder="1" applyAlignment="1">
      <alignment horizontal="left" vertical="top" wrapText="1"/>
    </xf>
    <xf numFmtId="164" fontId="16" fillId="5" borderId="2" xfId="1" applyNumberFormat="1" applyFont="1" applyFill="1" applyBorder="1" applyAlignment="1" applyProtection="1">
      <alignment horizontal="left" vertical="center" wrapText="1"/>
    </xf>
    <xf numFmtId="166" fontId="16" fillId="5" borderId="2" xfId="1" applyNumberFormat="1" applyFont="1" applyFill="1" applyBorder="1" applyAlignment="1" applyProtection="1">
      <alignment horizontal="left" vertical="center"/>
    </xf>
    <xf numFmtId="166" fontId="16" fillId="0" borderId="2" xfId="1" applyNumberFormat="1" applyFont="1" applyFill="1" applyBorder="1" applyAlignment="1" applyProtection="1">
      <alignment horizontal="left" vertical="center"/>
    </xf>
    <xf numFmtId="164" fontId="16" fillId="5" borderId="2" xfId="1" applyNumberFormat="1" applyFont="1" applyFill="1" applyBorder="1" applyAlignment="1" applyProtection="1">
      <alignment horizontal="left" vertical="top"/>
    </xf>
    <xf numFmtId="9" fontId="16" fillId="5" borderId="2" xfId="1" applyNumberFormat="1" applyFont="1" applyFill="1" applyBorder="1" applyAlignment="1" applyProtection="1">
      <alignment horizontal="left" vertical="top"/>
    </xf>
    <xf numFmtId="9" fontId="17" fillId="5" borderId="2" xfId="1" applyNumberFormat="1" applyFont="1" applyFill="1" applyBorder="1" applyAlignment="1" applyProtection="1">
      <alignment horizontal="left" vertical="top"/>
    </xf>
    <xf numFmtId="0" fontId="17" fillId="5" borderId="0" xfId="3" applyFont="1" applyFill="1" applyBorder="1" applyAlignment="1">
      <alignment horizontal="left" vertical="top" wrapText="1"/>
    </xf>
    <xf numFmtId="165" fontId="14" fillId="7" borderId="2" xfId="1" applyFont="1" applyFill="1" applyBorder="1" applyAlignment="1" applyProtection="1">
      <alignment horizontal="left" vertical="top" wrapText="1"/>
    </xf>
    <xf numFmtId="0" fontId="16" fillId="7" borderId="2" xfId="0" applyNumberFormat="1" applyFont="1" applyFill="1" applyBorder="1" applyAlignment="1">
      <alignment horizontal="left"/>
    </xf>
    <xf numFmtId="167" fontId="14" fillId="7" borderId="2" xfId="1" applyNumberFormat="1" applyFont="1" applyFill="1" applyBorder="1" applyAlignment="1" applyProtection="1">
      <alignment horizontal="left" vertical="top"/>
    </xf>
    <xf numFmtId="164" fontId="16" fillId="0" borderId="2" xfId="1" applyNumberFormat="1" applyFont="1" applyFill="1" applyBorder="1" applyAlignment="1" applyProtection="1">
      <alignment horizontal="left" vertical="top" wrapText="1"/>
    </xf>
    <xf numFmtId="0" fontId="16" fillId="0" borderId="2" xfId="0" applyNumberFormat="1" applyFont="1" applyFill="1" applyBorder="1" applyAlignment="1">
      <alignment horizontal="left"/>
    </xf>
    <xf numFmtId="164" fontId="14" fillId="0" borderId="2" xfId="1" applyNumberFormat="1" applyFont="1" applyFill="1" applyBorder="1" applyAlignment="1" applyProtection="1">
      <alignment horizontal="left" vertical="center"/>
    </xf>
    <xf numFmtId="10" fontId="16" fillId="0" borderId="2" xfId="1" applyNumberFormat="1" applyFont="1" applyFill="1" applyBorder="1" applyAlignment="1" applyProtection="1">
      <alignment horizontal="left" vertical="top"/>
    </xf>
    <xf numFmtId="164" fontId="16" fillId="7" borderId="2" xfId="1" applyNumberFormat="1" applyFont="1" applyFill="1" applyBorder="1" applyAlignment="1" applyProtection="1">
      <alignment horizontal="left" vertical="top"/>
    </xf>
    <xf numFmtId="164" fontId="16" fillId="0" borderId="2" xfId="1" applyNumberFormat="1" applyFont="1" applyFill="1" applyBorder="1" applyAlignment="1" applyProtection="1">
      <alignment horizontal="left" vertical="top"/>
    </xf>
    <xf numFmtId="2" fontId="16" fillId="7" borderId="2" xfId="5" applyNumberFormat="1" applyFont="1" applyFill="1" applyBorder="1" applyAlignment="1" applyProtection="1">
      <alignment horizontal="left" vertical="top"/>
    </xf>
    <xf numFmtId="165" fontId="16" fillId="7" borderId="2" xfId="5" applyNumberFormat="1" applyFont="1" applyFill="1" applyBorder="1" applyAlignment="1" applyProtection="1">
      <alignment horizontal="left" vertical="top"/>
    </xf>
  </cellXfs>
  <cellStyles count="7">
    <cellStyle name="Comma" xfId="1" builtinId="3"/>
    <cellStyle name="Excel Built-in Normal" xfId="6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31"/>
  <sheetViews>
    <sheetView tabSelected="1" topLeftCell="A4" zoomScale="124" zoomScaleNormal="124" workbookViewId="0">
      <selection activeCell="E20" sqref="E20"/>
    </sheetView>
  </sheetViews>
  <sheetFormatPr defaultColWidth="31.28515625" defaultRowHeight="12.75"/>
  <cols>
    <col min="1" max="1" width="34" style="37" customWidth="1"/>
    <col min="2" max="3" width="7.7109375" style="37" bestFit="1" customWidth="1"/>
    <col min="4" max="4" width="14" style="37" bestFit="1" customWidth="1"/>
    <col min="5" max="5" width="8.42578125" style="37" bestFit="1" customWidth="1"/>
    <col min="6" max="6" width="13.5703125" style="37" bestFit="1" customWidth="1"/>
    <col min="7" max="7" width="28.85546875" style="37" customWidth="1"/>
    <col min="8" max="8" width="17.42578125" style="37" bestFit="1" customWidth="1"/>
    <col min="9" max="9" width="9.42578125" style="37" bestFit="1" customWidth="1"/>
    <col min="10" max="11" width="13.140625" style="37" customWidth="1"/>
    <col min="12" max="12" width="13.5703125" style="37" customWidth="1"/>
    <col min="13" max="13" width="14.140625" style="37" customWidth="1"/>
    <col min="14" max="14" width="11.85546875" style="37" customWidth="1"/>
    <col min="15" max="15" width="12" style="37" customWidth="1"/>
    <col min="16" max="16" width="11" style="37" customWidth="1"/>
    <col min="17" max="17" width="11.5703125" style="37" customWidth="1"/>
    <col min="18" max="18" width="12" style="37" customWidth="1"/>
    <col min="19" max="236" width="31.28515625" style="37"/>
    <col min="237" max="244" width="31.28515625" style="38"/>
    <col min="245" max="246" width="31.28515625" style="39"/>
    <col min="247" max="253" width="31.28515625" style="40"/>
    <col min="254" max="16384" width="31.28515625" style="41"/>
  </cols>
  <sheetData>
    <row r="1" spans="1:253">
      <c r="A1" s="35" t="s">
        <v>61</v>
      </c>
      <c r="B1" s="36"/>
      <c r="C1" s="36"/>
      <c r="D1" s="35"/>
      <c r="E1" s="35"/>
      <c r="F1" s="35"/>
    </row>
    <row r="2" spans="1:253">
      <c r="A2" s="42" t="s">
        <v>61</v>
      </c>
      <c r="B2" s="43" t="s">
        <v>50</v>
      </c>
      <c r="C2" s="43" t="s">
        <v>51</v>
      </c>
      <c r="D2" s="43" t="s">
        <v>0</v>
      </c>
      <c r="E2" s="44" t="s">
        <v>1</v>
      </c>
      <c r="F2" s="43" t="s">
        <v>2</v>
      </c>
      <c r="H2" s="45" t="s">
        <v>55</v>
      </c>
      <c r="I2" s="45">
        <v>12351950</v>
      </c>
    </row>
    <row r="3" spans="1:253">
      <c r="A3" s="46" t="s">
        <v>46</v>
      </c>
      <c r="B3" s="47">
        <v>650295</v>
      </c>
      <c r="C3" s="48">
        <v>740505</v>
      </c>
      <c r="D3" s="49">
        <f>AVERAGE(B3:C3)</f>
        <v>695400</v>
      </c>
      <c r="E3" s="50">
        <v>1</v>
      </c>
      <c r="F3" s="49">
        <f t="shared" ref="F3:F8" si="0">E3*D3</f>
        <v>695400</v>
      </c>
      <c r="H3" s="45" t="s">
        <v>57</v>
      </c>
      <c r="I3" s="45">
        <v>12604336</v>
      </c>
    </row>
    <row r="4" spans="1:253">
      <c r="A4" s="46" t="s">
        <v>47</v>
      </c>
      <c r="B4" s="47">
        <v>254302</v>
      </c>
      <c r="C4" s="48">
        <v>6330</v>
      </c>
      <c r="D4" s="49">
        <f t="shared" ref="D4:D8" si="1">AVERAGE(B4:C4)</f>
        <v>130316</v>
      </c>
      <c r="E4" s="50">
        <v>1</v>
      </c>
      <c r="F4" s="49">
        <f t="shared" si="0"/>
        <v>130316</v>
      </c>
      <c r="H4" s="45" t="s">
        <v>56</v>
      </c>
      <c r="I4" s="45">
        <f>205200+1347220+1145200+974000+1162200+970800+1637220+1319730+1545790+3172860</f>
        <v>13480220</v>
      </c>
    </row>
    <row r="5" spans="1:253" ht="15" customHeight="1">
      <c r="A5" s="46" t="s">
        <v>49</v>
      </c>
      <c r="B5" s="47">
        <v>517501</v>
      </c>
      <c r="C5" s="48">
        <v>578280</v>
      </c>
      <c r="D5" s="49">
        <f t="shared" si="1"/>
        <v>547890.5</v>
      </c>
      <c r="E5" s="51">
        <v>1</v>
      </c>
      <c r="F5" s="49">
        <f t="shared" si="0"/>
        <v>547890.5</v>
      </c>
      <c r="G5" s="52" t="s">
        <v>62</v>
      </c>
    </row>
    <row r="6" spans="1:253" ht="15" customHeight="1">
      <c r="A6" s="46" t="s">
        <v>63</v>
      </c>
      <c r="B6" s="47">
        <v>551194</v>
      </c>
      <c r="C6" s="48">
        <v>200908</v>
      </c>
      <c r="D6" s="49">
        <f t="shared" si="1"/>
        <v>376051</v>
      </c>
      <c r="E6" s="50">
        <v>0</v>
      </c>
      <c r="F6" s="49">
        <f t="shared" si="0"/>
        <v>0</v>
      </c>
      <c r="G6" s="52" t="s">
        <v>64</v>
      </c>
    </row>
    <row r="7" spans="1:253" ht="15" customHeight="1">
      <c r="A7" s="46" t="s">
        <v>53</v>
      </c>
      <c r="B7" s="47">
        <v>793</v>
      </c>
      <c r="C7" s="48">
        <v>1246</v>
      </c>
      <c r="D7" s="49">
        <f t="shared" ref="D7" si="2">AVERAGE(B7:C7)</f>
        <v>1019.5</v>
      </c>
      <c r="E7" s="50">
        <v>0.25</v>
      </c>
      <c r="F7" s="49">
        <f t="shared" ref="F7" si="3">E7*D7</f>
        <v>254.875</v>
      </c>
    </row>
    <row r="8" spans="1:253">
      <c r="A8" s="46" t="s">
        <v>3</v>
      </c>
      <c r="B8" s="47">
        <v>-13116</v>
      </c>
      <c r="C8" s="47">
        <v>-33640</v>
      </c>
      <c r="D8" s="49">
        <f t="shared" si="1"/>
        <v>-23378</v>
      </c>
      <c r="E8" s="50">
        <v>1</v>
      </c>
      <c r="F8" s="49">
        <f t="shared" si="0"/>
        <v>-23378</v>
      </c>
      <c r="HZ8" s="38"/>
      <c r="IA8" s="38"/>
      <c r="IB8" s="38"/>
      <c r="IH8" s="39"/>
      <c r="II8" s="39"/>
      <c r="IJ8" s="40"/>
      <c r="IK8" s="40"/>
      <c r="IL8" s="40"/>
      <c r="IQ8" s="41"/>
      <c r="IR8" s="41"/>
      <c r="IS8" s="41"/>
    </row>
    <row r="9" spans="1:253">
      <c r="A9" s="42" t="s">
        <v>65</v>
      </c>
      <c r="B9" s="43" t="s">
        <v>50</v>
      </c>
      <c r="C9" s="43" t="s">
        <v>51</v>
      </c>
      <c r="D9" s="43" t="s">
        <v>0</v>
      </c>
      <c r="E9" s="44" t="s">
        <v>1</v>
      </c>
      <c r="F9" s="43" t="s">
        <v>2</v>
      </c>
      <c r="HZ9" s="38"/>
      <c r="IA9" s="38"/>
      <c r="IB9" s="38"/>
      <c r="IH9" s="39"/>
      <c r="II9" s="39"/>
      <c r="IJ9" s="40"/>
      <c r="IK9" s="40"/>
      <c r="IL9" s="40"/>
      <c r="IQ9" s="41"/>
      <c r="IR9" s="41"/>
      <c r="IS9" s="41"/>
    </row>
    <row r="10" spans="1:253">
      <c r="A10" s="46" t="s">
        <v>66</v>
      </c>
      <c r="B10" s="47">
        <v>162000</v>
      </c>
      <c r="C10" s="48">
        <v>0</v>
      </c>
      <c r="D10" s="49">
        <f>AVERAGE(B10:C10)</f>
        <v>81000</v>
      </c>
      <c r="E10" s="50">
        <v>0.75</v>
      </c>
      <c r="F10" s="49">
        <f t="shared" ref="F10:F13" si="4">E10*D10</f>
        <v>60750</v>
      </c>
      <c r="HZ10" s="38"/>
      <c r="IA10" s="38"/>
      <c r="IB10" s="38"/>
      <c r="IH10" s="39"/>
      <c r="II10" s="39"/>
      <c r="IJ10" s="40"/>
      <c r="IK10" s="40"/>
      <c r="IL10" s="40"/>
      <c r="IQ10" s="41"/>
      <c r="IR10" s="41"/>
      <c r="IS10" s="41"/>
    </row>
    <row r="11" spans="1:253">
      <c r="A11" s="46" t="s">
        <v>71</v>
      </c>
      <c r="B11" s="47">
        <v>0</v>
      </c>
      <c r="C11" s="48">
        <f>196292+91784</f>
        <v>288076</v>
      </c>
      <c r="D11" s="49">
        <f t="shared" ref="D11:D13" si="5">AVERAGE(B11:C11)</f>
        <v>144038</v>
      </c>
      <c r="E11" s="50">
        <v>1</v>
      </c>
      <c r="F11" s="49">
        <f t="shared" si="4"/>
        <v>144038</v>
      </c>
      <c r="HZ11" s="38"/>
      <c r="IA11" s="38"/>
      <c r="IB11" s="38"/>
      <c r="IH11" s="39"/>
      <c r="II11" s="39"/>
      <c r="IJ11" s="40"/>
      <c r="IK11" s="40"/>
      <c r="IL11" s="40"/>
      <c r="IQ11" s="41"/>
      <c r="IR11" s="41"/>
      <c r="IS11" s="41"/>
    </row>
    <row r="12" spans="1:253" ht="15" customHeight="1">
      <c r="A12" s="46" t="s">
        <v>53</v>
      </c>
      <c r="B12" s="47">
        <f>1266+539+199690+166020+146+40000</f>
        <v>407661</v>
      </c>
      <c r="C12" s="48">
        <f>2377+2104+30+544+132266+59441+40000</f>
        <v>236762</v>
      </c>
      <c r="D12" s="49">
        <f t="shared" si="5"/>
        <v>322211.5</v>
      </c>
      <c r="E12" s="50">
        <v>0.25</v>
      </c>
      <c r="F12" s="49">
        <f t="shared" si="4"/>
        <v>80552.875</v>
      </c>
      <c r="HZ12" s="38"/>
      <c r="IA12" s="38"/>
      <c r="IB12" s="38"/>
      <c r="IH12" s="39"/>
      <c r="II12" s="39"/>
      <c r="IJ12" s="40"/>
      <c r="IK12" s="40"/>
      <c r="IL12" s="40"/>
      <c r="IQ12" s="41"/>
      <c r="IR12" s="41"/>
      <c r="IS12" s="41"/>
    </row>
    <row r="13" spans="1:253">
      <c r="A13" s="46" t="s">
        <v>3</v>
      </c>
      <c r="B13" s="47">
        <v>0</v>
      </c>
      <c r="C13" s="47">
        <v>-4606</v>
      </c>
      <c r="D13" s="49">
        <f t="shared" si="5"/>
        <v>-2303</v>
      </c>
      <c r="E13" s="50">
        <v>1</v>
      </c>
      <c r="F13" s="49">
        <f t="shared" si="4"/>
        <v>-2303</v>
      </c>
      <c r="HZ13" s="38"/>
      <c r="IA13" s="38"/>
      <c r="IB13" s="38"/>
      <c r="IH13" s="39"/>
      <c r="II13" s="39"/>
      <c r="IJ13" s="40"/>
      <c r="IK13" s="40"/>
      <c r="IL13" s="40"/>
      <c r="IQ13" s="41"/>
      <c r="IR13" s="41"/>
      <c r="IS13" s="41"/>
    </row>
    <row r="14" spans="1:253">
      <c r="A14" s="42" t="s">
        <v>67</v>
      </c>
      <c r="B14" s="43" t="s">
        <v>50</v>
      </c>
      <c r="C14" s="43" t="s">
        <v>51</v>
      </c>
      <c r="D14" s="43" t="s">
        <v>0</v>
      </c>
      <c r="E14" s="44" t="s">
        <v>1</v>
      </c>
      <c r="F14" s="43" t="s">
        <v>2</v>
      </c>
      <c r="HZ14" s="38"/>
      <c r="IA14" s="38"/>
      <c r="IB14" s="38"/>
      <c r="IH14" s="39"/>
      <c r="II14" s="39"/>
      <c r="IJ14" s="40"/>
      <c r="IK14" s="40"/>
      <c r="IL14" s="40"/>
      <c r="IQ14" s="41"/>
      <c r="IR14" s="41"/>
      <c r="IS14" s="41"/>
    </row>
    <row r="15" spans="1:253">
      <c r="A15" s="46" t="s">
        <v>68</v>
      </c>
      <c r="B15" s="47">
        <v>276800</v>
      </c>
      <c r="C15" s="48">
        <v>84200</v>
      </c>
      <c r="D15" s="49">
        <f t="shared" ref="D15:D17" si="6">AVERAGE(B15:C15)</f>
        <v>180500</v>
      </c>
      <c r="E15" s="50">
        <v>1</v>
      </c>
      <c r="F15" s="49">
        <f t="shared" ref="F15:F17" si="7">E15*D15</f>
        <v>180500</v>
      </c>
      <c r="HZ15" s="38"/>
      <c r="IA15" s="38"/>
      <c r="IB15" s="38"/>
      <c r="IH15" s="39"/>
      <c r="II15" s="39"/>
      <c r="IJ15" s="40"/>
      <c r="IK15" s="40"/>
      <c r="IL15" s="40"/>
      <c r="IQ15" s="41"/>
      <c r="IR15" s="41"/>
      <c r="IS15" s="41"/>
    </row>
    <row r="16" spans="1:253" ht="15" customHeight="1">
      <c r="A16" s="46" t="s">
        <v>53</v>
      </c>
      <c r="B16" s="47">
        <f>77507+225+927+492</f>
        <v>79151</v>
      </c>
      <c r="C16" s="48">
        <f>103190+85471+123+553+352+1338+452</f>
        <v>191479</v>
      </c>
      <c r="D16" s="49">
        <f t="shared" si="6"/>
        <v>135315</v>
      </c>
      <c r="E16" s="50">
        <v>0.25</v>
      </c>
      <c r="F16" s="49">
        <f t="shared" si="7"/>
        <v>33828.75</v>
      </c>
      <c r="HZ16" s="38"/>
      <c r="IA16" s="38"/>
      <c r="IB16" s="38"/>
      <c r="IH16" s="39"/>
      <c r="II16" s="39"/>
      <c r="IJ16" s="40"/>
      <c r="IK16" s="40"/>
      <c r="IL16" s="40"/>
      <c r="IQ16" s="41"/>
      <c r="IR16" s="41"/>
      <c r="IS16" s="41"/>
    </row>
    <row r="17" spans="1:253">
      <c r="A17" s="46" t="s">
        <v>3</v>
      </c>
      <c r="B17" s="47">
        <v>0</v>
      </c>
      <c r="C17" s="47">
        <v>-2458</v>
      </c>
      <c r="D17" s="49">
        <f t="shared" si="6"/>
        <v>-1229</v>
      </c>
      <c r="E17" s="50">
        <v>1</v>
      </c>
      <c r="F17" s="49">
        <f t="shared" si="7"/>
        <v>-1229</v>
      </c>
      <c r="HZ17" s="38"/>
      <c r="IA17" s="38"/>
      <c r="IB17" s="38"/>
      <c r="IH17" s="39"/>
      <c r="II17" s="39"/>
      <c r="IJ17" s="40"/>
      <c r="IK17" s="40"/>
      <c r="IL17" s="40"/>
      <c r="IQ17" s="41"/>
      <c r="IR17" s="41"/>
      <c r="IS17" s="41"/>
    </row>
    <row r="18" spans="1:253">
      <c r="A18" s="42" t="s">
        <v>69</v>
      </c>
      <c r="B18" s="43" t="s">
        <v>50</v>
      </c>
      <c r="C18" s="43" t="s">
        <v>51</v>
      </c>
      <c r="D18" s="43" t="s">
        <v>0</v>
      </c>
      <c r="E18" s="44" t="s">
        <v>1</v>
      </c>
      <c r="F18" s="43" t="s">
        <v>2</v>
      </c>
      <c r="HZ18" s="38"/>
      <c r="IA18" s="38"/>
      <c r="IB18" s="38"/>
      <c r="IH18" s="39"/>
      <c r="II18" s="39"/>
      <c r="IJ18" s="40"/>
      <c r="IK18" s="40"/>
      <c r="IL18" s="40"/>
      <c r="IQ18" s="41"/>
      <c r="IR18" s="41"/>
      <c r="IS18" s="41"/>
    </row>
    <row r="19" spans="1:253">
      <c r="A19" s="46" t="s">
        <v>52</v>
      </c>
      <c r="B19" s="47">
        <v>510000</v>
      </c>
      <c r="C19" s="48">
        <v>378000</v>
      </c>
      <c r="D19" s="49">
        <f t="shared" ref="D19:D22" si="8">AVERAGE(B19:C19)</f>
        <v>444000</v>
      </c>
      <c r="E19" s="51">
        <v>1</v>
      </c>
      <c r="F19" s="49">
        <f t="shared" ref="F19:F22" si="9">E19*D19</f>
        <v>444000</v>
      </c>
      <c r="HZ19" s="38"/>
      <c r="IA19" s="38"/>
      <c r="IB19" s="38"/>
      <c r="IH19" s="39"/>
      <c r="II19" s="39"/>
      <c r="IJ19" s="40"/>
      <c r="IK19" s="40"/>
      <c r="IL19" s="40"/>
      <c r="IQ19" s="41"/>
      <c r="IR19" s="41"/>
      <c r="IS19" s="41"/>
    </row>
    <row r="20" spans="1:253" ht="15" customHeight="1">
      <c r="A20" s="46" t="s">
        <v>70</v>
      </c>
      <c r="B20" s="47">
        <v>0</v>
      </c>
      <c r="C20" s="48">
        <f>49880+101280</f>
        <v>151160</v>
      </c>
      <c r="D20" s="49">
        <f t="shared" ref="D20" si="10">AVERAGE(B20:C20)</f>
        <v>75580</v>
      </c>
      <c r="E20" s="50">
        <v>1</v>
      </c>
      <c r="F20" s="49">
        <f t="shared" ref="F20" si="11">E20*D20</f>
        <v>75580</v>
      </c>
      <c r="HZ20" s="38"/>
      <c r="IA20" s="38"/>
      <c r="IB20" s="38"/>
      <c r="IH20" s="39"/>
      <c r="II20" s="39"/>
      <c r="IJ20" s="40"/>
      <c r="IK20" s="40"/>
      <c r="IL20" s="40"/>
      <c r="IQ20" s="41"/>
      <c r="IR20" s="41"/>
      <c r="IS20" s="41"/>
    </row>
    <row r="21" spans="1:253" ht="15" customHeight="1">
      <c r="A21" s="46" t="s">
        <v>53</v>
      </c>
      <c r="B21" s="47">
        <f>62+2258+80675+42</f>
        <v>83037</v>
      </c>
      <c r="C21" s="48">
        <f>899+3083+35284</f>
        <v>39266</v>
      </c>
      <c r="D21" s="49">
        <f t="shared" si="8"/>
        <v>61151.5</v>
      </c>
      <c r="E21" s="50">
        <v>0.25</v>
      </c>
      <c r="F21" s="49">
        <f t="shared" si="9"/>
        <v>15287.875</v>
      </c>
      <c r="HZ21" s="38"/>
      <c r="IA21" s="38"/>
      <c r="IB21" s="38"/>
      <c r="IH21" s="39"/>
      <c r="II21" s="39"/>
      <c r="IJ21" s="40"/>
      <c r="IK21" s="40"/>
      <c r="IL21" s="40"/>
      <c r="IQ21" s="41"/>
      <c r="IR21" s="41"/>
      <c r="IS21" s="41"/>
    </row>
    <row r="22" spans="1:253">
      <c r="A22" s="46" t="s">
        <v>3</v>
      </c>
      <c r="B22" s="47">
        <v>0</v>
      </c>
      <c r="C22" s="47">
        <v>0</v>
      </c>
      <c r="D22" s="49">
        <f t="shared" si="8"/>
        <v>0</v>
      </c>
      <c r="E22" s="50">
        <v>1</v>
      </c>
      <c r="F22" s="49">
        <f t="shared" si="9"/>
        <v>0</v>
      </c>
      <c r="HZ22" s="38"/>
      <c r="IA22" s="38"/>
      <c r="IB22" s="38"/>
      <c r="IH22" s="39"/>
      <c r="II22" s="39"/>
      <c r="IJ22" s="40"/>
      <c r="IK22" s="40"/>
      <c r="IL22" s="40"/>
      <c r="IQ22" s="41"/>
      <c r="IR22" s="41"/>
      <c r="IS22" s="41"/>
    </row>
    <row r="23" spans="1:253" ht="15.4" customHeight="1">
      <c r="A23" s="53" t="s">
        <v>4</v>
      </c>
      <c r="B23" s="54"/>
      <c r="C23" s="54"/>
      <c r="D23" s="54"/>
      <c r="E23" s="54"/>
      <c r="F23" s="55">
        <f>+SUM(F2:F22)</f>
        <v>2381488.875</v>
      </c>
    </row>
    <row r="24" spans="1:253" ht="16.350000000000001" customHeight="1">
      <c r="A24" s="56" t="s">
        <v>5</v>
      </c>
      <c r="B24" s="57"/>
      <c r="C24" s="57"/>
      <c r="D24" s="57"/>
      <c r="E24" s="57"/>
      <c r="F24" s="55">
        <f>F23/12</f>
        <v>198457.40625</v>
      </c>
    </row>
    <row r="25" spans="1:253">
      <c r="A25" s="56" t="s">
        <v>6</v>
      </c>
      <c r="B25" s="57"/>
      <c r="C25" s="57"/>
      <c r="D25" s="57"/>
      <c r="E25" s="57"/>
      <c r="F25" s="49">
        <f>RTR!M3</f>
        <v>0</v>
      </c>
    </row>
    <row r="26" spans="1:253" ht="16.350000000000001" customHeight="1">
      <c r="A26" s="56" t="s">
        <v>7</v>
      </c>
      <c r="B26" s="58"/>
      <c r="C26" s="58"/>
      <c r="D26" s="58"/>
      <c r="E26" s="58"/>
      <c r="F26" s="59">
        <v>1</v>
      </c>
    </row>
    <row r="27" spans="1:253" ht="16.350000000000001" customHeight="1">
      <c r="A27" s="56" t="s">
        <v>8</v>
      </c>
      <c r="B27" s="57"/>
      <c r="C27" s="57"/>
      <c r="D27" s="57"/>
      <c r="E27" s="57"/>
      <c r="F27" s="60">
        <f>(F24*F26)-F25</f>
        <v>198457.40625</v>
      </c>
    </row>
    <row r="28" spans="1:253" ht="16.350000000000001" customHeight="1">
      <c r="A28" s="56" t="s">
        <v>9</v>
      </c>
      <c r="B28" s="57"/>
      <c r="C28" s="57"/>
      <c r="D28" s="57"/>
      <c r="E28" s="57"/>
      <c r="F28" s="61">
        <v>180</v>
      </c>
    </row>
    <row r="29" spans="1:253" ht="14.25" customHeight="1">
      <c r="A29" s="56" t="s">
        <v>10</v>
      </c>
      <c r="B29" s="57"/>
      <c r="C29" s="57"/>
      <c r="D29" s="57"/>
      <c r="E29" s="57"/>
      <c r="F29" s="59">
        <v>0.09</v>
      </c>
    </row>
    <row r="30" spans="1:253">
      <c r="A30" s="56" t="s">
        <v>11</v>
      </c>
      <c r="B30" s="57"/>
      <c r="C30" s="57"/>
      <c r="D30" s="57"/>
      <c r="E30" s="57"/>
      <c r="F30" s="62">
        <f>PMT(F29/12,F28,-100000)</f>
        <v>1014.2665841617849</v>
      </c>
    </row>
    <row r="31" spans="1:253">
      <c r="A31" s="56" t="s">
        <v>12</v>
      </c>
      <c r="B31" s="57"/>
      <c r="C31" s="57"/>
      <c r="D31" s="57"/>
      <c r="E31" s="57"/>
      <c r="F31" s="63">
        <f>F27/F30</f>
        <v>195.66592190751325</v>
      </c>
    </row>
  </sheetData>
  <sheetProtection selectLockedCells="1" selectUnlockedCells="1"/>
  <mergeCells count="10">
    <mergeCell ref="B27:E27"/>
    <mergeCell ref="B28:E28"/>
    <mergeCell ref="B29:E29"/>
    <mergeCell ref="B30:E30"/>
    <mergeCell ref="B31:E31"/>
    <mergeCell ref="B1:C1"/>
    <mergeCell ref="B23:E23"/>
    <mergeCell ref="B24:E24"/>
    <mergeCell ref="B25:E25"/>
    <mergeCell ref="B26:E26"/>
  </mergeCells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O3"/>
  <sheetViews>
    <sheetView zoomScale="112" zoomScaleNormal="112" workbookViewId="0">
      <selection activeCell="M3" sqref="M3"/>
    </sheetView>
  </sheetViews>
  <sheetFormatPr defaultColWidth="22.140625" defaultRowHeight="13.5"/>
  <cols>
    <col min="1" max="1" width="7.140625" style="20" bestFit="1" customWidth="1"/>
    <col min="2" max="2" width="11.42578125" style="20" bestFit="1" customWidth="1"/>
    <col min="3" max="3" width="16.140625" style="20" bestFit="1" customWidth="1"/>
    <col min="4" max="4" width="11.85546875" style="20" bestFit="1" customWidth="1"/>
    <col min="5" max="6" width="10.28515625" style="20" bestFit="1" customWidth="1"/>
    <col min="7" max="7" width="16" style="20" bestFit="1" customWidth="1"/>
    <col min="8" max="8" width="8" style="20" bestFit="1" customWidth="1"/>
    <col min="9" max="9" width="7.85546875" style="20" bestFit="1" customWidth="1"/>
    <col min="10" max="10" width="10.28515625" style="20" bestFit="1" customWidth="1"/>
    <col min="11" max="11" width="9" style="20" bestFit="1" customWidth="1"/>
    <col min="12" max="12" width="9.140625" style="20" bestFit="1" customWidth="1"/>
    <col min="13" max="13" width="16.140625" style="20" bestFit="1" customWidth="1"/>
    <col min="14" max="249" width="22.140625" style="20"/>
    <col min="250" max="16384" width="22.140625" style="21"/>
  </cols>
  <sheetData>
    <row r="1" spans="1:13">
      <c r="A1" s="27" t="s">
        <v>13</v>
      </c>
      <c r="B1" s="27" t="s">
        <v>14</v>
      </c>
      <c r="C1" s="27" t="s">
        <v>15</v>
      </c>
      <c r="D1" s="27" t="s">
        <v>16</v>
      </c>
      <c r="E1" s="27" t="s">
        <v>17</v>
      </c>
      <c r="F1" s="27" t="s">
        <v>18</v>
      </c>
      <c r="G1" s="27" t="s">
        <v>54</v>
      </c>
      <c r="H1" s="27" t="s">
        <v>60</v>
      </c>
      <c r="I1" s="27" t="s">
        <v>19</v>
      </c>
      <c r="J1" s="27" t="s">
        <v>20</v>
      </c>
      <c r="K1" s="27" t="s">
        <v>21</v>
      </c>
      <c r="L1" s="27" t="s">
        <v>22</v>
      </c>
      <c r="M1" s="27" t="s">
        <v>23</v>
      </c>
    </row>
    <row r="2" spans="1:13">
      <c r="A2" s="28">
        <v>1</v>
      </c>
      <c r="B2" s="29">
        <v>673309997</v>
      </c>
      <c r="C2" s="30" t="s">
        <v>58</v>
      </c>
      <c r="D2" s="30" t="s">
        <v>59</v>
      </c>
      <c r="E2" s="31" t="s">
        <v>48</v>
      </c>
      <c r="F2" s="31">
        <v>754598</v>
      </c>
      <c r="G2" s="33">
        <v>43592</v>
      </c>
      <c r="H2" s="31">
        <v>277592</v>
      </c>
      <c r="I2" s="31">
        <v>36</v>
      </c>
      <c r="J2" s="31">
        <v>25</v>
      </c>
      <c r="K2" s="31">
        <v>11</v>
      </c>
      <c r="L2" s="31">
        <v>24437</v>
      </c>
      <c r="M2" s="32" t="s">
        <v>72</v>
      </c>
    </row>
    <row r="3" spans="1:13">
      <c r="A3" s="24"/>
      <c r="B3" s="22"/>
      <c r="C3" s="22"/>
      <c r="D3" s="22"/>
      <c r="E3" s="23"/>
      <c r="F3" s="26"/>
      <c r="G3" s="26"/>
      <c r="H3" s="26"/>
      <c r="I3" s="26"/>
      <c r="J3" s="26"/>
      <c r="K3" s="26"/>
      <c r="L3" s="22"/>
      <c r="M3" s="25">
        <f>SUMIF(M2:M2,"Y",L2:L2)</f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34" t="s">
        <v>24</v>
      </c>
      <c r="B1" s="34"/>
      <c r="C1" s="2"/>
    </row>
    <row r="2" spans="1:6" ht="14.25" customHeight="1">
      <c r="A2" s="34" t="s">
        <v>25</v>
      </c>
      <c r="B2" s="34"/>
      <c r="C2" s="2"/>
    </row>
    <row r="5" spans="1:6" ht="27">
      <c r="A5" s="3" t="s">
        <v>13</v>
      </c>
      <c r="B5" s="4" t="s">
        <v>26</v>
      </c>
      <c r="C5" s="4" t="s">
        <v>27</v>
      </c>
      <c r="D5" s="5" t="s">
        <v>28</v>
      </c>
      <c r="E5" s="1" t="s">
        <v>29</v>
      </c>
      <c r="F5" s="1" t="s">
        <v>30</v>
      </c>
    </row>
    <row r="6" spans="1:6" ht="40.5">
      <c r="A6" s="6">
        <v>1</v>
      </c>
      <c r="B6" s="7" t="s">
        <v>31</v>
      </c>
      <c r="C6" s="8" t="s">
        <v>32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33</v>
      </c>
      <c r="C7" s="8" t="s">
        <v>34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35</v>
      </c>
      <c r="C8" s="8" t="s">
        <v>36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37</v>
      </c>
      <c r="C9" s="12" t="s">
        <v>38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39</v>
      </c>
      <c r="C10" s="8" t="s">
        <v>40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41</v>
      </c>
      <c r="C11" s="14" t="s">
        <v>42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43</v>
      </c>
      <c r="C12" s="15" t="s">
        <v>44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45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2018-07-05T06:12:00Z</cp:lastPrinted>
  <dcterms:created xsi:type="dcterms:W3CDTF">2015-09-25T09:25:00Z</dcterms:created>
  <dcterms:modified xsi:type="dcterms:W3CDTF">2021-05-05T05:48:17Z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