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6"/>
  <c r="J23"/>
  <c r="I23"/>
  <c r="H23"/>
  <c r="G23"/>
  <c r="F23"/>
  <c r="E23"/>
  <c r="J14"/>
  <c r="I14"/>
  <c r="H14"/>
  <c r="G14"/>
  <c r="F14"/>
  <c r="E14"/>
  <c r="K14" l="1"/>
  <c r="K23"/>
  <c r="F29" i="1" l="1"/>
  <c r="B26"/>
  <c r="C16"/>
  <c r="C14"/>
  <c r="B17"/>
  <c r="K4" i="2"/>
  <c r="F31" i="1" s="1"/>
  <c r="D22"/>
  <c r="F22" s="1"/>
  <c r="D21"/>
  <c r="F21" s="1"/>
  <c r="I3" i="2"/>
  <c r="I2"/>
  <c r="C27" i="1"/>
  <c r="C24"/>
  <c r="B24"/>
  <c r="D28"/>
  <c r="F28" s="1"/>
  <c r="D27"/>
  <c r="F27" s="1"/>
  <c r="D26"/>
  <c r="F26" s="1"/>
  <c r="D25"/>
  <c r="F25" s="1"/>
  <c r="D23"/>
  <c r="F23" s="1"/>
  <c r="D3"/>
  <c r="D4"/>
  <c r="D5"/>
  <c r="D6"/>
  <c r="D14"/>
  <c r="F14" s="1"/>
  <c r="C17"/>
  <c r="D17"/>
  <c r="F17" s="1"/>
  <c r="D19"/>
  <c r="F19" s="1"/>
  <c r="D18"/>
  <c r="F18" s="1"/>
  <c r="B16"/>
  <c r="D15"/>
  <c r="F15" s="1"/>
  <c r="D13"/>
  <c r="F13" s="1"/>
  <c r="D12"/>
  <c r="F12" s="1"/>
  <c r="D11"/>
  <c r="F11" s="1"/>
  <c r="B7"/>
  <c r="D7" s="1"/>
  <c r="F7" s="1"/>
  <c r="D24" l="1"/>
  <c r="F24" s="1"/>
  <c r="D16"/>
  <c r="F16" s="1"/>
  <c r="F5" l="1"/>
  <c r="F6"/>
  <c r="D8"/>
  <c r="D9"/>
  <c r="F8" l="1"/>
  <c r="F3" l="1"/>
  <c r="F4"/>
  <c r="F9"/>
  <c r="E13" i="5"/>
  <c r="F12"/>
  <c r="F11"/>
  <c r="F10"/>
  <c r="F9"/>
  <c r="F8"/>
  <c r="F7"/>
  <c r="F6"/>
  <c r="F13"/>
  <c r="F36" i="1"/>
  <c r="F30" l="1"/>
  <c r="F33" s="1"/>
  <c r="F37" s="1"/>
</calcChain>
</file>

<file path=xl/sharedStrings.xml><?xml version="1.0" encoding="utf-8"?>
<sst xmlns="http://schemas.openxmlformats.org/spreadsheetml/2006/main" count="137" uniqueCount="98">
  <si>
    <t>ASSESSMENT YEAR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</si>
  <si>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</si>
  <si>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</si>
  <si>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</si>
  <si>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</si>
  <si>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</si>
  <si>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</si>
  <si>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</si>
  <si>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</si>
  <si>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</si>
  <si>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</si>
  <si>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</si>
  <si>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</si>
  <si>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</si>
  <si>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</si>
  <si>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</si>
  <si>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</si>
  <si>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</si>
  <si>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</si>
  <si>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</si>
  <si>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</si>
  <si>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</si>
  <si>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</si>
  <si>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</si>
  <si>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</si>
  <si>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</si>
  <si>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</si>
  <si>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</si>
  <si>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</si>
  <si>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</si>
  <si>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</si>
  <si>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</si>
  <si>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</si>
  <si>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</si>
  <si>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</si>
  <si>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</si>
  <si>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</si>
  <si>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</si>
  <si>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</si>
  <si>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</si>
  <si>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</si>
  <si>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</si>
  <si>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</si>
  <si>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</si>
  <si>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</si>
  <si>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</si>
  <si>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</si>
  <si>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</si>
  <si>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</si>
  <si>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</si>
  <si>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</si>
  <si>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Payment Made u/s 40 2 (A)b</t>
  </si>
  <si>
    <t>Income From Other Sources</t>
  </si>
  <si>
    <t>Lap</t>
  </si>
  <si>
    <t>ICICI Bank</t>
  </si>
  <si>
    <t xml:space="preserve">Capital Hardware </t>
  </si>
  <si>
    <t>Bank Interest</t>
  </si>
  <si>
    <t>Interest To Others</t>
  </si>
  <si>
    <t>Anjana Bansal</t>
  </si>
  <si>
    <t xml:space="preserve">Income From House Property </t>
  </si>
  <si>
    <t>Interest On Unsecured Loans</t>
  </si>
  <si>
    <t>Hitesh Nagpal</t>
  </si>
  <si>
    <t>Capital Hardware</t>
  </si>
  <si>
    <t>Deutsche Bank</t>
  </si>
  <si>
    <t>LBLUD00004797381</t>
  </si>
  <si>
    <t>Other Interest</t>
  </si>
  <si>
    <t>Capital Hardware ( Firm )</t>
  </si>
  <si>
    <t>Detail Pending</t>
  </si>
  <si>
    <t xml:space="preserve">Sale </t>
  </si>
  <si>
    <t>GP</t>
  </si>
  <si>
    <t>NP</t>
  </si>
  <si>
    <t>As on 19( Firm )</t>
  </si>
  <si>
    <t>As  on 19 Prop ( First Three Month )</t>
  </si>
  <si>
    <t>As on 18 ( Prop)</t>
  </si>
  <si>
    <t xml:space="preserve">As on Dec </t>
  </si>
  <si>
    <t>Income From Other Sources ( FDR )</t>
  </si>
  <si>
    <t>Hitesh / Rati / Satish</t>
  </si>
  <si>
    <t>Interest On Loans</t>
  </si>
  <si>
    <t xml:space="preserve">Indiabulls /KMPL Car Loan </t>
  </si>
  <si>
    <t>Income From Salary ( Capital Hardware )</t>
  </si>
  <si>
    <t>( Bifurcation Pending , DB Lap DB OD , ICICI Lap)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</si>
  <si>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</si>
  <si>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</si>
  <si>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</si>
  <si>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</si>
  <si>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</si>
  <si>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</si>
  <si>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</si>
  <si>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</si>
  <si>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</si>
  <si>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</si>
  <si>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Capital Bolts &amp; Hardwares</t>
  </si>
  <si>
    <t>Axis Bank A/c No. 917020055741221</t>
  </si>
  <si>
    <t>Sept</t>
  </si>
  <si>
    <t>Dec</t>
  </si>
  <si>
    <t>Jan</t>
  </si>
  <si>
    <t>y</t>
  </si>
  <si>
    <t>Deutsche Bank A/c No. 000036217780019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</si>
</sst>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78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2" fontId="12" fillId="6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NumberFormat="1" applyFont="1" applyFill="1" applyBorder="1" applyAlignment="1" applyProtection="1">
      <alignment horizontal="center" vertical="center" wrapText="1"/>
    </xf>
    <xf numFmtId="9" fontId="11" fillId="8" borderId="2" xfId="1" applyNumberFormat="1" applyFont="1" applyFill="1" applyBorder="1" applyAlignment="1" applyProtection="1">
      <alignment horizontal="center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6" fontId="12" fillId="0" borderId="2" xfId="1" applyNumberFormat="1" applyFont="1" applyFill="1" applyBorder="1" applyAlignment="1" applyProtection="1">
      <alignment horizontal="center" vertical="center"/>
    </xf>
    <xf numFmtId="166" fontId="12" fillId="6" borderId="2" xfId="1" applyNumberFormat="1" applyFont="1" applyFill="1" applyBorder="1" applyAlignment="1" applyProtection="1">
      <alignment horizontal="center" vertical="center"/>
    </xf>
    <xf numFmtId="164" fontId="12" fillId="6" borderId="2" xfId="1" applyNumberFormat="1" applyFont="1" applyFill="1" applyBorder="1" applyAlignment="1" applyProtection="1">
      <alignment horizontal="center" vertical="top"/>
    </xf>
    <xf numFmtId="9" fontId="12" fillId="6" borderId="2" xfId="1" applyNumberFormat="1" applyFont="1" applyFill="1" applyBorder="1" applyAlignment="1" applyProtection="1">
      <alignment horizontal="center" vertical="top"/>
    </xf>
    <xf numFmtId="165" fontId="11" fillId="8" borderId="2" xfId="1" applyFont="1" applyFill="1" applyBorder="1" applyAlignment="1" applyProtection="1">
      <alignment vertical="top" wrapText="1"/>
    </xf>
    <xf numFmtId="167" fontId="11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vertical="top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0" fontId="12" fillId="0" borderId="2" xfId="1" applyNumberFormat="1" applyFont="1" applyFill="1" applyBorder="1" applyAlignment="1" applyProtection="1">
      <alignment horizontal="center" vertical="top"/>
    </xf>
    <xf numFmtId="164" fontId="12" fillId="8" borderId="2" xfId="1" applyNumberFormat="1" applyFont="1" applyFill="1" applyBorder="1" applyAlignment="1" applyProtection="1">
      <alignment horizontal="center" vertical="top"/>
    </xf>
    <xf numFmtId="164" fontId="12" fillId="0" borderId="2" xfId="1" applyNumberFormat="1" applyFont="1" applyFill="1" applyBorder="1" applyAlignment="1" applyProtection="1">
      <alignment horizontal="center" vertical="top"/>
    </xf>
    <xf numFmtId="2" fontId="12" fillId="8" borderId="2" xfId="5" applyNumberFormat="1" applyFont="1" applyFill="1" applyBorder="1" applyAlignment="1" applyProtection="1">
      <alignment horizontal="center" vertical="top"/>
    </xf>
    <xf numFmtId="165" fontId="12" fillId="8" borderId="2" xfId="5" applyNumberFormat="1" applyFont="1" applyFill="1" applyBorder="1" applyAlignment="1" applyProtection="1">
      <alignment horizontal="center" vertical="top"/>
    </xf>
    <xf numFmtId="164" fontId="12" fillId="9" borderId="2" xfId="1" applyNumberFormat="1" applyFont="1" applyFill="1" applyBorder="1" applyAlignment="1" applyProtection="1">
      <alignment horizontal="left" vertical="center" wrapText="1"/>
    </xf>
    <xf numFmtId="166" fontId="12" fillId="10" borderId="2" xfId="1" applyNumberFormat="1" applyFont="1" applyFill="1" applyBorder="1" applyAlignment="1" applyProtection="1">
      <alignment horizontal="center" vertical="center"/>
    </xf>
    <xf numFmtId="166" fontId="12" fillId="9" borderId="2" xfId="1" applyNumberFormat="1" applyFont="1" applyFill="1" applyBorder="1" applyAlignment="1" applyProtection="1">
      <alignment horizontal="center" vertical="center"/>
    </xf>
    <xf numFmtId="164" fontId="12" fillId="9" borderId="2" xfId="1" applyNumberFormat="1" applyFont="1" applyFill="1" applyBorder="1" applyAlignment="1" applyProtection="1">
      <alignment horizontal="center" vertical="top"/>
    </xf>
    <xf numFmtId="0" fontId="16" fillId="6" borderId="0" xfId="3" applyFont="1" applyFill="1" applyBorder="1" applyAlignment="1">
      <alignment vertical="top" wrapText="1"/>
    </xf>
    <xf numFmtId="9" fontId="12" fillId="9" borderId="2" xfId="1" applyNumberFormat="1" applyFont="1" applyFill="1" applyBorder="1" applyAlignment="1" applyProtection="1">
      <alignment horizontal="center" vertical="top"/>
    </xf>
    <xf numFmtId="0" fontId="12" fillId="6" borderId="0" xfId="3" applyFont="1" applyFill="1" applyBorder="1" applyAlignment="1">
      <alignment vertical="top" wrapText="1"/>
    </xf>
    <xf numFmtId="0" fontId="12" fillId="6" borderId="2" xfId="3" applyFont="1" applyFill="1" applyBorder="1" applyAlignment="1">
      <alignment vertical="top" wrapText="1"/>
    </xf>
    <xf numFmtId="164" fontId="11" fillId="5" borderId="2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0" borderId="2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5"/>
  <sheetViews>
    <sheetView tabSelected="1" topLeftCell="A16" zoomScale="107" zoomScaleNormal="107" workbookViewId="0">
      <selection activeCell="F36" sqref="F36"/>
    </sheetView>
  </sheetViews>
  <sheetFormatPr defaultColWidth="31.28515625" defaultRowHeight="13.5"/>
  <cols>
    <col min="1" max="1" width="43.85546875" style="21" customWidth="1"/>
    <col min="2" max="2" width="10.85546875" style="21" customWidth="1"/>
    <col min="3" max="3" width="20.42578125" style="21" customWidth="1"/>
    <col min="4" max="4" width="13" style="21" customWidth="1"/>
    <col min="5" max="5" width="14.42578125" style="21" customWidth="1"/>
    <col min="6" max="6" width="21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35" t="s">
        <v>55</v>
      </c>
      <c r="B1" s="61" t="s">
        <v>0</v>
      </c>
      <c r="C1" s="61"/>
      <c r="D1" s="35"/>
      <c r="E1" s="35"/>
      <c r="F1" s="35"/>
    </row>
    <row r="2" spans="1:7" ht="12.75" customHeight="1">
      <c r="A2" s="36" t="s">
        <v>66</v>
      </c>
      <c r="B2" s="37" t="s">
        <v>48</v>
      </c>
      <c r="C2" s="37" t="s">
        <v>1</v>
      </c>
      <c r="D2" s="37" t="s">
        <v>2</v>
      </c>
      <c r="E2" s="38" t="s">
        <v>3</v>
      </c>
      <c r="F2" s="37" t="s">
        <v>4</v>
      </c>
    </row>
    <row r="3" spans="1:7">
      <c r="A3" s="53" t="s">
        <v>49</v>
      </c>
      <c r="B3" s="54">
        <v>308094.56</v>
      </c>
      <c r="C3" s="41">
        <v>0</v>
      </c>
      <c r="D3" s="42">
        <f>AVERAGE(B3:C3)</f>
        <v>154047.28</v>
      </c>
      <c r="E3" s="43">
        <v>0</v>
      </c>
      <c r="F3" s="42">
        <f t="shared" ref="F3:F9" si="0">E3*D3</f>
        <v>0</v>
      </c>
    </row>
    <row r="4" spans="1:7">
      <c r="A4" s="53" t="s">
        <v>50</v>
      </c>
      <c r="B4" s="54">
        <v>649788.92000000004</v>
      </c>
      <c r="C4" s="41">
        <v>0</v>
      </c>
      <c r="D4" s="42">
        <f>AVERAGE(B4:C4)</f>
        <v>324894.46000000002</v>
      </c>
      <c r="E4" s="43">
        <v>0</v>
      </c>
      <c r="F4" s="42">
        <f t="shared" si="0"/>
        <v>0</v>
      </c>
    </row>
    <row r="5" spans="1:7" ht="15" customHeight="1">
      <c r="A5" s="53" t="s">
        <v>56</v>
      </c>
      <c r="B5" s="54">
        <v>1596969.23</v>
      </c>
      <c r="C5" s="41">
        <v>0</v>
      </c>
      <c r="D5" s="42">
        <f>AVERAGE(B5:C5)</f>
        <v>798484.61499999999</v>
      </c>
      <c r="E5" s="43">
        <v>0</v>
      </c>
      <c r="F5" s="42">
        <f t="shared" ref="F5" si="1">E5*D5</f>
        <v>0</v>
      </c>
      <c r="G5" s="57" t="s">
        <v>80</v>
      </c>
    </row>
    <row r="6" spans="1:7" ht="15" customHeight="1">
      <c r="A6" s="53" t="s">
        <v>57</v>
      </c>
      <c r="B6" s="54">
        <v>1115902</v>
      </c>
      <c r="C6" s="41">
        <v>0</v>
      </c>
      <c r="D6" s="42">
        <f>AVERAGE(B6:C6)</f>
        <v>557951</v>
      </c>
      <c r="E6" s="43">
        <v>0</v>
      </c>
      <c r="F6" s="42">
        <f t="shared" ref="F6" si="2">E6*D6</f>
        <v>0</v>
      </c>
      <c r="G6" s="57" t="s">
        <v>67</v>
      </c>
    </row>
    <row r="7" spans="1:7" ht="15" customHeight="1">
      <c r="A7" s="53" t="s">
        <v>51</v>
      </c>
      <c r="B7" s="54">
        <f>387099+198166+753422</f>
        <v>1338687</v>
      </c>
      <c r="C7" s="41">
        <v>0</v>
      </c>
      <c r="D7" s="42">
        <f>AVERAGE(B7:C7)</f>
        <v>669343.5</v>
      </c>
      <c r="E7" s="43">
        <v>0</v>
      </c>
      <c r="F7" s="42">
        <f t="shared" ref="F7" si="3">E7*D7</f>
        <v>0</v>
      </c>
    </row>
    <row r="8" spans="1:7" ht="15" customHeight="1">
      <c r="A8" s="53" t="s">
        <v>52</v>
      </c>
      <c r="B8" s="55">
        <v>900</v>
      </c>
      <c r="C8" s="40">
        <v>0</v>
      </c>
      <c r="D8" s="42">
        <f t="shared" ref="D8" si="4">AVERAGE(B8:C8)</f>
        <v>450</v>
      </c>
      <c r="E8" s="43">
        <v>0</v>
      </c>
      <c r="F8" s="42">
        <f t="shared" ref="F8" si="5">E8*D8</f>
        <v>0</v>
      </c>
    </row>
    <row r="9" spans="1:7">
      <c r="A9" s="53" t="s">
        <v>5</v>
      </c>
      <c r="B9" s="55">
        <v>-98320</v>
      </c>
      <c r="C9" s="41">
        <v>0</v>
      </c>
      <c r="D9" s="42">
        <f t="shared" ref="D9" si="6">AVERAGE(B9:C9)</f>
        <v>-49160</v>
      </c>
      <c r="E9" s="43">
        <v>0</v>
      </c>
      <c r="F9" s="42">
        <f t="shared" si="0"/>
        <v>0</v>
      </c>
    </row>
    <row r="10" spans="1:7" ht="12.75" customHeight="1">
      <c r="A10" s="36" t="s">
        <v>58</v>
      </c>
      <c r="B10" s="37" t="s">
        <v>48</v>
      </c>
      <c r="C10" s="37" t="s">
        <v>1</v>
      </c>
      <c r="D10" s="37" t="s">
        <v>2</v>
      </c>
      <c r="E10" s="38" t="s">
        <v>3</v>
      </c>
      <c r="F10" s="37" t="s">
        <v>4</v>
      </c>
    </row>
    <row r="11" spans="1:7">
      <c r="A11" s="53" t="s">
        <v>49</v>
      </c>
      <c r="B11" s="55">
        <v>2031025.67</v>
      </c>
      <c r="C11" s="54">
        <v>1745797.2</v>
      </c>
      <c r="D11" s="56">
        <f>AVERAGE(B11:C11)</f>
        <v>1888411.4350000001</v>
      </c>
      <c r="E11" s="58">
        <v>1</v>
      </c>
      <c r="F11" s="56">
        <f t="shared" ref="F11:F19" si="7">E11*D11</f>
        <v>1888411.4350000001</v>
      </c>
    </row>
    <row r="12" spans="1:7">
      <c r="A12" s="53" t="s">
        <v>50</v>
      </c>
      <c r="B12" s="55">
        <v>134871</v>
      </c>
      <c r="C12" s="54">
        <v>835852</v>
      </c>
      <c r="D12" s="56">
        <f t="shared" ref="D12:D19" si="8">AVERAGE(B12:C12)</f>
        <v>485361.5</v>
      </c>
      <c r="E12" s="58">
        <v>1</v>
      </c>
      <c r="F12" s="56">
        <f t="shared" si="7"/>
        <v>485361.5</v>
      </c>
    </row>
    <row r="13" spans="1:7" ht="15" customHeight="1">
      <c r="A13" s="53" t="s">
        <v>56</v>
      </c>
      <c r="B13" s="55">
        <v>672444.36</v>
      </c>
      <c r="C13" s="54">
        <v>0</v>
      </c>
      <c r="D13" s="56">
        <f>AVERAGE(B13:C13)</f>
        <v>336222.18</v>
      </c>
      <c r="E13" s="58">
        <v>0</v>
      </c>
      <c r="F13" s="56">
        <f>E13*D13</f>
        <v>0</v>
      </c>
    </row>
    <row r="14" spans="1:7" ht="15" customHeight="1">
      <c r="A14" s="53" t="s">
        <v>77</v>
      </c>
      <c r="B14" s="55">
        <v>0</v>
      </c>
      <c r="C14" s="54">
        <f>103480+1734582</f>
        <v>1838062</v>
      </c>
      <c r="D14" s="56">
        <f t="shared" ref="D14" si="9">AVERAGE(B14:C14)</f>
        <v>919031</v>
      </c>
      <c r="E14" s="58">
        <v>1</v>
      </c>
      <c r="F14" s="56">
        <f t="shared" ref="F14" si="10">E14*D14</f>
        <v>919031</v>
      </c>
      <c r="G14" s="59" t="s">
        <v>78</v>
      </c>
    </row>
    <row r="15" spans="1:7" ht="15" customHeight="1">
      <c r="A15" s="39" t="s">
        <v>60</v>
      </c>
      <c r="B15" s="41">
        <v>0</v>
      </c>
      <c r="C15" s="40">
        <v>1754322.51</v>
      </c>
      <c r="D15" s="42">
        <f t="shared" si="8"/>
        <v>877161.255</v>
      </c>
      <c r="E15" s="43">
        <v>0</v>
      </c>
      <c r="F15" s="42">
        <f t="shared" si="7"/>
        <v>0</v>
      </c>
      <c r="G15" s="59" t="s">
        <v>67</v>
      </c>
    </row>
    <row r="16" spans="1:7" ht="15" customHeight="1">
      <c r="A16" s="53" t="s">
        <v>51</v>
      </c>
      <c r="B16" s="55">
        <f>146667+134317+238065</f>
        <v>519049</v>
      </c>
      <c r="C16" s="54">
        <f>171532+C235+692260+681665+349436+406263+171531+13509</f>
        <v>2486196</v>
      </c>
      <c r="D16" s="56">
        <f t="shared" si="8"/>
        <v>1502622.5</v>
      </c>
      <c r="E16" s="58">
        <v>1</v>
      </c>
      <c r="F16" s="56">
        <f t="shared" si="7"/>
        <v>1502622.5</v>
      </c>
      <c r="G16" s="59" t="s">
        <v>76</v>
      </c>
    </row>
    <row r="17" spans="1:6" ht="15" customHeight="1">
      <c r="A17" s="53" t="s">
        <v>59</v>
      </c>
      <c r="B17" s="55">
        <f>10430+138000</f>
        <v>148430</v>
      </c>
      <c r="C17" s="54">
        <f>82800+140552</f>
        <v>223352</v>
      </c>
      <c r="D17" s="56">
        <f t="shared" ref="D17" si="11">AVERAGE(B17:C17)</f>
        <v>185891</v>
      </c>
      <c r="E17" s="58">
        <v>0.5</v>
      </c>
      <c r="F17" s="56">
        <f t="shared" ref="F17" si="12">E17*D17</f>
        <v>92945.5</v>
      </c>
    </row>
    <row r="18" spans="1:6" ht="15" customHeight="1">
      <c r="A18" s="39" t="s">
        <v>75</v>
      </c>
      <c r="B18" s="41">
        <v>699985</v>
      </c>
      <c r="C18" s="40">
        <v>513963</v>
      </c>
      <c r="D18" s="42">
        <f t="shared" si="8"/>
        <v>606974</v>
      </c>
      <c r="E18" s="43">
        <v>0</v>
      </c>
      <c r="F18" s="42">
        <f t="shared" si="7"/>
        <v>0</v>
      </c>
    </row>
    <row r="19" spans="1:6">
      <c r="A19" s="53" t="s">
        <v>5</v>
      </c>
      <c r="B19" s="55">
        <v>-272518</v>
      </c>
      <c r="C19" s="55">
        <v>-568874</v>
      </c>
      <c r="D19" s="56">
        <f t="shared" si="8"/>
        <v>-420696</v>
      </c>
      <c r="E19" s="58">
        <v>1</v>
      </c>
      <c r="F19" s="56">
        <f t="shared" si="7"/>
        <v>-420696</v>
      </c>
    </row>
    <row r="20" spans="1:6" ht="12.75" customHeight="1">
      <c r="A20" s="36" t="s">
        <v>61</v>
      </c>
      <c r="B20" s="37" t="s">
        <v>48</v>
      </c>
      <c r="C20" s="37" t="s">
        <v>1</v>
      </c>
      <c r="D20" s="37" t="s">
        <v>2</v>
      </c>
      <c r="E20" s="38" t="s">
        <v>3</v>
      </c>
      <c r="F20" s="37" t="s">
        <v>4</v>
      </c>
    </row>
    <row r="21" spans="1:6">
      <c r="A21" s="39" t="s">
        <v>49</v>
      </c>
      <c r="B21" s="40">
        <v>1852731.68</v>
      </c>
      <c r="C21" s="41">
        <v>1579227.42</v>
      </c>
      <c r="D21" s="42">
        <f t="shared" ref="D21:D26" si="13">AVERAGE(B21:C21)</f>
        <v>1715979.5499999998</v>
      </c>
      <c r="E21" s="43">
        <v>1</v>
      </c>
      <c r="F21" s="42">
        <f t="shared" ref="F21:F22" si="14">E21*D21</f>
        <v>1715979.5499999998</v>
      </c>
    </row>
    <row r="22" spans="1:6">
      <c r="A22" s="39" t="s">
        <v>50</v>
      </c>
      <c r="B22" s="40">
        <v>130828.83</v>
      </c>
      <c r="C22" s="41">
        <v>144663</v>
      </c>
      <c r="D22" s="42">
        <f t="shared" si="13"/>
        <v>137745.91500000001</v>
      </c>
      <c r="E22" s="43">
        <v>1</v>
      </c>
      <c r="F22" s="42">
        <f t="shared" si="14"/>
        <v>137745.91500000001</v>
      </c>
    </row>
    <row r="23" spans="1:6" ht="13.5" customHeight="1">
      <c r="A23" s="53" t="s">
        <v>79</v>
      </c>
      <c r="B23" s="54">
        <v>146667</v>
      </c>
      <c r="C23" s="55">
        <v>583375</v>
      </c>
      <c r="D23" s="56">
        <f t="shared" si="13"/>
        <v>365021</v>
      </c>
      <c r="E23" s="58">
        <v>1</v>
      </c>
      <c r="F23" s="42">
        <f t="shared" ref="F23:F28" si="15">E23*D23</f>
        <v>365021</v>
      </c>
    </row>
    <row r="24" spans="1:6">
      <c r="A24" s="53" t="s">
        <v>59</v>
      </c>
      <c r="B24" s="54">
        <f>276000+101430</f>
        <v>377430</v>
      </c>
      <c r="C24" s="55">
        <f>262813+82800</f>
        <v>345613</v>
      </c>
      <c r="D24" s="56">
        <f t="shared" si="13"/>
        <v>361521.5</v>
      </c>
      <c r="E24" s="58">
        <v>0.5</v>
      </c>
      <c r="F24" s="42">
        <f t="shared" si="15"/>
        <v>180760.75</v>
      </c>
    </row>
    <row r="25" spans="1:6" ht="15" customHeight="1">
      <c r="A25" s="39" t="s">
        <v>65</v>
      </c>
      <c r="B25" s="40">
        <v>707601</v>
      </c>
      <c r="C25" s="41">
        <v>0</v>
      </c>
      <c r="D25" s="42">
        <f t="shared" si="13"/>
        <v>353800.5</v>
      </c>
      <c r="E25" s="43">
        <v>0</v>
      </c>
      <c r="F25" s="42">
        <f t="shared" si="15"/>
        <v>0</v>
      </c>
    </row>
    <row r="26" spans="1:6" ht="15" customHeight="1">
      <c r="A26" s="39" t="s">
        <v>51</v>
      </c>
      <c r="B26" s="40">
        <f>136722+534879+36000</f>
        <v>707601</v>
      </c>
      <c r="C26" s="41">
        <v>0</v>
      </c>
      <c r="D26" s="42">
        <f t="shared" si="13"/>
        <v>353800.5</v>
      </c>
      <c r="E26" s="43">
        <v>1</v>
      </c>
      <c r="F26" s="42">
        <f t="shared" si="15"/>
        <v>353800.5</v>
      </c>
    </row>
    <row r="27" spans="1:6" ht="15" customHeight="1">
      <c r="A27" s="53" t="s">
        <v>52</v>
      </c>
      <c r="B27" s="55">
        <v>282476</v>
      </c>
      <c r="C27" s="54">
        <f>420+2065+9984+108853</f>
        <v>121322</v>
      </c>
      <c r="D27" s="56">
        <f t="shared" ref="D27:D28" si="16">AVERAGE(B27:C27)</f>
        <v>201899</v>
      </c>
      <c r="E27" s="58">
        <v>0.5</v>
      </c>
      <c r="F27" s="42">
        <f t="shared" si="15"/>
        <v>100949.5</v>
      </c>
    </row>
    <row r="28" spans="1:6">
      <c r="A28" s="53" t="s">
        <v>5</v>
      </c>
      <c r="B28" s="55">
        <v>-189826</v>
      </c>
      <c r="C28" s="55">
        <v>-191942</v>
      </c>
      <c r="D28" s="56">
        <f t="shared" si="16"/>
        <v>-190884</v>
      </c>
      <c r="E28" s="58">
        <v>1</v>
      </c>
      <c r="F28" s="42">
        <f t="shared" si="15"/>
        <v>-190884</v>
      </c>
    </row>
    <row r="29" spans="1:6" ht="15.4" customHeight="1">
      <c r="A29" s="44" t="s">
        <v>6</v>
      </c>
      <c r="B29" s="62"/>
      <c r="C29" s="62"/>
      <c r="D29" s="62"/>
      <c r="E29" s="62"/>
      <c r="F29" s="45">
        <f>+SUM(F3:F28)</f>
        <v>7131049.1500000004</v>
      </c>
    </row>
    <row r="30" spans="1:6" ht="16.350000000000001" customHeight="1">
      <c r="A30" s="46" t="s">
        <v>7</v>
      </c>
      <c r="B30" s="63"/>
      <c r="C30" s="63"/>
      <c r="D30" s="63"/>
      <c r="E30" s="63"/>
      <c r="F30" s="45">
        <f>F29/12</f>
        <v>594254.09583333333</v>
      </c>
    </row>
    <row r="31" spans="1:6">
      <c r="A31" s="46" t="s">
        <v>8</v>
      </c>
      <c r="B31" s="63"/>
      <c r="C31" s="63"/>
      <c r="D31" s="63"/>
      <c r="E31" s="63"/>
      <c r="F31" s="42">
        <f>RTR!K4</f>
        <v>365479</v>
      </c>
    </row>
    <row r="32" spans="1:6" ht="16.350000000000001" customHeight="1">
      <c r="A32" s="47" t="s">
        <v>9</v>
      </c>
      <c r="B32" s="64"/>
      <c r="C32" s="64"/>
      <c r="D32" s="64"/>
      <c r="E32" s="64"/>
      <c r="F32" s="48">
        <v>1</v>
      </c>
    </row>
    <row r="33" spans="1:6" ht="16.350000000000001" customHeight="1">
      <c r="A33" s="46" t="s">
        <v>10</v>
      </c>
      <c r="B33" s="63"/>
      <c r="C33" s="63"/>
      <c r="D33" s="63"/>
      <c r="E33" s="63"/>
      <c r="F33" s="49">
        <f>(F30*F32)-F31</f>
        <v>228775.09583333333</v>
      </c>
    </row>
    <row r="34" spans="1:6" ht="16.350000000000001" customHeight="1">
      <c r="A34" s="46" t="s">
        <v>11</v>
      </c>
      <c r="B34" s="63"/>
      <c r="C34" s="63"/>
      <c r="D34" s="63"/>
      <c r="E34" s="63"/>
      <c r="F34" s="50">
        <v>180</v>
      </c>
    </row>
    <row r="35" spans="1:6" ht="14.25" customHeight="1">
      <c r="A35" s="46" t="s">
        <v>12</v>
      </c>
      <c r="B35" s="63"/>
      <c r="C35" s="63"/>
      <c r="D35" s="63"/>
      <c r="E35" s="63"/>
      <c r="F35" s="48">
        <v>0.10249999999999999</v>
      </c>
    </row>
    <row r="36" spans="1:6">
      <c r="A36" s="46" t="s">
        <v>13</v>
      </c>
      <c r="B36" s="63"/>
      <c r="C36" s="63"/>
      <c r="D36" s="63"/>
      <c r="E36" s="63"/>
      <c r="F36" s="51">
        <f>PMT(F35/12,F34,-100000)</f>
        <v>1089.9509178041776</v>
      </c>
    </row>
    <row r="37" spans="1:6">
      <c r="A37" s="46" t="s">
        <v>14</v>
      </c>
      <c r="B37" s="63"/>
      <c r="C37" s="63"/>
      <c r="D37" s="63"/>
      <c r="E37" s="63"/>
      <c r="F37" s="52">
        <f>F33/F36</f>
        <v>209.89486048988809</v>
      </c>
    </row>
    <row r="40" spans="1:6" ht="27">
      <c r="A40" s="59"/>
      <c r="B40" s="60" t="s">
        <v>71</v>
      </c>
      <c r="C40" s="60" t="s">
        <v>72</v>
      </c>
      <c r="D40" s="60" t="s">
        <v>73</v>
      </c>
      <c r="E40" s="60" t="s">
        <v>74</v>
      </c>
    </row>
    <row r="41" spans="1:6">
      <c r="A41" s="60" t="s">
        <v>68</v>
      </c>
      <c r="B41" s="60">
        <v>80282842</v>
      </c>
      <c r="C41" s="60">
        <v>45841817</v>
      </c>
      <c r="D41" s="60"/>
      <c r="E41" s="60"/>
    </row>
    <row r="42" spans="1:6">
      <c r="A42" s="60" t="s">
        <v>69</v>
      </c>
      <c r="B42" s="60">
        <v>7265597</v>
      </c>
      <c r="C42" s="60">
        <v>3094322</v>
      </c>
      <c r="D42" s="60"/>
      <c r="E42" s="60"/>
    </row>
    <row r="43" spans="1:6">
      <c r="A43" s="60" t="s">
        <v>70</v>
      </c>
      <c r="B43" s="60">
        <v>308094</v>
      </c>
      <c r="C43" s="60">
        <v>2031025</v>
      </c>
      <c r="D43" s="60"/>
      <c r="E43" s="60"/>
    </row>
    <row r="44" spans="1:6">
      <c r="A44" s="60"/>
      <c r="B44" s="60"/>
      <c r="C44" s="60"/>
      <c r="D44" s="60"/>
      <c r="E44" s="60"/>
    </row>
    <row r="45" spans="1:6">
      <c r="A45" s="60"/>
      <c r="B45" s="60"/>
      <c r="C45" s="60"/>
      <c r="D45" s="60"/>
      <c r="E45" s="60"/>
    </row>
  </sheetData>
  <sheetProtection selectLockedCells="1" selectUnlockedCells="1"/>
  <mergeCells count="10">
    <mergeCell ref="B33:E33"/>
    <mergeCell ref="B34:E34"/>
    <mergeCell ref="B35:E35"/>
    <mergeCell ref="B36:E36"/>
    <mergeCell ref="B37:E37"/>
    <mergeCell ref="B1:C1"/>
    <mergeCell ref="B29:E29"/>
    <mergeCell ref="B30:E30"/>
    <mergeCell ref="B31:E31"/>
    <mergeCell ref="B32:E3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4"/>
  <sheetViews>
    <sheetView zoomScale="89" zoomScaleNormal="89" workbookViewId="0">
      <selection activeCell="K7" sqref="K7"/>
    </sheetView>
  </sheetViews>
  <sheetFormatPr defaultColWidth="22.140625" defaultRowHeight="13.5"/>
  <cols>
    <col min="1" max="1" width="5.28515625" style="25" customWidth="1"/>
    <col min="2" max="2" width="19.85546875" style="25" customWidth="1"/>
    <col min="3" max="3" width="16.85546875" style="25" customWidth="1"/>
    <col min="4" max="4" width="16.42578125" style="25" customWidth="1"/>
    <col min="5" max="5" width="8.5703125" style="25" customWidth="1"/>
    <col min="6" max="6" width="10.28515625" style="25" customWidth="1"/>
    <col min="7" max="7" width="8.42578125" style="25" customWidth="1"/>
    <col min="8" max="8" width="11.140625" style="25" customWidth="1"/>
    <col min="9" max="9" width="9.85546875" style="25" customWidth="1"/>
    <col min="10" max="10" width="10" style="25" customWidth="1"/>
    <col min="11" max="11" width="14.5703125" style="25" customWidth="1"/>
    <col min="12" max="247" width="22.140625" style="25"/>
    <col min="248" max="16384" width="22.140625" style="26"/>
  </cols>
  <sheetData>
    <row r="1" spans="1:11" ht="27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</row>
    <row r="2" spans="1:11" ht="15.75" customHeight="1">
      <c r="A2" s="27">
        <v>1</v>
      </c>
      <c r="B2" s="29">
        <v>30036043280019</v>
      </c>
      <c r="C2" s="34" t="s">
        <v>62</v>
      </c>
      <c r="D2" s="34" t="s">
        <v>63</v>
      </c>
      <c r="E2" s="29" t="s">
        <v>53</v>
      </c>
      <c r="F2" s="29">
        <v>15000000</v>
      </c>
      <c r="G2" s="29">
        <v>180</v>
      </c>
      <c r="H2" s="29">
        <v>16</v>
      </c>
      <c r="I2" s="29">
        <f>180-16</f>
        <v>164</v>
      </c>
      <c r="J2" s="29">
        <v>156634</v>
      </c>
      <c r="K2" s="30" t="s">
        <v>96</v>
      </c>
    </row>
    <row r="3" spans="1:11" ht="27">
      <c r="A3" s="27">
        <v>2</v>
      </c>
      <c r="B3" s="29" t="s">
        <v>64</v>
      </c>
      <c r="C3" s="34" t="s">
        <v>62</v>
      </c>
      <c r="D3" s="34" t="s">
        <v>54</v>
      </c>
      <c r="E3" s="29" t="s">
        <v>53</v>
      </c>
      <c r="F3" s="29">
        <v>20000000</v>
      </c>
      <c r="G3" s="29">
        <v>180</v>
      </c>
      <c r="H3" s="29">
        <v>15</v>
      </c>
      <c r="I3" s="29">
        <f>180-15</f>
        <v>165</v>
      </c>
      <c r="J3" s="29">
        <v>208845</v>
      </c>
      <c r="K3" s="30" t="s">
        <v>96</v>
      </c>
    </row>
    <row r="4" spans="1:11">
      <c r="A4" s="31"/>
      <c r="B4" s="27"/>
      <c r="C4" s="27"/>
      <c r="D4" s="27"/>
      <c r="E4" s="28"/>
      <c r="F4" s="27"/>
      <c r="G4" s="27"/>
      <c r="H4" s="27"/>
      <c r="I4" s="27"/>
      <c r="J4" s="27"/>
      <c r="K4" s="32">
        <f>SUMIF(K2:K3,"Y",J2:J3)</f>
        <v>365479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26</v>
      </c>
      <c r="B1" s="65"/>
      <c r="C1" s="2"/>
    </row>
    <row r="2" spans="1:6" ht="14.25" customHeight="1">
      <c r="A2" s="65" t="s">
        <v>27</v>
      </c>
      <c r="B2" s="65"/>
      <c r="C2" s="2"/>
    </row>
    <row r="5" spans="1:6" ht="27">
      <c r="A5" s="3" t="s">
        <v>15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6:K25"/>
  <sheetViews>
    <sheetView topLeftCell="A10" workbookViewId="0">
      <selection activeCell="K25" sqref="K25"/>
    </sheetView>
  </sheetViews>
  <sheetFormatPr defaultRowHeight="12.75"/>
  <cols>
    <col min="4" max="4" width="23" customWidth="1"/>
    <col min="5" max="5" width="11.140625" customWidth="1"/>
    <col min="6" max="6" width="13.140625" customWidth="1"/>
    <col min="7" max="7" width="12.140625" customWidth="1"/>
    <col min="8" max="8" width="11.28515625" customWidth="1"/>
    <col min="10" max="10" width="9.85546875" customWidth="1"/>
  </cols>
  <sheetData>
    <row r="6" spans="4:11">
      <c r="D6" s="66"/>
      <c r="E6" s="66"/>
      <c r="F6" s="66"/>
      <c r="G6" s="66"/>
      <c r="H6" s="66"/>
      <c r="I6" s="66"/>
      <c r="J6" s="66"/>
      <c r="K6" s="66"/>
    </row>
    <row r="7" spans="4:11" ht="21">
      <c r="D7" s="66"/>
      <c r="E7" s="67"/>
      <c r="F7" s="68" t="s">
        <v>91</v>
      </c>
      <c r="G7" s="69"/>
      <c r="H7" s="70"/>
      <c r="I7" s="66"/>
      <c r="J7" s="66"/>
      <c r="K7" s="66"/>
    </row>
    <row r="8" spans="4:11" ht="30">
      <c r="D8" s="71" t="s">
        <v>92</v>
      </c>
      <c r="E8" s="67"/>
      <c r="F8" s="72"/>
      <c r="G8" s="72"/>
      <c r="H8" s="73"/>
      <c r="I8" s="66"/>
      <c r="J8" s="66"/>
      <c r="K8" s="66"/>
    </row>
    <row r="9" spans="4:11" ht="15">
      <c r="D9" s="74" t="s">
        <v>81</v>
      </c>
      <c r="E9" s="74" t="s">
        <v>82</v>
      </c>
      <c r="F9" s="74" t="s">
        <v>93</v>
      </c>
      <c r="G9" s="74" t="s">
        <v>83</v>
      </c>
      <c r="H9" s="74" t="s">
        <v>84</v>
      </c>
      <c r="I9" s="74" t="s">
        <v>94</v>
      </c>
      <c r="J9" s="74" t="s">
        <v>95</v>
      </c>
      <c r="K9" s="75"/>
    </row>
    <row r="10" spans="4:11" ht="15">
      <c r="D10" s="74" t="s">
        <v>85</v>
      </c>
      <c r="E10" s="76">
        <v>573061.27</v>
      </c>
      <c r="F10" s="75">
        <v>72194.37</v>
      </c>
      <c r="G10" s="76">
        <v>13436.63</v>
      </c>
      <c r="H10" s="76">
        <v>19764.59</v>
      </c>
      <c r="I10" s="76">
        <v>5382.29</v>
      </c>
      <c r="J10" s="76">
        <v>6138.6</v>
      </c>
      <c r="K10" s="75"/>
    </row>
    <row r="11" spans="4:11" ht="15">
      <c r="D11" s="74" t="s">
        <v>86</v>
      </c>
      <c r="E11" s="76">
        <v>35969.870000000003</v>
      </c>
      <c r="F11" s="76">
        <v>101652.73</v>
      </c>
      <c r="G11" s="76">
        <v>100819.5</v>
      </c>
      <c r="H11" s="76">
        <v>32891.19</v>
      </c>
      <c r="I11" s="75">
        <v>32533.64</v>
      </c>
      <c r="J11" s="75">
        <v>71793.7</v>
      </c>
      <c r="K11" s="75"/>
    </row>
    <row r="12" spans="4:11" ht="15">
      <c r="D12" s="74" t="s">
        <v>87</v>
      </c>
      <c r="E12" s="76">
        <v>1717060.77</v>
      </c>
      <c r="F12" s="76">
        <v>153960.43</v>
      </c>
      <c r="G12" s="76">
        <v>470352.2</v>
      </c>
      <c r="H12" s="76">
        <v>44000.69</v>
      </c>
      <c r="I12" s="75">
        <v>11414.34</v>
      </c>
      <c r="J12" s="75">
        <v>73977.67</v>
      </c>
      <c r="K12" s="75"/>
    </row>
    <row r="13" spans="4:11" ht="15">
      <c r="D13" s="74" t="s">
        <v>88</v>
      </c>
      <c r="E13" s="76">
        <v>194984.17</v>
      </c>
      <c r="F13" s="76">
        <v>420196.83</v>
      </c>
      <c r="G13" s="76">
        <v>326506.73</v>
      </c>
      <c r="H13" s="76">
        <v>64040.45</v>
      </c>
      <c r="I13" s="75">
        <v>281572.34000000003</v>
      </c>
      <c r="J13" s="75">
        <v>25877.67</v>
      </c>
      <c r="K13" s="75"/>
    </row>
    <row r="14" spans="4:11" ht="15">
      <c r="D14" s="74" t="s">
        <v>89</v>
      </c>
      <c r="E14" s="75">
        <f>SUM(E10:E13)</f>
        <v>2521076.08</v>
      </c>
      <c r="F14" s="75">
        <f t="shared" ref="F14:J14" si="0">SUM(F10:F13)</f>
        <v>748004.36</v>
      </c>
      <c r="G14" s="75">
        <f>SUM(G10:G13)</f>
        <v>911115.06</v>
      </c>
      <c r="H14" s="75">
        <f>SUM(H10:H13)</f>
        <v>160696.91999999998</v>
      </c>
      <c r="I14" s="75">
        <f t="shared" si="0"/>
        <v>330902.61000000004</v>
      </c>
      <c r="J14" s="75">
        <f t="shared" si="0"/>
        <v>177787.64</v>
      </c>
      <c r="K14" s="74">
        <f>(SUM(E14:J14)/24)</f>
        <v>202065.94458333333</v>
      </c>
    </row>
    <row r="15" spans="4:11">
      <c r="D15" s="66"/>
      <c r="E15" s="66"/>
      <c r="F15" s="66"/>
      <c r="G15" s="66"/>
      <c r="H15" s="66"/>
      <c r="I15" s="66"/>
      <c r="J15" s="66"/>
      <c r="K15" s="66"/>
    </row>
    <row r="16" spans="4:11" ht="21">
      <c r="D16" s="66"/>
      <c r="E16" s="67"/>
      <c r="F16" s="68" t="s">
        <v>91</v>
      </c>
      <c r="G16" s="69"/>
      <c r="H16" s="70"/>
      <c r="I16" s="66"/>
      <c r="J16" s="66"/>
      <c r="K16" s="66"/>
    </row>
    <row r="17" spans="4:11" ht="30">
      <c r="D17" s="71" t="s">
        <v>97</v>
      </c>
      <c r="E17" s="67"/>
      <c r="F17" s="72"/>
      <c r="G17" s="72"/>
      <c r="H17" s="73"/>
      <c r="I17" s="66"/>
      <c r="J17" s="66"/>
      <c r="K17" s="66"/>
    </row>
    <row r="18" spans="4:11" ht="15">
      <c r="D18" s="74" t="s">
        <v>81</v>
      </c>
      <c r="E18" s="74" t="s">
        <v>82</v>
      </c>
      <c r="F18" s="74" t="s">
        <v>93</v>
      </c>
      <c r="G18" s="74" t="s">
        <v>83</v>
      </c>
      <c r="H18" s="74" t="s">
        <v>84</v>
      </c>
      <c r="I18" s="74" t="s">
        <v>94</v>
      </c>
      <c r="J18" s="74" t="s">
        <v>95</v>
      </c>
      <c r="K18" s="75"/>
    </row>
    <row r="19" spans="4:11" ht="15">
      <c r="D19" s="74" t="s">
        <v>85</v>
      </c>
      <c r="E19" s="76">
        <v>431863.94</v>
      </c>
      <c r="F19" s="75">
        <v>291481.94</v>
      </c>
      <c r="G19" s="76">
        <v>44350.77</v>
      </c>
      <c r="H19" s="76">
        <v>101497.55</v>
      </c>
      <c r="I19" s="76"/>
      <c r="J19" s="76"/>
      <c r="K19" s="75"/>
    </row>
    <row r="20" spans="4:11" ht="15">
      <c r="D20" s="74" t="s">
        <v>86</v>
      </c>
      <c r="E20" s="76">
        <v>256770.94</v>
      </c>
      <c r="F20" s="76">
        <v>190339.12</v>
      </c>
      <c r="G20" s="76">
        <v>59871.77</v>
      </c>
      <c r="H20" s="76">
        <v>6677.65</v>
      </c>
      <c r="I20" s="75"/>
      <c r="J20" s="75"/>
      <c r="K20" s="75"/>
    </row>
    <row r="21" spans="4:11" ht="15">
      <c r="D21" s="74" t="s">
        <v>87</v>
      </c>
      <c r="E21" s="76">
        <v>297902.94</v>
      </c>
      <c r="F21" s="76">
        <v>68053.87</v>
      </c>
      <c r="G21" s="76">
        <v>109583.77</v>
      </c>
      <c r="H21" s="76">
        <v>22.05</v>
      </c>
      <c r="I21" s="75"/>
      <c r="J21" s="75"/>
      <c r="K21" s="75"/>
    </row>
    <row r="22" spans="4:11" ht="15">
      <c r="D22" s="74" t="s">
        <v>88</v>
      </c>
      <c r="E22" s="76">
        <v>55800.94</v>
      </c>
      <c r="F22" s="76">
        <v>29751.77</v>
      </c>
      <c r="G22" s="76">
        <v>3586.95</v>
      </c>
      <c r="H22" s="76">
        <v>100254.05</v>
      </c>
      <c r="I22" s="75"/>
      <c r="J22" s="75"/>
      <c r="K22" s="75"/>
    </row>
    <row r="23" spans="4:11" ht="15">
      <c r="D23" s="74" t="s">
        <v>89</v>
      </c>
      <c r="E23" s="75">
        <f>SUM(E19:E22)</f>
        <v>1042338.76</v>
      </c>
      <c r="F23" s="75">
        <f t="shared" ref="F23" si="1">SUM(F19:F22)</f>
        <v>579626.69999999995</v>
      </c>
      <c r="G23" s="75">
        <f>SUM(G19:G22)</f>
        <v>217393.26</v>
      </c>
      <c r="H23" s="75">
        <f>SUM(H19:H22)</f>
        <v>208451.3</v>
      </c>
      <c r="I23" s="75">
        <f t="shared" ref="I23:J23" si="2">SUM(I19:I22)</f>
        <v>0</v>
      </c>
      <c r="J23" s="75">
        <f t="shared" si="2"/>
        <v>0</v>
      </c>
      <c r="K23" s="74">
        <f>(SUM(E23:J23)/24)</f>
        <v>85325.417499999996</v>
      </c>
    </row>
    <row r="24" spans="4:11" ht="15">
      <c r="D24" s="66"/>
      <c r="E24" s="66"/>
      <c r="F24" s="66"/>
      <c r="G24" s="66"/>
      <c r="H24" s="77" t="s">
        <v>90</v>
      </c>
      <c r="I24" s="77"/>
      <c r="J24" s="77"/>
      <c r="K24" s="74">
        <f>202065.9/1089.95</f>
        <v>185.39006376439283</v>
      </c>
    </row>
    <row r="25" spans="4:11">
      <c r="D25" s="66"/>
      <c r="E25" s="66"/>
      <c r="F25" s="66"/>
      <c r="G25" s="66"/>
      <c r="H25" s="66"/>
      <c r="I25" s="66"/>
      <c r="J25" s="66"/>
      <c r="K25" s="66"/>
    </row>
  </sheetData>
  <mergeCells count="3">
    <mergeCell ref="F7:H7"/>
    <mergeCell ref="F16:H16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2020-02-14T07:07:57Z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