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3"/>
  </bookViews>
  <sheets>
    <sheet name="Eligibility" sheetId="1" r:id="rId1"/>
    <sheet name="RTR" sheetId="2" r:id="rId2"/>
    <sheet name="Sheet1" sheetId="5" state="hidden" r:id="rId3"/>
    <sheet name="GTP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F15" i="1"/>
  <c r="D11"/>
  <c r="D12"/>
  <c r="F12" s="1"/>
  <c r="D13"/>
  <c r="D14"/>
  <c r="F14" s="1"/>
  <c r="F13"/>
  <c r="F11"/>
  <c r="F22"/>
  <c r="D18" i="6"/>
  <c r="D9"/>
  <c r="E17"/>
  <c r="C6" i="1" l="1"/>
  <c r="B6"/>
  <c r="G5"/>
  <c r="G17" i="6"/>
  <c r="F17"/>
  <c r="G9"/>
  <c r="G10" s="1"/>
  <c r="G12" s="1"/>
  <c r="G14" s="1"/>
  <c r="G18" s="1"/>
  <c r="F9"/>
  <c r="F10" s="1"/>
  <c r="F12" s="1"/>
  <c r="F14" s="1"/>
  <c r="F18" s="1"/>
  <c r="E9"/>
  <c r="E10" s="1"/>
  <c r="E12" s="1"/>
  <c r="E14" s="1"/>
  <c r="D10"/>
  <c r="D12" s="1"/>
  <c r="D14" s="1"/>
  <c r="D6" i="1"/>
  <c r="F6" s="1"/>
  <c r="D8"/>
  <c r="F8" s="1"/>
  <c r="J12" i="2"/>
  <c r="F17" i="1" s="1"/>
  <c r="D3"/>
  <c r="F3" s="1"/>
  <c r="D4"/>
  <c r="F4" s="1"/>
  <c r="D5"/>
  <c r="D9"/>
  <c r="F9" s="1"/>
  <c r="F6" i="5"/>
  <c r="F7"/>
  <c r="F13" s="1"/>
  <c r="F8"/>
  <c r="F9"/>
  <c r="F10"/>
  <c r="F11"/>
  <c r="F12"/>
  <c r="E13"/>
  <c r="E18" i="6" l="1"/>
  <c r="D7" i="1"/>
  <c r="F7" s="1"/>
  <c r="F5"/>
  <c r="F16" l="1"/>
  <c r="F19" s="1"/>
  <c r="F23" s="1"/>
</calcChain>
</file>

<file path=xl/sharedStrings.xml><?xml version="1.0" encoding="utf-8"?>
<sst xmlns="http://schemas.openxmlformats.org/spreadsheetml/2006/main" count="133" uniqueCount="98">
  <si>
    <t xml:space="preserve">FINANCIAL YEAR </t>
  </si>
  <si>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</si>
  <si>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</si>
  <si>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</si>
  <si>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</si>
  <si>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</si>
  <si>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</si>
  <si>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</si>
  <si>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</si>
  <si>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</si>
  <si>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</si>
  <si>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</si>
  <si>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</si>
  <si>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</si>
  <si>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</si>
  <si>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</si>
  <si>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</si>
  <si>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</si>
  <si>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</si>
  <si>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</si>
  <si>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</si>
  <si>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</si>
  <si>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</si>
  <si>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</si>
  <si>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</si>
  <si>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</si>
  <si>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</si>
  <si>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</si>
  <si>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</si>
  <si>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</si>
  <si>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</si>
  <si>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</si>
  <si>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</si>
  <si>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</si>
  <si>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</si>
  <si>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</si>
  <si>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</si>
  <si>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</si>
  <si>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</si>
  <si>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</si>
  <si>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</si>
  <si>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</si>
  <si>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</si>
  <si>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</si>
  <si>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</si>
  <si>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</si>
  <si>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</si>
  <si>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</si>
  <si>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</si>
  <si>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</si>
  <si>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2017-2018</t>
  </si>
  <si>
    <t>2016-2017</t>
  </si>
  <si>
    <t>AUTO LOAN</t>
  </si>
  <si>
    <t>DOD</t>
  </si>
  <si>
    <t>N</t>
  </si>
  <si>
    <t>Darshan karyana  Store</t>
  </si>
  <si>
    <t>Roshan lal</t>
  </si>
  <si>
    <t>Income From house property</t>
  </si>
  <si>
    <t>HDFC</t>
  </si>
  <si>
    <t>TCFBL03630000102258</t>
  </si>
  <si>
    <t>NHL/LUD/0518/528077</t>
  </si>
  <si>
    <t xml:space="preserve">Darshan </t>
  </si>
  <si>
    <t>HDFC LTD</t>
  </si>
  <si>
    <t>FULLERTON</t>
  </si>
  <si>
    <t>TATA</t>
  </si>
  <si>
    <t>KOTAK</t>
  </si>
  <si>
    <t>PNB</t>
  </si>
  <si>
    <t>ALLAHABAD</t>
  </si>
  <si>
    <t>LAP</t>
  </si>
  <si>
    <t>BL</t>
  </si>
  <si>
    <t>CC</t>
  </si>
  <si>
    <t>mohan machinery mart\</t>
  </si>
  <si>
    <t>Applicant 2</t>
  </si>
  <si>
    <t>Applicant 3</t>
  </si>
  <si>
    <t>Applicant 4</t>
  </si>
  <si>
    <t>Client ID</t>
  </si>
  <si>
    <t>Loan Amount</t>
  </si>
  <si>
    <t>Turnover-Current Year</t>
  </si>
  <si>
    <t>Gross Profit-Current Year</t>
  </si>
  <si>
    <t>Total Monthly Income</t>
  </si>
  <si>
    <t>Gross Eligible Income</t>
  </si>
  <si>
    <t>Foir</t>
  </si>
  <si>
    <t>Foir (50%)</t>
  </si>
  <si>
    <t>Less – Deductions</t>
  </si>
  <si>
    <t>Net Income Available For Current Loan</t>
  </si>
  <si>
    <t>Rate Of Interest</t>
  </si>
  <si>
    <t>Tenor Applicable</t>
  </si>
  <si>
    <t>Emi Per Lakh</t>
  </si>
  <si>
    <t>Max. Eligible Loan On Foir Basis ( In Rs. )</t>
  </si>
  <si>
    <t>31/3/19</t>
  </si>
  <si>
    <t>Paid</t>
  </si>
  <si>
    <t xml:space="preserve">Bank interest </t>
  </si>
  <si>
    <t>Intrest on loan  ( CC &amp; HDFC)</t>
  </si>
  <si>
    <t>CFL</t>
  </si>
  <si>
    <t>n</t>
  </si>
  <si>
    <t>CSG-152964293</t>
  </si>
  <si>
    <t>Gaurav</t>
  </si>
  <si>
    <t>Business Income u/s 44 AD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</si>
</sst>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7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10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indexed="10"/>
      <name val="Cambria"/>
      <family val="1"/>
      <scheme val="maj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indexed="22"/>
        <bgColor indexed="31"/>
      </patternFill>
    </fill>
    <fill>
      <patternFill patternType="solid">
        <fgColor rgb="FFFFC000"/>
        <bgColor indexed="26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82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4" borderId="6" xfId="1" applyNumberFormat="1" applyFont="1" applyFill="1" applyBorder="1" applyAlignment="1" applyProtection="1">
      <alignment horizontal="left"/>
    </xf>
    <xf numFmtId="165" fontId="8" fillId="2" borderId="5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9" fillId="0" borderId="0" xfId="0" applyFont="1" applyAlignment="1">
      <alignment vertical="center"/>
    </xf>
    <xf numFmtId="0" fontId="10" fillId="7" borderId="11" xfId="0" applyNumberFormat="1" applyFont="1" applyFill="1" applyBorder="1" applyAlignment="1" applyProtection="1">
      <alignment vertical="center" wrapText="1"/>
    </xf>
    <xf numFmtId="2" fontId="10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1" xfId="0" applyNumberFormat="1" applyFont="1" applyFill="1" applyBorder="1" applyAlignment="1" applyProtection="1">
      <alignment vertical="center" wrapText="1"/>
    </xf>
    <xf numFmtId="2" fontId="11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12" fillId="0" borderId="11" xfId="0" applyNumberFormat="1" applyFont="1" applyFill="1" applyBorder="1" applyAlignment="1" applyProtection="1">
      <alignment vertical="center" wrapText="1"/>
    </xf>
    <xf numFmtId="2" fontId="12" fillId="0" borderId="11" xfId="0" applyNumberFormat="1" applyFont="1" applyFill="1" applyBorder="1" applyAlignment="1" applyProtection="1">
      <alignment horizontal="right" vertical="center" wrapText="1"/>
      <protection hidden="1"/>
    </xf>
    <xf numFmtId="0" fontId="9" fillId="0" borderId="11" xfId="0" applyNumberFormat="1" applyFont="1" applyFill="1" applyBorder="1" applyAlignment="1" applyProtection="1">
      <alignment vertical="center" wrapText="1"/>
    </xf>
    <xf numFmtId="2" fontId="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11" fillId="0" borderId="11" xfId="0" applyFont="1" applyBorder="1" applyAlignment="1" applyProtection="1">
      <alignment vertical="center" wrapText="1"/>
    </xf>
    <xf numFmtId="0" fontId="13" fillId="3" borderId="6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/>
    <xf numFmtId="1" fontId="14" fillId="2" borderId="7" xfId="0" applyNumberFormat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 applyProtection="1">
      <alignment horizontal="left"/>
    </xf>
    <xf numFmtId="165" fontId="8" fillId="3" borderId="2" xfId="1" applyNumberFormat="1" applyFont="1" applyFill="1" applyBorder="1" applyAlignment="1" applyProtection="1">
      <alignment horizontal="left"/>
    </xf>
    <xf numFmtId="165" fontId="8" fillId="3" borderId="4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6" xfId="1" applyNumberFormat="1" applyFont="1" applyFill="1" applyBorder="1" applyAlignment="1" applyProtection="1">
      <alignment horizontal="left"/>
    </xf>
    <xf numFmtId="166" fontId="8" fillId="2" borderId="5" xfId="1" applyNumberFormat="1" applyFont="1" applyFill="1" applyBorder="1" applyAlignment="1" applyProtection="1">
      <alignment horizontal="left"/>
    </xf>
    <xf numFmtId="166" fontId="8" fillId="0" borderId="5" xfId="1" applyNumberFormat="1" applyFont="1" applyFill="1" applyBorder="1" applyAlignment="1" applyProtection="1">
      <alignment horizontal="left"/>
    </xf>
    <xf numFmtId="9" fontId="8" fillId="2" borderId="5" xfId="1" applyNumberFormat="1" applyFont="1" applyFill="1" applyBorder="1" applyAlignment="1" applyProtection="1">
      <alignment horizontal="left"/>
    </xf>
    <xf numFmtId="0" fontId="8" fillId="2" borderId="5" xfId="3" applyFont="1" applyFill="1" applyBorder="1" applyAlignment="1">
      <alignment horizontal="left" vertical="top" wrapText="1"/>
    </xf>
    <xf numFmtId="0" fontId="8" fillId="2" borderId="5" xfId="3" applyFont="1" applyFill="1" applyBorder="1" applyAlignment="1">
      <alignment horizontal="left"/>
    </xf>
    <xf numFmtId="164" fontId="8" fillId="4" borderId="7" xfId="1" applyFont="1" applyFill="1" applyBorder="1" applyAlignment="1" applyProtection="1">
      <alignment horizontal="left"/>
    </xf>
    <xf numFmtId="0" fontId="8" fillId="4" borderId="8" xfId="0" applyNumberFormat="1" applyFont="1" applyFill="1" applyBorder="1" applyAlignment="1">
      <alignment horizontal="left"/>
    </xf>
    <xf numFmtId="0" fontId="8" fillId="4" borderId="9" xfId="0" applyNumberFormat="1" applyFont="1" applyFill="1" applyBorder="1" applyAlignment="1">
      <alignment horizontal="left"/>
    </xf>
    <xf numFmtId="0" fontId="8" fillId="4" borderId="10" xfId="0" applyNumberFormat="1" applyFont="1" applyFill="1" applyBorder="1" applyAlignment="1">
      <alignment horizontal="left"/>
    </xf>
    <xf numFmtId="167" fontId="8" fillId="4" borderId="7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>
      <alignment horizontal="left"/>
    </xf>
    <xf numFmtId="167" fontId="8" fillId="4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165" fontId="8" fillId="0" borderId="3" xfId="1" applyNumberFormat="1" applyFont="1" applyFill="1" applyBorder="1" applyAlignment="1" applyProtection="1">
      <alignment horizontal="left"/>
    </xf>
    <xf numFmtId="165" fontId="8" fillId="0" borderId="4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2" fontId="8" fillId="4" borderId="1" xfId="4" applyNumberFormat="1" applyFont="1" applyFill="1" applyBorder="1" applyAlignment="1" applyProtection="1">
      <alignment horizontal="left"/>
    </xf>
    <xf numFmtId="168" fontId="8" fillId="3" borderId="2" xfId="1" applyNumberFormat="1" applyFont="1" applyFill="1" applyBorder="1" applyAlignment="1" applyProtection="1">
      <alignment horizontal="left"/>
    </xf>
    <xf numFmtId="168" fontId="8" fillId="3" borderId="3" xfId="1" applyNumberFormat="1" applyFont="1" applyFill="1" applyBorder="1" applyAlignment="1" applyProtection="1">
      <alignment horizontal="left"/>
    </xf>
    <xf numFmtId="168" fontId="8" fillId="3" borderId="4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5" fillId="0" borderId="0" xfId="0" applyFont="1" applyBorder="1" applyAlignment="1">
      <alignment horizontal="center"/>
    </xf>
    <xf numFmtId="0" fontId="15" fillId="0" borderId="0" xfId="0" applyFont="1" applyAlignment="1"/>
    <xf numFmtId="0" fontId="10" fillId="8" borderId="11" xfId="0" applyNumberFormat="1" applyFont="1" applyFill="1" applyBorder="1" applyAlignment="1" applyProtection="1">
      <alignment vertical="center" wrapText="1"/>
    </xf>
    <xf numFmtId="2" fontId="10" fillId="8" borderId="11" xfId="0" applyNumberFormat="1" applyFont="1" applyFill="1" applyBorder="1" applyAlignment="1" applyProtection="1">
      <alignment horizontal="center" vertical="center" wrapText="1"/>
    </xf>
    <xf numFmtId="0" fontId="16" fillId="8" borderId="11" xfId="0" applyNumberFormat="1" applyFont="1" applyFill="1" applyBorder="1" applyAlignment="1" applyProtection="1">
      <alignment vertical="center" wrapText="1"/>
    </xf>
    <xf numFmtId="2" fontId="16" fillId="8" borderId="11" xfId="0" applyNumberFormat="1" applyFont="1" applyFill="1" applyBorder="1" applyAlignment="1" applyProtection="1">
      <alignment horizontal="right" vertical="center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14" fillId="0" borderId="5" xfId="0" applyFont="1" applyFill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164" fontId="8" fillId="4" borderId="1" xfId="4" applyNumberFormat="1" applyFont="1" applyFill="1" applyBorder="1" applyAlignment="1" applyProtection="1">
      <alignment horizontal="left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24"/>
  <sheetViews>
    <sheetView topLeftCell="A3" zoomScale="130" zoomScaleNormal="130" workbookViewId="0">
      <selection activeCell="C14" sqref="C14"/>
    </sheetView>
  </sheetViews>
  <sheetFormatPr defaultColWidth="31.28515625" defaultRowHeight="12"/>
  <cols>
    <col min="1" max="1" width="35.140625" style="68" customWidth="1"/>
    <col min="2" max="2" width="12.42578125" style="68" customWidth="1"/>
    <col min="3" max="3" width="12" style="68" customWidth="1"/>
    <col min="4" max="4" width="14.140625" style="68" customWidth="1"/>
    <col min="5" max="5" width="13.85546875" style="68" customWidth="1"/>
    <col min="6" max="6" width="17.85546875" style="68" customWidth="1"/>
    <col min="7" max="7" width="12.28515625" style="68" customWidth="1"/>
    <col min="8" max="8" width="14.7109375" style="68" customWidth="1"/>
    <col min="9" max="9" width="11.85546875" style="68" customWidth="1"/>
    <col min="10" max="10" width="14.5703125" style="68" customWidth="1"/>
    <col min="11" max="12" width="13.140625" style="68" customWidth="1"/>
    <col min="13" max="13" width="13.7109375" style="68" customWidth="1"/>
    <col min="14" max="14" width="14.140625" style="68" customWidth="1"/>
    <col min="15" max="15" width="11.85546875" style="68" customWidth="1"/>
    <col min="16" max="16" width="12" style="68" customWidth="1"/>
    <col min="17" max="17" width="11" style="68" customWidth="1"/>
    <col min="18" max="18" width="11.5703125" style="68" customWidth="1"/>
    <col min="19" max="19" width="12" style="68" customWidth="1"/>
    <col min="20" max="237" width="31.28515625" style="68"/>
    <col min="238" max="245" width="31.28515625" style="69"/>
    <col min="246" max="247" width="31.28515625" style="70"/>
    <col min="248" max="16384" width="31.28515625" style="42"/>
  </cols>
  <sheetData>
    <row r="1" spans="1:247" ht="10.5" customHeight="1">
      <c r="A1" s="37" t="s">
        <v>55</v>
      </c>
      <c r="B1" s="38" t="s">
        <v>0</v>
      </c>
      <c r="C1" s="39"/>
      <c r="D1" s="37" t="s">
        <v>1</v>
      </c>
      <c r="E1" s="37"/>
      <c r="F1" s="37" t="s">
        <v>53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1"/>
      <c r="IE1" s="41"/>
      <c r="IF1" s="41"/>
      <c r="IG1" s="41"/>
      <c r="IH1" s="41"/>
      <c r="II1" s="41"/>
      <c r="IJ1" s="41"/>
      <c r="IK1" s="41"/>
      <c r="IL1" s="42"/>
      <c r="IM1" s="42"/>
    </row>
    <row r="2" spans="1:247" ht="10.5" customHeight="1">
      <c r="A2" s="20" t="s">
        <v>56</v>
      </c>
      <c r="B2" s="20" t="s">
        <v>50</v>
      </c>
      <c r="C2" s="20" t="s">
        <v>51</v>
      </c>
      <c r="D2" s="20" t="s">
        <v>33</v>
      </c>
      <c r="E2" s="43" t="s">
        <v>2</v>
      </c>
      <c r="F2" s="20" t="s">
        <v>34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1"/>
      <c r="IE2" s="41"/>
      <c r="IF2" s="41"/>
      <c r="IG2" s="41"/>
      <c r="IH2" s="41"/>
      <c r="II2" s="41"/>
      <c r="IJ2" s="41"/>
      <c r="IK2" s="41"/>
      <c r="IL2" s="42"/>
      <c r="IM2" s="42"/>
    </row>
    <row r="3" spans="1:247" ht="10.5" customHeight="1">
      <c r="A3" s="21" t="s">
        <v>46</v>
      </c>
      <c r="B3" s="44">
        <v>1017071.68</v>
      </c>
      <c r="C3" s="45">
        <v>981985.09</v>
      </c>
      <c r="D3" s="21">
        <f t="shared" ref="D3:D9" si="0">AVERAGE(B3:C3)</f>
        <v>999528.38500000001</v>
      </c>
      <c r="E3" s="46">
        <v>1</v>
      </c>
      <c r="F3" s="21">
        <f t="shared" ref="F3:F9" si="1">E3*D3</f>
        <v>999528.38500000001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1"/>
      <c r="IE3" s="41"/>
      <c r="IF3" s="41"/>
      <c r="IG3" s="41"/>
      <c r="IH3" s="41"/>
      <c r="II3" s="41"/>
      <c r="IJ3" s="41"/>
      <c r="IK3" s="41"/>
      <c r="IL3" s="42"/>
      <c r="IM3" s="42"/>
    </row>
    <row r="4" spans="1:247" ht="10.5" customHeight="1">
      <c r="A4" s="21" t="s">
        <v>47</v>
      </c>
      <c r="B4" s="44">
        <v>281695</v>
      </c>
      <c r="C4" s="45">
        <v>324306</v>
      </c>
      <c r="D4" s="21">
        <f t="shared" si="0"/>
        <v>303000.5</v>
      </c>
      <c r="E4" s="46">
        <v>1</v>
      </c>
      <c r="F4" s="21">
        <f t="shared" si="1"/>
        <v>303000.5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1"/>
      <c r="IE4" s="41"/>
      <c r="IF4" s="41"/>
      <c r="IG4" s="41"/>
      <c r="IH4" s="41"/>
      <c r="II4" s="41"/>
      <c r="IJ4" s="41"/>
      <c r="IK4" s="41"/>
      <c r="IL4" s="42"/>
      <c r="IM4" s="42"/>
    </row>
    <row r="5" spans="1:247" ht="10.5" customHeight="1">
      <c r="A5" s="21" t="s">
        <v>91</v>
      </c>
      <c r="B5" s="44">
        <v>81585</v>
      </c>
      <c r="C5" s="45">
        <v>89180.1</v>
      </c>
      <c r="D5" s="21">
        <f t="shared" si="0"/>
        <v>85382.55</v>
      </c>
      <c r="E5" s="46">
        <v>1</v>
      </c>
      <c r="F5" s="21">
        <f t="shared" si="1"/>
        <v>85382.55</v>
      </c>
      <c r="G5" s="47">
        <f>8936766+107694097+3614086+10291642+10004608+7350043+9012973+11803316+9799785+6317707+14133095+10322666+9255154</f>
        <v>218535938</v>
      </c>
      <c r="H5" s="47" t="s">
        <v>89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1"/>
      <c r="IE5" s="41"/>
      <c r="IF5" s="41"/>
      <c r="IG5" s="41"/>
      <c r="IH5" s="41"/>
      <c r="II5" s="41"/>
      <c r="IJ5" s="41"/>
      <c r="IK5" s="41"/>
      <c r="IL5" s="42"/>
      <c r="IM5" s="42"/>
    </row>
    <row r="6" spans="1:247" ht="10.5" customHeight="1">
      <c r="A6" s="21" t="s">
        <v>57</v>
      </c>
      <c r="B6" s="44">
        <f>611341+262004</f>
        <v>873345</v>
      </c>
      <c r="C6" s="45">
        <f>666918+285822</f>
        <v>952740</v>
      </c>
      <c r="D6" s="21">
        <f t="shared" ref="D6" si="2">AVERAGE(B6:C6)</f>
        <v>913042.5</v>
      </c>
      <c r="E6" s="46">
        <v>0.25</v>
      </c>
      <c r="F6" s="21">
        <f t="shared" ref="F6" si="3">E6*D6</f>
        <v>228260.625</v>
      </c>
      <c r="G6" s="40">
        <v>178005184</v>
      </c>
      <c r="H6" s="40">
        <v>18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1"/>
      <c r="IE6" s="41"/>
      <c r="IF6" s="41"/>
      <c r="IG6" s="41"/>
      <c r="IH6" s="41"/>
      <c r="II6" s="41"/>
      <c r="IJ6" s="41"/>
      <c r="IK6" s="41"/>
      <c r="IL6" s="42"/>
      <c r="IM6" s="42"/>
    </row>
    <row r="7" spans="1:247" ht="10.5" customHeight="1">
      <c r="A7" s="21" t="s">
        <v>92</v>
      </c>
      <c r="B7" s="48">
        <v>754766</v>
      </c>
      <c r="C7" s="44">
        <v>716713</v>
      </c>
      <c r="D7" s="21">
        <f t="shared" si="0"/>
        <v>735739.5</v>
      </c>
      <c r="E7" s="46">
        <v>1</v>
      </c>
      <c r="F7" s="21">
        <f t="shared" si="1"/>
        <v>735739.5</v>
      </c>
      <c r="G7" s="40">
        <v>161663792</v>
      </c>
      <c r="H7" s="40">
        <v>17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1"/>
      <c r="IE7" s="41"/>
      <c r="IF7" s="41"/>
      <c r="IG7" s="41"/>
      <c r="IH7" s="41"/>
      <c r="II7" s="41"/>
      <c r="IJ7" s="41"/>
      <c r="IK7" s="41"/>
      <c r="IL7" s="42"/>
      <c r="IM7" s="42"/>
    </row>
    <row r="8" spans="1:247" ht="10.5" customHeight="1">
      <c r="A8" s="21" t="s">
        <v>49</v>
      </c>
      <c r="B8" s="48">
        <v>15362</v>
      </c>
      <c r="C8" s="44">
        <v>0</v>
      </c>
      <c r="D8" s="21">
        <f t="shared" ref="D8" si="4">AVERAGE(B8:C8)</f>
        <v>7681</v>
      </c>
      <c r="E8" s="46">
        <v>0.5</v>
      </c>
      <c r="F8" s="21">
        <f t="shared" ref="F8" si="5">E8*D8</f>
        <v>3840.5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1"/>
      <c r="IE8" s="41"/>
      <c r="IF8" s="41"/>
      <c r="IG8" s="41"/>
      <c r="IH8" s="41"/>
      <c r="II8" s="41"/>
      <c r="IJ8" s="41"/>
      <c r="IK8" s="41"/>
      <c r="IL8" s="42"/>
      <c r="IM8" s="42"/>
    </row>
    <row r="9" spans="1:247" ht="10.5" customHeight="1">
      <c r="A9" s="21" t="s">
        <v>35</v>
      </c>
      <c r="B9" s="44">
        <v>-284592</v>
      </c>
      <c r="C9" s="44">
        <v>-291399</v>
      </c>
      <c r="D9" s="21">
        <f t="shared" si="0"/>
        <v>-287995.5</v>
      </c>
      <c r="E9" s="46">
        <v>1</v>
      </c>
      <c r="F9" s="21">
        <f t="shared" si="1"/>
        <v>-287995.5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1"/>
      <c r="IE9" s="41"/>
      <c r="IF9" s="41"/>
      <c r="IG9" s="41"/>
      <c r="IH9" s="41"/>
      <c r="II9" s="41"/>
      <c r="IJ9" s="41"/>
      <c r="IK9" s="41"/>
      <c r="IL9" s="42"/>
      <c r="IM9" s="42"/>
    </row>
    <row r="10" spans="1:247" ht="10.5" customHeight="1">
      <c r="A10" s="20" t="s">
        <v>96</v>
      </c>
      <c r="B10" s="20" t="s">
        <v>50</v>
      </c>
      <c r="C10" s="20" t="s">
        <v>51</v>
      </c>
      <c r="D10" s="20" t="s">
        <v>33</v>
      </c>
      <c r="E10" s="43" t="s">
        <v>2</v>
      </c>
      <c r="F10" s="20" t="s">
        <v>34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1"/>
      <c r="IE10" s="41"/>
      <c r="IF10" s="41"/>
      <c r="IG10" s="41"/>
      <c r="IH10" s="41"/>
      <c r="II10" s="41"/>
      <c r="IJ10" s="41"/>
      <c r="IK10" s="41"/>
      <c r="IL10" s="42"/>
      <c r="IM10" s="42"/>
    </row>
    <row r="11" spans="1:247" ht="10.5" customHeight="1">
      <c r="A11" s="21" t="s">
        <v>57</v>
      </c>
      <c r="B11" s="44">
        <v>666918</v>
      </c>
      <c r="C11" s="45">
        <v>666918</v>
      </c>
      <c r="D11" s="21">
        <f>AVERAGE(B11:C11)</f>
        <v>666918</v>
      </c>
      <c r="E11" s="46">
        <v>1</v>
      </c>
      <c r="F11" s="21">
        <f t="shared" ref="F11:F14" si="6">E11*D11</f>
        <v>666918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1"/>
      <c r="IE11" s="41"/>
      <c r="IF11" s="41"/>
      <c r="IG11" s="41"/>
      <c r="IH11" s="41"/>
      <c r="II11" s="41"/>
      <c r="IJ11" s="41"/>
      <c r="IK11" s="41"/>
      <c r="IL11" s="42"/>
      <c r="IM11" s="42"/>
    </row>
    <row r="12" spans="1:247" ht="10.5" customHeight="1">
      <c r="A12" s="21" t="s">
        <v>97</v>
      </c>
      <c r="B12" s="44">
        <v>144170</v>
      </c>
      <c r="C12" s="45">
        <v>95400</v>
      </c>
      <c r="D12" s="21">
        <f>AVERAGE(B12:C12)</f>
        <v>119785</v>
      </c>
      <c r="E12" s="46">
        <v>1</v>
      </c>
      <c r="F12" s="21">
        <f t="shared" si="6"/>
        <v>119785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1"/>
      <c r="IE12" s="41"/>
      <c r="IF12" s="41"/>
      <c r="IG12" s="41"/>
      <c r="IH12" s="41"/>
      <c r="II12" s="41"/>
      <c r="IJ12" s="41"/>
      <c r="IK12" s="41"/>
      <c r="IL12" s="42"/>
      <c r="IM12" s="42"/>
    </row>
    <row r="13" spans="1:247" ht="10.5" customHeight="1">
      <c r="A13" s="21" t="s">
        <v>49</v>
      </c>
      <c r="B13" s="44">
        <v>17683</v>
      </c>
      <c r="C13" s="45">
        <v>0</v>
      </c>
      <c r="D13" s="21">
        <f>AVERAGE(B13:C13)</f>
        <v>8841.5</v>
      </c>
      <c r="E13" s="46">
        <v>0.5</v>
      </c>
      <c r="F13" s="21">
        <f t="shared" si="6"/>
        <v>4420.75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1"/>
      <c r="IE13" s="41"/>
      <c r="IF13" s="41"/>
      <c r="IG13" s="41"/>
      <c r="IH13" s="41"/>
      <c r="II13" s="41"/>
      <c r="IJ13" s="41"/>
      <c r="IK13" s="41"/>
      <c r="IL13" s="42"/>
      <c r="IM13" s="42"/>
    </row>
    <row r="14" spans="1:247" ht="10.5" customHeight="1">
      <c r="A14" s="21" t="s">
        <v>35</v>
      </c>
      <c r="B14" s="44">
        <v>-47753</v>
      </c>
      <c r="C14" s="44">
        <v>-54085</v>
      </c>
      <c r="D14" s="21">
        <f>AVERAGE(B14:C14)</f>
        <v>-50919</v>
      </c>
      <c r="E14" s="46">
        <v>1</v>
      </c>
      <c r="F14" s="21">
        <f t="shared" si="6"/>
        <v>-50919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1"/>
      <c r="IE14" s="41"/>
      <c r="IF14" s="41"/>
      <c r="IG14" s="41"/>
      <c r="IH14" s="41"/>
      <c r="II14" s="41"/>
      <c r="IJ14" s="41"/>
      <c r="IK14" s="41"/>
      <c r="IL14" s="42"/>
      <c r="IM14" s="42"/>
    </row>
    <row r="15" spans="1:247" ht="10.5" customHeight="1">
      <c r="A15" s="49" t="s">
        <v>36</v>
      </c>
      <c r="B15" s="50"/>
      <c r="C15" s="51"/>
      <c r="D15" s="51"/>
      <c r="E15" s="52"/>
      <c r="F15" s="53">
        <f>+SUM(F3:F14)</f>
        <v>2807961.31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1"/>
      <c r="IE15" s="41"/>
      <c r="IF15" s="41"/>
      <c r="IG15" s="41"/>
      <c r="IH15" s="41"/>
      <c r="II15" s="41"/>
      <c r="IJ15" s="41"/>
      <c r="IK15" s="41"/>
      <c r="IL15" s="42"/>
      <c r="IM15" s="42"/>
    </row>
    <row r="16" spans="1:247" ht="10.5" customHeight="1">
      <c r="A16" s="22" t="s">
        <v>37</v>
      </c>
      <c r="B16" s="54"/>
      <c r="C16" s="55"/>
      <c r="D16" s="55"/>
      <c r="E16" s="56"/>
      <c r="F16" s="57">
        <f>F15/12</f>
        <v>233996.77583333335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1"/>
      <c r="IE16" s="41"/>
      <c r="IF16" s="41"/>
      <c r="IG16" s="41"/>
      <c r="IH16" s="41"/>
      <c r="II16" s="41"/>
      <c r="IJ16" s="41"/>
      <c r="IK16" s="41"/>
      <c r="IL16" s="42"/>
      <c r="IM16" s="42"/>
    </row>
    <row r="17" spans="1:247" ht="10.5" customHeight="1">
      <c r="A17" s="22" t="s">
        <v>38</v>
      </c>
      <c r="B17" s="54"/>
      <c r="C17" s="55"/>
      <c r="D17" s="55"/>
      <c r="E17" s="56"/>
      <c r="F17" s="58">
        <f>RTR!J12</f>
        <v>0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1"/>
      <c r="IE17" s="41"/>
      <c r="IF17" s="41"/>
      <c r="IG17" s="41"/>
      <c r="IH17" s="41"/>
      <c r="II17" s="41"/>
      <c r="IJ17" s="41"/>
      <c r="IK17" s="41"/>
      <c r="IL17" s="42"/>
      <c r="IM17" s="42"/>
    </row>
    <row r="18" spans="1:247" ht="10.5" customHeight="1">
      <c r="A18" s="22" t="s">
        <v>39</v>
      </c>
      <c r="B18" s="59"/>
      <c r="C18" s="60"/>
      <c r="D18" s="60"/>
      <c r="E18" s="61"/>
      <c r="F18" s="62">
        <v>0.65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1"/>
      <c r="IE18" s="41"/>
      <c r="IF18" s="41"/>
      <c r="IG18" s="41"/>
      <c r="IH18" s="41"/>
      <c r="II18" s="41"/>
      <c r="IJ18" s="41"/>
      <c r="IK18" s="41"/>
      <c r="IL18" s="42"/>
      <c r="IM18" s="42"/>
    </row>
    <row r="19" spans="1:247" ht="10.5" customHeight="1">
      <c r="A19" s="22" t="s">
        <v>40</v>
      </c>
      <c r="B19" s="54"/>
      <c r="C19" s="55"/>
      <c r="D19" s="55"/>
      <c r="E19" s="56"/>
      <c r="F19" s="63">
        <f>(F16*F18)-F17</f>
        <v>152097.90429166669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1"/>
      <c r="IE19" s="41"/>
      <c r="IF19" s="41"/>
      <c r="IG19" s="41"/>
      <c r="IH19" s="41"/>
      <c r="II19" s="41"/>
      <c r="IJ19" s="41"/>
      <c r="IK19" s="41"/>
      <c r="IL19" s="42"/>
      <c r="IM19" s="42"/>
    </row>
    <row r="20" spans="1:247" ht="10.5" customHeight="1">
      <c r="A20" s="22" t="s">
        <v>41</v>
      </c>
      <c r="B20" s="54"/>
      <c r="C20" s="55"/>
      <c r="D20" s="55"/>
      <c r="E20" s="56"/>
      <c r="F20" s="22">
        <v>180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1"/>
      <c r="IE20" s="41"/>
      <c r="IF20" s="41"/>
      <c r="IG20" s="41"/>
      <c r="IH20" s="41"/>
      <c r="II20" s="41"/>
      <c r="IJ20" s="41"/>
      <c r="IK20" s="41"/>
      <c r="IL20" s="42"/>
      <c r="IM20" s="42"/>
    </row>
    <row r="21" spans="1:247" ht="10.5" customHeight="1">
      <c r="A21" s="22" t="s">
        <v>42</v>
      </c>
      <c r="B21" s="54"/>
      <c r="C21" s="55"/>
      <c r="D21" s="55"/>
      <c r="E21" s="56"/>
      <c r="F21" s="62">
        <v>0.1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1"/>
      <c r="IE21" s="41"/>
      <c r="IF21" s="41"/>
      <c r="IG21" s="41"/>
      <c r="IH21" s="41"/>
      <c r="II21" s="41"/>
      <c r="IJ21" s="41"/>
      <c r="IK21" s="41"/>
      <c r="IL21" s="42"/>
      <c r="IM21" s="42"/>
    </row>
    <row r="22" spans="1:247" ht="10.5" customHeight="1">
      <c r="A22" s="22" t="s">
        <v>43</v>
      </c>
      <c r="B22" s="54"/>
      <c r="C22" s="55"/>
      <c r="D22" s="55"/>
      <c r="E22" s="56"/>
      <c r="F22" s="64">
        <f>PMT(F21/12,F20,-100000)</f>
        <v>1074.6051177081183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1"/>
      <c r="IE22" s="41"/>
      <c r="IF22" s="41"/>
      <c r="IG22" s="41"/>
      <c r="IH22" s="41"/>
      <c r="II22" s="41"/>
      <c r="IJ22" s="41"/>
      <c r="IK22" s="41"/>
      <c r="IL22" s="42"/>
      <c r="IM22" s="42"/>
    </row>
    <row r="23" spans="1:247" ht="10.5" customHeight="1">
      <c r="A23" s="22" t="s">
        <v>44</v>
      </c>
      <c r="B23" s="54"/>
      <c r="C23" s="55"/>
      <c r="D23" s="55"/>
      <c r="E23" s="56"/>
      <c r="F23" s="81">
        <f>F19/F22</f>
        <v>141.53841423727442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1"/>
      <c r="IE23" s="41"/>
      <c r="IF23" s="41"/>
      <c r="IG23" s="41"/>
      <c r="IH23" s="41"/>
      <c r="II23" s="41"/>
      <c r="IJ23" s="41"/>
      <c r="IK23" s="41"/>
      <c r="IL23" s="42"/>
      <c r="IM23" s="42"/>
    </row>
    <row r="24" spans="1:247" ht="10.5" customHeight="1">
      <c r="A24" s="65" t="s">
        <v>45</v>
      </c>
      <c r="B24" s="66"/>
      <c r="C24" s="66"/>
      <c r="D24" s="66"/>
      <c r="E24" s="66"/>
      <c r="F24" s="67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1"/>
      <c r="IE24" s="41"/>
      <c r="IF24" s="41"/>
      <c r="IG24" s="41"/>
      <c r="IH24" s="41"/>
      <c r="II24" s="41"/>
      <c r="IJ24" s="41"/>
      <c r="IK24" s="41"/>
      <c r="IL24" s="42"/>
      <c r="IM24" s="42"/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M12"/>
  <sheetViews>
    <sheetView zoomScale="136" zoomScaleNormal="136" workbookViewId="0">
      <selection activeCell="F18" sqref="F18:F19"/>
    </sheetView>
  </sheetViews>
  <sheetFormatPr defaultColWidth="22.140625" defaultRowHeight="8.25" customHeight="1"/>
  <cols>
    <col min="1" max="1" width="5.42578125" style="34" customWidth="1"/>
    <col min="2" max="2" width="22.140625" style="34"/>
    <col min="3" max="3" width="12.28515625" style="34" customWidth="1"/>
    <col min="4" max="4" width="11.85546875" style="34" bestFit="1" customWidth="1"/>
    <col min="5" max="5" width="9.140625" style="34" bestFit="1" customWidth="1"/>
    <col min="6" max="6" width="13.140625" style="34" bestFit="1" customWidth="1"/>
    <col min="7" max="8" width="9" style="34" customWidth="1"/>
    <col min="9" max="9" width="10.140625" style="34" customWidth="1"/>
    <col min="10" max="10" width="13.140625" style="34" customWidth="1"/>
    <col min="11" max="247" width="22.140625" style="34"/>
    <col min="248" max="16384" width="22.140625" style="35"/>
  </cols>
  <sheetData>
    <row r="1" spans="1:247" ht="8.25" customHeight="1">
      <c r="A1" s="33" t="s">
        <v>3</v>
      </c>
      <c r="B1" s="33" t="s">
        <v>4</v>
      </c>
      <c r="C1" s="33" t="s">
        <v>5</v>
      </c>
      <c r="D1" s="33" t="s">
        <v>6</v>
      </c>
      <c r="E1" s="33" t="s">
        <v>7</v>
      </c>
      <c r="F1" s="33" t="s">
        <v>8</v>
      </c>
      <c r="G1" s="33" t="s">
        <v>9</v>
      </c>
      <c r="H1" s="33" t="s">
        <v>90</v>
      </c>
      <c r="I1" s="33" t="s">
        <v>10</v>
      </c>
      <c r="J1" s="33" t="s">
        <v>48</v>
      </c>
    </row>
    <row r="2" spans="1:247" s="72" customFormat="1" ht="8.25" customHeight="1">
      <c r="A2" s="78">
        <v>1</v>
      </c>
      <c r="B2" s="79">
        <v>4543883</v>
      </c>
      <c r="C2" s="78" t="s">
        <v>56</v>
      </c>
      <c r="D2" s="78" t="s">
        <v>58</v>
      </c>
      <c r="E2" s="79" t="s">
        <v>52</v>
      </c>
      <c r="F2" s="80">
        <v>750000</v>
      </c>
      <c r="G2" s="79">
        <v>36</v>
      </c>
      <c r="H2" s="79">
        <v>0</v>
      </c>
      <c r="I2" s="79">
        <v>25995</v>
      </c>
      <c r="J2" s="79" t="s">
        <v>54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</row>
    <row r="3" spans="1:247" s="72" customFormat="1" ht="8.25" customHeight="1">
      <c r="A3" s="78">
        <v>2</v>
      </c>
      <c r="B3" s="79">
        <v>610437288</v>
      </c>
      <c r="C3" s="78" t="s">
        <v>56</v>
      </c>
      <c r="D3" s="78" t="s">
        <v>62</v>
      </c>
      <c r="E3" s="79" t="s">
        <v>68</v>
      </c>
      <c r="F3" s="80">
        <v>6500000</v>
      </c>
      <c r="G3" s="79">
        <v>180</v>
      </c>
      <c r="H3" s="79">
        <v>0</v>
      </c>
      <c r="I3" s="79">
        <v>80750</v>
      </c>
      <c r="J3" s="79" t="s">
        <v>54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</row>
    <row r="4" spans="1:247" s="72" customFormat="1" ht="8.25" customHeight="1">
      <c r="A4" s="78">
        <v>3</v>
      </c>
      <c r="B4" s="79">
        <v>612548229</v>
      </c>
      <c r="C4" s="78" t="s">
        <v>56</v>
      </c>
      <c r="D4" s="78" t="s">
        <v>62</v>
      </c>
      <c r="E4" s="79" t="s">
        <v>68</v>
      </c>
      <c r="F4" s="80">
        <v>1000000</v>
      </c>
      <c r="G4" s="79">
        <v>180</v>
      </c>
      <c r="H4" s="79">
        <v>0</v>
      </c>
      <c r="I4" s="79">
        <v>12423</v>
      </c>
      <c r="J4" s="79" t="s">
        <v>54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</row>
    <row r="5" spans="1:247" ht="8.25" customHeight="1">
      <c r="A5" s="78">
        <v>4</v>
      </c>
      <c r="B5" s="79">
        <v>59254849</v>
      </c>
      <c r="C5" s="78" t="s">
        <v>56</v>
      </c>
      <c r="D5" s="78" t="s">
        <v>58</v>
      </c>
      <c r="E5" s="79" t="s">
        <v>69</v>
      </c>
      <c r="F5" s="80">
        <v>2000000</v>
      </c>
      <c r="G5" s="79">
        <v>36</v>
      </c>
      <c r="H5" s="79">
        <v>0</v>
      </c>
      <c r="I5" s="79">
        <v>70314</v>
      </c>
      <c r="J5" s="79" t="s">
        <v>54</v>
      </c>
    </row>
    <row r="6" spans="1:247" s="72" customFormat="1" ht="8.25" customHeight="1">
      <c r="A6" s="78">
        <v>5</v>
      </c>
      <c r="B6" s="79">
        <v>16364791</v>
      </c>
      <c r="C6" s="78" t="s">
        <v>56</v>
      </c>
      <c r="D6" s="78" t="s">
        <v>93</v>
      </c>
      <c r="E6" s="79" t="s">
        <v>69</v>
      </c>
      <c r="F6" s="80">
        <v>2550000</v>
      </c>
      <c r="G6" s="79">
        <v>36</v>
      </c>
      <c r="H6" s="79">
        <v>11</v>
      </c>
      <c r="I6" s="79">
        <v>89023</v>
      </c>
      <c r="J6" s="79" t="s">
        <v>54</v>
      </c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</row>
    <row r="7" spans="1:247" s="72" customFormat="1" ht="8.25" customHeight="1">
      <c r="A7" s="78">
        <v>6</v>
      </c>
      <c r="B7" s="79">
        <v>6702410379290</v>
      </c>
      <c r="C7" s="78" t="s">
        <v>56</v>
      </c>
      <c r="D7" s="78" t="s">
        <v>63</v>
      </c>
      <c r="E7" s="79" t="s">
        <v>69</v>
      </c>
      <c r="F7" s="80">
        <v>2036000</v>
      </c>
      <c r="G7" s="79">
        <v>37</v>
      </c>
      <c r="H7" s="79">
        <v>9</v>
      </c>
      <c r="I7" s="79">
        <v>75676</v>
      </c>
      <c r="J7" s="79" t="s">
        <v>54</v>
      </c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</row>
    <row r="8" spans="1:247" s="72" customFormat="1" ht="8.25" customHeight="1">
      <c r="A8" s="78">
        <v>7</v>
      </c>
      <c r="B8" s="79" t="s">
        <v>59</v>
      </c>
      <c r="C8" s="78" t="s">
        <v>56</v>
      </c>
      <c r="D8" s="78" t="s">
        <v>64</v>
      </c>
      <c r="E8" s="79" t="s">
        <v>69</v>
      </c>
      <c r="F8" s="80">
        <v>2016000</v>
      </c>
      <c r="G8" s="79">
        <v>36</v>
      </c>
      <c r="H8" s="79">
        <v>7</v>
      </c>
      <c r="I8" s="79">
        <v>75473</v>
      </c>
      <c r="J8" s="79" t="s">
        <v>54</v>
      </c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</row>
    <row r="9" spans="1:247" ht="8.25" customHeight="1">
      <c r="A9" s="78">
        <v>8</v>
      </c>
      <c r="B9" s="79" t="s">
        <v>95</v>
      </c>
      <c r="C9" s="78" t="s">
        <v>56</v>
      </c>
      <c r="D9" s="78" t="s">
        <v>65</v>
      </c>
      <c r="E9" s="79" t="s">
        <v>69</v>
      </c>
      <c r="F9" s="80">
        <v>1500000</v>
      </c>
      <c r="G9" s="79">
        <v>36</v>
      </c>
      <c r="H9" s="79">
        <v>0</v>
      </c>
      <c r="I9" s="79">
        <v>55043</v>
      </c>
      <c r="J9" s="79" t="s">
        <v>54</v>
      </c>
    </row>
    <row r="10" spans="1:247" s="72" customFormat="1" ht="8.25" customHeight="1">
      <c r="A10" s="78">
        <v>9</v>
      </c>
      <c r="B10" s="79" t="s">
        <v>60</v>
      </c>
      <c r="C10" s="78" t="s">
        <v>56</v>
      </c>
      <c r="D10" s="78" t="s">
        <v>66</v>
      </c>
      <c r="E10" s="79" t="s">
        <v>68</v>
      </c>
      <c r="F10" s="80">
        <v>17100000</v>
      </c>
      <c r="G10" s="79">
        <v>180</v>
      </c>
      <c r="H10" s="79">
        <v>15</v>
      </c>
      <c r="I10" s="79">
        <v>188679</v>
      </c>
      <c r="J10" s="79" t="s">
        <v>94</v>
      </c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</row>
    <row r="11" spans="1:247" ht="8.25" customHeight="1">
      <c r="A11" s="78">
        <v>10</v>
      </c>
      <c r="B11" s="79">
        <v>50351608347</v>
      </c>
      <c r="C11" s="78" t="s">
        <v>61</v>
      </c>
      <c r="D11" s="78" t="s">
        <v>67</v>
      </c>
      <c r="E11" s="79" t="s">
        <v>70</v>
      </c>
      <c r="F11" s="80">
        <v>1000000</v>
      </c>
      <c r="G11" s="79"/>
      <c r="H11" s="79"/>
      <c r="I11" s="79"/>
      <c r="J11" s="79" t="s">
        <v>54</v>
      </c>
    </row>
    <row r="12" spans="1:247" ht="8.25" customHeight="1">
      <c r="J12" s="36">
        <f>SUMIF(J2:J11,"Y",I2:I11)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7" t="s">
        <v>11</v>
      </c>
      <c r="B1" s="77"/>
      <c r="C1" s="2"/>
    </row>
    <row r="2" spans="1:6" ht="14.25" customHeight="1">
      <c r="A2" s="77" t="s">
        <v>12</v>
      </c>
      <c r="B2" s="77"/>
      <c r="C2" s="2"/>
    </row>
    <row r="5" spans="1:6" ht="30">
      <c r="A5" s="3" t="s">
        <v>3</v>
      </c>
      <c r="B5" s="4" t="s">
        <v>13</v>
      </c>
      <c r="C5" s="4" t="s">
        <v>14</v>
      </c>
      <c r="D5" s="5" t="s">
        <v>15</v>
      </c>
      <c r="E5" s="1" t="s">
        <v>16</v>
      </c>
      <c r="F5" s="1" t="s">
        <v>17</v>
      </c>
    </row>
    <row r="6" spans="1:6" ht="42.75">
      <c r="A6" s="6">
        <v>1</v>
      </c>
      <c r="B6" s="7" t="s">
        <v>18</v>
      </c>
      <c r="C6" s="8" t="s">
        <v>19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20</v>
      </c>
      <c r="C7" s="8" t="s">
        <v>21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22</v>
      </c>
      <c r="C8" s="8" t="s">
        <v>23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24</v>
      </c>
      <c r="C9" s="12" t="s">
        <v>25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26</v>
      </c>
      <c r="C10" s="8" t="s">
        <v>27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28</v>
      </c>
      <c r="C11" s="14" t="s">
        <v>29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30</v>
      </c>
      <c r="C12" s="15" t="s">
        <v>31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C3:G18"/>
  <sheetViews>
    <sheetView tabSelected="1" workbookViewId="0">
      <selection activeCell="E5" sqref="E5"/>
    </sheetView>
  </sheetViews>
  <sheetFormatPr defaultRowHeight="12.75"/>
  <cols>
    <col min="1" max="1" width="7.28515625" customWidth="1"/>
    <col min="2" max="2" width="8.140625" customWidth="1"/>
    <col min="3" max="3" width="26.85546875" customWidth="1"/>
    <col min="4" max="4" width="24.5703125" bestFit="1" customWidth="1"/>
    <col min="5" max="5" width="13.5703125" bestFit="1" customWidth="1"/>
    <col min="6" max="6" width="17.28515625" customWidth="1"/>
    <col min="7" max="7" width="15.7109375" customWidth="1"/>
  </cols>
  <sheetData>
    <row r="3" spans="3:7" ht="9" customHeight="1"/>
    <row r="4" spans="3:7" s="23" customFormat="1" ht="17.25" customHeight="1">
      <c r="C4" s="73" t="s">
        <v>13</v>
      </c>
      <c r="D4" s="74" t="s">
        <v>71</v>
      </c>
      <c r="E4" s="74" t="s">
        <v>72</v>
      </c>
      <c r="F4" s="74" t="s">
        <v>73</v>
      </c>
      <c r="G4" s="74" t="s">
        <v>74</v>
      </c>
    </row>
    <row r="5" spans="3:7" s="23" customFormat="1" ht="11.25" customHeight="1">
      <c r="C5" s="24" t="s">
        <v>75</v>
      </c>
      <c r="D5" s="25">
        <v>1</v>
      </c>
      <c r="E5" s="25">
        <v>2</v>
      </c>
      <c r="F5" s="25">
        <v>3</v>
      </c>
      <c r="G5" s="25">
        <v>4</v>
      </c>
    </row>
    <row r="6" spans="3:7" s="23" customFormat="1" ht="11.25" customHeight="1">
      <c r="C6" s="26" t="s">
        <v>76</v>
      </c>
      <c r="D6" s="27">
        <v>40000000</v>
      </c>
      <c r="E6" s="27">
        <v>0</v>
      </c>
      <c r="F6" s="27">
        <v>0</v>
      </c>
      <c r="G6" s="27">
        <v>0</v>
      </c>
    </row>
    <row r="7" spans="3:7" s="23" customFormat="1" ht="11.25" customHeight="1">
      <c r="C7" s="26" t="s">
        <v>77</v>
      </c>
      <c r="D7" s="27">
        <v>178005184</v>
      </c>
      <c r="E7" s="27">
        <v>0</v>
      </c>
      <c r="F7" s="27">
        <v>0</v>
      </c>
      <c r="G7" s="27">
        <v>0</v>
      </c>
    </row>
    <row r="8" spans="3:7" s="23" customFormat="1" ht="11.25" customHeight="1">
      <c r="C8" s="26" t="s">
        <v>78</v>
      </c>
      <c r="D8" s="27">
        <v>5162720</v>
      </c>
      <c r="E8" s="27">
        <v>0</v>
      </c>
      <c r="F8" s="27">
        <v>0</v>
      </c>
      <c r="G8" s="27">
        <v>0</v>
      </c>
    </row>
    <row r="9" spans="3:7" s="23" customFormat="1" ht="11.25" customHeight="1">
      <c r="C9" s="28" t="s">
        <v>79</v>
      </c>
      <c r="D9" s="29">
        <f>MAX(D8,IF(D6&gt;7500000,D7*10.25%,D7*10.25%))/12</f>
        <v>1520460.9466666665</v>
      </c>
      <c r="E9" s="29">
        <f>MIN(E8,IF(E6&gt;7500000,E7*7%,E7*10%))/12</f>
        <v>0</v>
      </c>
      <c r="F9" s="29">
        <f>MIN(F8,IF(F6&gt;7500000,F7*7%,F7*10%))/12</f>
        <v>0</v>
      </c>
      <c r="G9" s="29">
        <f>MIN(G8,IF(G6&gt;7500000,G7*7%,G7*10%))/12</f>
        <v>0</v>
      </c>
    </row>
    <row r="10" spans="3:7" s="23" customFormat="1" ht="11.25" customHeight="1">
      <c r="C10" s="28" t="s">
        <v>80</v>
      </c>
      <c r="D10" s="29">
        <f>D9</f>
        <v>1520460.9466666665</v>
      </c>
      <c r="E10" s="29">
        <f>E9</f>
        <v>0</v>
      </c>
      <c r="F10" s="29">
        <f>F9</f>
        <v>0</v>
      </c>
      <c r="G10" s="29">
        <f>G9</f>
        <v>0</v>
      </c>
    </row>
    <row r="11" spans="3:7" s="23" customFormat="1" ht="11.25" customHeight="1">
      <c r="C11" s="26" t="s">
        <v>81</v>
      </c>
      <c r="D11" s="27">
        <v>60</v>
      </c>
      <c r="E11" s="27">
        <v>60</v>
      </c>
      <c r="F11" s="27">
        <v>0</v>
      </c>
      <c r="G11" s="27">
        <v>0</v>
      </c>
    </row>
    <row r="12" spans="3:7" s="23" customFormat="1" ht="11.25" customHeight="1">
      <c r="C12" s="28" t="s">
        <v>82</v>
      </c>
      <c r="D12" s="29">
        <f>D10*D11%</f>
        <v>912276.56799999985</v>
      </c>
      <c r="E12" s="29">
        <f>E10*E11%</f>
        <v>0</v>
      </c>
      <c r="F12" s="29">
        <f>F10*F11%</f>
        <v>0</v>
      </c>
      <c r="G12" s="29">
        <f>G10*G11%</f>
        <v>0</v>
      </c>
    </row>
    <row r="13" spans="3:7" s="23" customFormat="1" ht="11.25" customHeight="1">
      <c r="C13" s="30" t="s">
        <v>83</v>
      </c>
      <c r="D13" s="31">
        <v>0</v>
      </c>
      <c r="E13" s="31">
        <v>0</v>
      </c>
      <c r="F13" s="31">
        <v>0</v>
      </c>
      <c r="G13" s="31">
        <v>0</v>
      </c>
    </row>
    <row r="14" spans="3:7" s="23" customFormat="1" ht="11.25" customHeight="1">
      <c r="C14" s="28" t="s">
        <v>84</v>
      </c>
      <c r="D14" s="29">
        <f>D12-D13</f>
        <v>912276.56799999985</v>
      </c>
      <c r="E14" s="29">
        <f>E12-E13</f>
        <v>0</v>
      </c>
      <c r="F14" s="29">
        <f>F12-F13</f>
        <v>0</v>
      </c>
      <c r="G14" s="29">
        <f>G12-G13</f>
        <v>0</v>
      </c>
    </row>
    <row r="15" spans="3:7" s="23" customFormat="1" ht="11.25" customHeight="1">
      <c r="C15" s="32" t="s">
        <v>85</v>
      </c>
      <c r="D15" s="27">
        <v>10</v>
      </c>
      <c r="E15" s="27">
        <v>0.11</v>
      </c>
      <c r="F15" s="27">
        <v>0.11</v>
      </c>
      <c r="G15" s="27">
        <v>0.11</v>
      </c>
    </row>
    <row r="16" spans="3:7" s="23" customFormat="1" ht="11.25" customHeight="1">
      <c r="C16" s="32" t="s">
        <v>86</v>
      </c>
      <c r="D16" s="27">
        <v>180</v>
      </c>
      <c r="E16" s="27">
        <v>180</v>
      </c>
      <c r="F16" s="27">
        <v>240</v>
      </c>
      <c r="G16" s="27">
        <v>240</v>
      </c>
    </row>
    <row r="17" spans="3:7" s="23" customFormat="1" ht="11.25" customHeight="1">
      <c r="C17" s="28" t="s">
        <v>87</v>
      </c>
      <c r="D17" s="29">
        <v>1074.6099999999999</v>
      </c>
      <c r="E17" s="29">
        <f>(PMT(E15/12,E16,-100000))</f>
        <v>1136.5969345560843</v>
      </c>
      <c r="F17" s="29">
        <f>(PMT(F15/12,F16,-100000))</f>
        <v>1032.188392376054</v>
      </c>
      <c r="G17" s="29">
        <f>(PMT(G15/12,G16,-100000))</f>
        <v>1032.188392376054</v>
      </c>
    </row>
    <row r="18" spans="3:7" s="23" customFormat="1" ht="11.25" customHeight="1">
      <c r="C18" s="75" t="s">
        <v>88</v>
      </c>
      <c r="D18" s="76">
        <f>(D14/D17)*100000</f>
        <v>84893735.215566576</v>
      </c>
      <c r="E18" s="76">
        <f>(E14/E17)*100000</f>
        <v>0</v>
      </c>
      <c r="F18" s="76">
        <f>(F14/F17)*100000</f>
        <v>0</v>
      </c>
      <c r="G18" s="76">
        <f>(G14/G17)*100000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GTP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2019-08-31T09:22:06Z</dcterms:modified>
</cp:coreProperties>
</file>