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activeTab="4"/>
  </bookViews>
  <sheets>
    <sheet name="Satnam Singh" sheetId="1" r:id="rId1"/>
    <sheet name="RTR" sheetId="2" r:id="rId2"/>
    <sheet name="Sheet1" sheetId="5" state="hidden" r:id="rId3"/>
    <sheet name="Gaganjot" sheetId="6" r:id="rId4"/>
    <sheet name="RRTR" sheetId="7" r:id="rId5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26" i="6"/>
  <c r="M8" i="7"/>
  <c r="K6"/>
  <c r="K5"/>
  <c r="K4"/>
  <c r="K3"/>
  <c r="F31" i="6"/>
  <c r="D23"/>
  <c r="F23" s="1"/>
  <c r="C22"/>
  <c r="B22"/>
  <c r="D22" s="1"/>
  <c r="F22" s="1"/>
  <c r="C21"/>
  <c r="B21"/>
  <c r="D21" s="1"/>
  <c r="F21" s="1"/>
  <c r="C20"/>
  <c r="B20"/>
  <c r="D20" s="1"/>
  <c r="F20" s="1"/>
  <c r="F19"/>
  <c r="D19"/>
  <c r="D17"/>
  <c r="F17" s="1"/>
  <c r="C16"/>
  <c r="B16"/>
  <c r="D16" s="1"/>
  <c r="F16" s="1"/>
  <c r="F15"/>
  <c r="D15"/>
  <c r="D14"/>
  <c r="F14" s="1"/>
  <c r="C14"/>
  <c r="F12"/>
  <c r="D12"/>
  <c r="F11"/>
  <c r="D11"/>
  <c r="B11"/>
  <c r="D10"/>
  <c r="F10" s="1"/>
  <c r="F9"/>
  <c r="D9"/>
  <c r="D7"/>
  <c r="F7" s="1"/>
  <c r="C6"/>
  <c r="B6"/>
  <c r="D6" s="1"/>
  <c r="F6" s="1"/>
  <c r="C5"/>
  <c r="B5"/>
  <c r="D5" s="1"/>
  <c r="F5" s="1"/>
  <c r="C4"/>
  <c r="B4"/>
  <c r="D4" s="1"/>
  <c r="F4" s="1"/>
  <c r="F3"/>
  <c r="D3"/>
  <c r="K7" i="2"/>
  <c r="C22" i="1"/>
  <c r="C21"/>
  <c r="C20"/>
  <c r="B21"/>
  <c r="D21"/>
  <c r="F21" s="1"/>
  <c r="B22"/>
  <c r="B20"/>
  <c r="D23"/>
  <c r="F23" s="1"/>
  <c r="D22"/>
  <c r="F22" s="1"/>
  <c r="D20"/>
  <c r="F20" s="1"/>
  <c r="D19"/>
  <c r="F19" s="1"/>
  <c r="C14"/>
  <c r="C16"/>
  <c r="B16"/>
  <c r="D17"/>
  <c r="F17" s="1"/>
  <c r="D15"/>
  <c r="F15" s="1"/>
  <c r="F14"/>
  <c r="D14"/>
  <c r="K6" i="2"/>
  <c r="K5"/>
  <c r="K4"/>
  <c r="B11" i="1"/>
  <c r="D11" s="1"/>
  <c r="F11" s="1"/>
  <c r="D12"/>
  <c r="F12" s="1"/>
  <c r="D10"/>
  <c r="F10" s="1"/>
  <c r="D9"/>
  <c r="F9" s="1"/>
  <c r="C6"/>
  <c r="D6" s="1"/>
  <c r="F6" s="1"/>
  <c r="C5"/>
  <c r="C4"/>
  <c r="B6"/>
  <c r="B5"/>
  <c r="B4"/>
  <c r="F24" i="6" l="1"/>
  <c r="F25" s="1"/>
  <c r="F24" i="1"/>
  <c r="D16"/>
  <c r="F16" s="1"/>
  <c r="D5"/>
  <c r="F5" s="1"/>
  <c r="M9" i="2"/>
  <c r="F28" i="6" l="1"/>
  <c r="F32" s="1"/>
  <c r="D3" i="1"/>
  <c r="D4"/>
  <c r="D7"/>
  <c r="F7" l="1"/>
  <c r="F31"/>
  <c r="F26" l="1"/>
  <c r="F3"/>
  <c r="F4"/>
  <c r="F6" i="5"/>
  <c r="F7"/>
  <c r="F8"/>
  <c r="F9"/>
  <c r="F10"/>
  <c r="F11"/>
  <c r="F12"/>
  <c r="E13"/>
  <c r="F13" l="1"/>
  <c r="F25" i="1" l="1"/>
  <c r="F28" s="1"/>
  <c r="F32" s="1"/>
</calcChain>
</file>

<file path=xl/sharedStrings.xml><?xml version="1.0" encoding="utf-8"?>
<sst xmlns="http://schemas.openxmlformats.org/spreadsheetml/2006/main" count="203" uniqueCount="71">
  <si>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</si>
  <si>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</si>
  <si>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</si>
  <si>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</si>
  <si>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</si>
  <si>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</si>
  <si>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</si>
  <si>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</si>
  <si>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</si>
  <si>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</si>
  <si>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</si>
  <si>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</si>
  <si>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</si>
  <si>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</si>
  <si>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</si>
  <si>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</si>
  <si>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</si>
  <si>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</si>
  <si>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</si>
  <si>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</si>
  <si>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</si>
  <si>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</si>
  <si>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</si>
  <si>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</si>
  <si>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</si>
  <si>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</si>
  <si>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</si>
  <si>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</si>
  <si>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</si>
  <si>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</si>
  <si>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</si>
  <si>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</si>
  <si>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</si>
  <si>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</si>
  <si>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</si>
  <si>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</si>
  <si>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</si>
  <si>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</si>
  <si>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</si>
  <si>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</si>
  <si>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</si>
  <si>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</si>
  <si>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</si>
  <si>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</si>
  <si>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</si>
  <si>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</si>
  <si>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</si>
  <si>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Income from other sources</t>
  </si>
  <si>
    <t>Loan Start Date</t>
  </si>
  <si>
    <t>Loan End Date</t>
  </si>
  <si>
    <t>Satnam Singh</t>
  </si>
  <si>
    <t>Income from salary (Avon Cottex)</t>
  </si>
  <si>
    <t xml:space="preserve">Income from house property </t>
  </si>
  <si>
    <t>Share in partnership firm</t>
  </si>
  <si>
    <t>Share in partnership firm's</t>
  </si>
  <si>
    <t>Taranjit Singh Pruthi</t>
  </si>
  <si>
    <t>HDFC Ltd</t>
  </si>
  <si>
    <t>HL</t>
  </si>
  <si>
    <t>y</t>
  </si>
  <si>
    <t>IDFC</t>
  </si>
  <si>
    <t>Lap</t>
  </si>
  <si>
    <t>LBLUD00002423052</t>
  </si>
  <si>
    <t>Paramjit Singh</t>
  </si>
  <si>
    <t>ICICI</t>
  </si>
  <si>
    <t>Topup</t>
  </si>
  <si>
    <t>Tenure</t>
  </si>
  <si>
    <t>EMI Paid</t>
  </si>
  <si>
    <t>EMI Bal</t>
  </si>
  <si>
    <t>LBLUD00002485236</t>
  </si>
  <si>
    <t xml:space="preserve">Gaganjot Singh </t>
  </si>
  <si>
    <t xml:space="preserve">Share in partnership firm  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</si>
</sst>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1" fontId="8" fillId="7" borderId="2" xfId="0" applyNumberFormat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165" fontId="10" fillId="4" borderId="2" xfId="1" applyNumberFormat="1" applyFont="1" applyFill="1" applyBorder="1" applyAlignment="1" applyProtection="1">
      <alignment horizontal="left"/>
    </xf>
    <xf numFmtId="9" fontId="10" fillId="4" borderId="2" xfId="1" applyNumberFormat="1" applyFont="1" applyFill="1" applyBorder="1" applyAlignment="1" applyProtection="1">
      <alignment horizontal="left"/>
    </xf>
    <xf numFmtId="164" fontId="10" fillId="4" borderId="2" xfId="1" applyFont="1" applyFill="1" applyBorder="1" applyAlignment="1" applyProtection="1">
      <alignment horizontal="left"/>
    </xf>
    <xf numFmtId="0" fontId="10" fillId="4" borderId="2" xfId="0" applyNumberFormat="1" applyFont="1" applyFill="1" applyBorder="1" applyAlignment="1">
      <alignment horizontal="left"/>
    </xf>
    <xf numFmtId="167" fontId="10" fillId="4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4" borderId="2" xfId="4" applyNumberFormat="1" applyFont="1" applyFill="1" applyBorder="1" applyAlignment="1" applyProtection="1">
      <alignment horizontal="left"/>
    </xf>
    <xf numFmtId="164" fontId="10" fillId="4" borderId="2" xfId="4" applyNumberFormat="1" applyFont="1" applyFill="1" applyBorder="1" applyAlignment="1" applyProtection="1">
      <alignment horizontal="left"/>
    </xf>
    <xf numFmtId="165" fontId="10" fillId="8" borderId="2" xfId="1" applyNumberFormat="1" applyFont="1" applyFill="1" applyBorder="1" applyAlignment="1" applyProtection="1">
      <alignment horizontal="left"/>
    </xf>
    <xf numFmtId="166" fontId="10" fillId="8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9" fontId="10" fillId="8" borderId="2" xfId="1" applyNumberFormat="1" applyFont="1" applyFill="1" applyBorder="1" applyAlignment="1" applyProtection="1">
      <alignment horizontal="left"/>
    </xf>
    <xf numFmtId="0" fontId="8" fillId="7" borderId="4" xfId="0" applyFont="1" applyFill="1" applyBorder="1" applyAlignment="1">
      <alignment horizontal="left" vertical="center"/>
    </xf>
    <xf numFmtId="1" fontId="8" fillId="7" borderId="4" xfId="0" applyNumberFormat="1" applyFont="1" applyFill="1" applyBorder="1" applyAlignment="1">
      <alignment horizontal="left" vertical="center"/>
    </xf>
    <xf numFmtId="168" fontId="8" fillId="7" borderId="4" xfId="0" applyNumberFormat="1" applyFont="1" applyFill="1" applyBorder="1" applyAlignment="1">
      <alignment horizontal="left" vertical="center"/>
    </xf>
    <xf numFmtId="168" fontId="8" fillId="7" borderId="2" xfId="0" applyNumberFormat="1" applyFont="1" applyFill="1" applyBorder="1" applyAlignment="1">
      <alignment horizontal="left" vertical="center"/>
    </xf>
    <xf numFmtId="168" fontId="11" fillId="7" borderId="2" xfId="0" applyNumberFormat="1" applyFont="1" applyFill="1" applyBorder="1" applyAlignment="1">
      <alignment horizontal="left" vertical="center"/>
    </xf>
    <xf numFmtId="1" fontId="11" fillId="7" borderId="2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0" fontId="12" fillId="9" borderId="2" xfId="0" applyFont="1" applyFill="1" applyBorder="1" applyAlignment="1">
      <alignment horizontal="left" vertical="center"/>
    </xf>
    <xf numFmtId="165" fontId="10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32"/>
  <sheetViews>
    <sheetView topLeftCell="A4" zoomScale="136" zoomScaleNormal="136" workbookViewId="0">
      <selection activeCell="F28" sqref="F28"/>
    </sheetView>
  </sheetViews>
  <sheetFormatPr defaultColWidth="31.28515625" defaultRowHeight="12"/>
  <cols>
    <col min="1" max="1" width="35.5703125" style="33" bestFit="1" customWidth="1"/>
    <col min="2" max="3" width="7.42578125" style="33" bestFit="1" customWidth="1"/>
    <col min="4" max="4" width="9.28515625" style="33" bestFit="1" customWidth="1"/>
    <col min="5" max="5" width="8.42578125" style="33" bestFit="1" customWidth="1"/>
    <col min="6" max="6" width="13.5703125" style="33" customWidth="1"/>
    <col min="7" max="7" width="14.5703125" style="33" customWidth="1"/>
    <col min="8" max="8" width="11.42578125" style="33" customWidth="1"/>
    <col min="9" max="9" width="7" style="33" customWidth="1"/>
    <col min="10" max="10" width="9.140625" style="33" customWidth="1"/>
    <col min="11" max="11" width="6.42578125" style="33" customWidth="1"/>
    <col min="12" max="12" width="12" style="33" customWidth="1"/>
    <col min="13" max="13" width="11" style="33" customWidth="1"/>
    <col min="14" max="14" width="11.5703125" style="33" customWidth="1"/>
    <col min="15" max="15" width="12" style="33" customWidth="1"/>
    <col min="16" max="233" width="31.28515625" style="33"/>
    <col min="234" max="241" width="31.28515625" style="34"/>
    <col min="242" max="243" width="31.28515625" style="35"/>
    <col min="244" max="16384" width="31.28515625" style="31"/>
  </cols>
  <sheetData>
    <row r="1" spans="1:243" ht="12.75" customHeight="1">
      <c r="A1" s="58" t="s">
        <v>50</v>
      </c>
      <c r="B1" s="60" t="s">
        <v>42</v>
      </c>
      <c r="C1" s="60"/>
      <c r="D1" s="37"/>
      <c r="E1" s="37"/>
      <c r="F1" s="37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30"/>
      <c r="IA1" s="30"/>
      <c r="IB1" s="30"/>
      <c r="IC1" s="30"/>
      <c r="ID1" s="30"/>
      <c r="IE1" s="30"/>
      <c r="IF1" s="30"/>
      <c r="IG1" s="30"/>
      <c r="IH1" s="31"/>
      <c r="II1" s="31"/>
    </row>
    <row r="2" spans="1:243">
      <c r="A2" s="38" t="s">
        <v>50</v>
      </c>
      <c r="B2" s="38" t="s">
        <v>46</v>
      </c>
      <c r="C2" s="38" t="s">
        <v>43</v>
      </c>
      <c r="D2" s="38" t="s">
        <v>30</v>
      </c>
      <c r="E2" s="39" t="s">
        <v>0</v>
      </c>
      <c r="F2" s="38" t="s">
        <v>31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</row>
    <row r="3" spans="1:243">
      <c r="A3" s="47" t="s">
        <v>51</v>
      </c>
      <c r="B3" s="48">
        <v>1812000</v>
      </c>
      <c r="C3" s="49">
        <v>1500000</v>
      </c>
      <c r="D3" s="47">
        <f t="shared" ref="D3:D7" si="0">AVERAGE(B3:C3)</f>
        <v>1656000</v>
      </c>
      <c r="E3" s="50">
        <v>0.75</v>
      </c>
      <c r="F3" s="32">
        <f t="shared" ref="F3:F4" si="1">E3*D3</f>
        <v>1242000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</row>
    <row r="4" spans="1:243">
      <c r="A4" s="47" t="s">
        <v>52</v>
      </c>
      <c r="B4" s="48">
        <f>180000+468600</f>
        <v>648600</v>
      </c>
      <c r="C4" s="49">
        <f>180000+426000</f>
        <v>606000</v>
      </c>
      <c r="D4" s="47">
        <f t="shared" si="0"/>
        <v>627300</v>
      </c>
      <c r="E4" s="50">
        <v>0.5</v>
      </c>
      <c r="F4" s="32">
        <f t="shared" si="1"/>
        <v>313650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1"/>
      <c r="II4" s="31"/>
    </row>
    <row r="5" spans="1:243">
      <c r="A5" s="47" t="s">
        <v>54</v>
      </c>
      <c r="B5" s="48">
        <f>1154922+1039916</f>
        <v>2194838</v>
      </c>
      <c r="C5" s="49">
        <f>226462+858928</f>
        <v>1085390</v>
      </c>
      <c r="D5" s="47">
        <f t="shared" si="0"/>
        <v>1640114</v>
      </c>
      <c r="E5" s="50">
        <v>0.75</v>
      </c>
      <c r="F5" s="32">
        <f t="shared" ref="F5" si="2">E5*D5</f>
        <v>1230085.5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1"/>
      <c r="II5" s="31"/>
    </row>
    <row r="6" spans="1:243">
      <c r="A6" s="47" t="s">
        <v>47</v>
      </c>
      <c r="B6" s="48">
        <f>3366+3081+597540</f>
        <v>603987</v>
      </c>
      <c r="C6" s="49">
        <f>6429+405000</f>
        <v>411429</v>
      </c>
      <c r="D6" s="47">
        <f t="shared" ref="D6" si="3">AVERAGE(B6:C6)</f>
        <v>507708</v>
      </c>
      <c r="E6" s="50">
        <v>0.5</v>
      </c>
      <c r="F6" s="32">
        <f t="shared" ref="F6" si="4">E6*D6</f>
        <v>253854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1"/>
      <c r="II6" s="31"/>
    </row>
    <row r="7" spans="1:243">
      <c r="A7" s="47" t="s">
        <v>32</v>
      </c>
      <c r="B7" s="48">
        <v>-996441</v>
      </c>
      <c r="C7" s="48">
        <v>-688211</v>
      </c>
      <c r="D7" s="47">
        <f t="shared" si="0"/>
        <v>-842326</v>
      </c>
      <c r="E7" s="50">
        <v>1</v>
      </c>
      <c r="F7" s="32">
        <f>E7*D7</f>
        <v>-842326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1"/>
      <c r="II7" s="31"/>
    </row>
    <row r="8" spans="1:243">
      <c r="A8" s="38" t="s">
        <v>55</v>
      </c>
      <c r="B8" s="38" t="s">
        <v>46</v>
      </c>
      <c r="C8" s="38" t="s">
        <v>43</v>
      </c>
      <c r="D8" s="38" t="s">
        <v>30</v>
      </c>
      <c r="E8" s="39" t="s">
        <v>0</v>
      </c>
      <c r="F8" s="38" t="s">
        <v>31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30"/>
      <c r="HV8" s="30"/>
      <c r="HW8" s="30"/>
      <c r="HX8" s="30"/>
      <c r="HY8" s="30"/>
      <c r="HZ8" s="30"/>
      <c r="IA8" s="30"/>
      <c r="IB8" s="30"/>
      <c r="IC8" s="31"/>
      <c r="ID8" s="31"/>
      <c r="IE8" s="31"/>
      <c r="IF8" s="31"/>
      <c r="IG8" s="31"/>
      <c r="IH8" s="31"/>
      <c r="II8" s="31"/>
    </row>
    <row r="9" spans="1:243">
      <c r="A9" s="47" t="s">
        <v>51</v>
      </c>
      <c r="B9" s="48">
        <v>1245000</v>
      </c>
      <c r="C9" s="49"/>
      <c r="D9" s="47">
        <f t="shared" ref="D9:D12" si="5">AVERAGE(B9:C9)</f>
        <v>1245000</v>
      </c>
      <c r="E9" s="50">
        <v>0.75</v>
      </c>
      <c r="F9" s="32">
        <f t="shared" ref="F9:F11" si="6">E9*D9</f>
        <v>933750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30"/>
      <c r="HV9" s="30"/>
      <c r="HW9" s="30"/>
      <c r="HX9" s="30"/>
      <c r="HY9" s="30"/>
      <c r="HZ9" s="30"/>
      <c r="IA9" s="30"/>
      <c r="IB9" s="30"/>
      <c r="IC9" s="31"/>
      <c r="ID9" s="31"/>
      <c r="IE9" s="31"/>
      <c r="IF9" s="31"/>
      <c r="IG9" s="31"/>
      <c r="IH9" s="31"/>
      <c r="II9" s="31"/>
    </row>
    <row r="10" spans="1:243">
      <c r="A10" s="47" t="s">
        <v>52</v>
      </c>
      <c r="B10" s="48">
        <v>792000</v>
      </c>
      <c r="C10" s="49"/>
      <c r="D10" s="47">
        <f t="shared" si="5"/>
        <v>792000</v>
      </c>
      <c r="E10" s="50">
        <v>0.5</v>
      </c>
      <c r="F10" s="32">
        <f t="shared" si="6"/>
        <v>396000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30"/>
      <c r="HS10" s="30"/>
      <c r="HT10" s="30"/>
      <c r="HU10" s="30"/>
      <c r="HV10" s="30"/>
      <c r="HW10" s="30"/>
      <c r="HX10" s="30"/>
      <c r="HY10" s="30"/>
      <c r="HZ10" s="31"/>
      <c r="IA10" s="31"/>
      <c r="IB10" s="31"/>
      <c r="IC10" s="31"/>
      <c r="ID10" s="31"/>
      <c r="IE10" s="31"/>
      <c r="IF10" s="31"/>
      <c r="IG10" s="31"/>
      <c r="IH10" s="31"/>
      <c r="II10" s="31"/>
    </row>
    <row r="11" spans="1:243">
      <c r="A11" s="47" t="s">
        <v>47</v>
      </c>
      <c r="B11" s="48">
        <f>10000+1764700+471883+35000</f>
        <v>2281583</v>
      </c>
      <c r="C11" s="49"/>
      <c r="D11" s="47">
        <f t="shared" si="5"/>
        <v>2281583</v>
      </c>
      <c r="E11" s="50">
        <v>0.5</v>
      </c>
      <c r="F11" s="32">
        <f t="shared" si="6"/>
        <v>1140791.5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30"/>
      <c r="HS11" s="30"/>
      <c r="HT11" s="30"/>
      <c r="HU11" s="30"/>
      <c r="HV11" s="30"/>
      <c r="HW11" s="30"/>
      <c r="HX11" s="30"/>
      <c r="HY11" s="30"/>
      <c r="HZ11" s="31"/>
      <c r="IA11" s="31"/>
      <c r="IB11" s="31"/>
      <c r="IC11" s="31"/>
      <c r="ID11" s="31"/>
      <c r="IE11" s="31"/>
      <c r="IF11" s="31"/>
      <c r="IG11" s="31"/>
      <c r="IH11" s="31"/>
      <c r="II11" s="31"/>
    </row>
    <row r="12" spans="1:243">
      <c r="A12" s="47" t="s">
        <v>32</v>
      </c>
      <c r="B12" s="48">
        <v>-751087</v>
      </c>
      <c r="C12" s="48">
        <v>-285655</v>
      </c>
      <c r="D12" s="47">
        <f t="shared" si="5"/>
        <v>-518371</v>
      </c>
      <c r="E12" s="50">
        <v>1</v>
      </c>
      <c r="F12" s="32">
        <f>E12*D12</f>
        <v>-518371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30"/>
      <c r="HS12" s="30"/>
      <c r="HT12" s="30"/>
      <c r="HU12" s="30"/>
      <c r="HV12" s="30"/>
      <c r="HW12" s="30"/>
      <c r="HX12" s="30"/>
      <c r="HY12" s="30"/>
      <c r="HZ12" s="31"/>
      <c r="IA12" s="31"/>
      <c r="IB12" s="31"/>
      <c r="IC12" s="31"/>
      <c r="ID12" s="31"/>
      <c r="IE12" s="31"/>
      <c r="IF12" s="31"/>
      <c r="IG12" s="31"/>
      <c r="IH12" s="31"/>
      <c r="II12" s="31"/>
    </row>
    <row r="13" spans="1:243">
      <c r="A13" s="38" t="s">
        <v>69</v>
      </c>
      <c r="B13" s="38" t="s">
        <v>46</v>
      </c>
      <c r="C13" s="38" t="s">
        <v>43</v>
      </c>
      <c r="D13" s="38" t="s">
        <v>30</v>
      </c>
      <c r="E13" s="39" t="s">
        <v>0</v>
      </c>
      <c r="F13" s="38" t="s">
        <v>31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30"/>
      <c r="HV13" s="30"/>
      <c r="HW13" s="30"/>
      <c r="HX13" s="30"/>
      <c r="HY13" s="30"/>
      <c r="HZ13" s="30"/>
      <c r="IA13" s="30"/>
      <c r="IB13" s="30"/>
      <c r="IC13" s="31"/>
      <c r="ID13" s="31"/>
      <c r="IE13" s="31"/>
      <c r="IF13" s="31"/>
      <c r="IG13" s="31"/>
      <c r="IH13" s="31"/>
      <c r="II13" s="31"/>
    </row>
    <row r="14" spans="1:243">
      <c r="A14" s="47" t="s">
        <v>70</v>
      </c>
      <c r="B14" s="48">
        <v>0</v>
      </c>
      <c r="C14" s="49">
        <f>300000+23220</f>
        <v>323220</v>
      </c>
      <c r="D14" s="47">
        <f t="shared" ref="D14:D17" si="7">AVERAGE(B14:C14)</f>
        <v>161610</v>
      </c>
      <c r="E14" s="50">
        <v>0</v>
      </c>
      <c r="F14" s="32">
        <f t="shared" ref="F14:F16" si="8">E14*D14</f>
        <v>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30"/>
      <c r="HV14" s="30"/>
      <c r="HW14" s="30"/>
      <c r="HX14" s="30"/>
      <c r="HY14" s="30"/>
      <c r="HZ14" s="30"/>
      <c r="IA14" s="30"/>
      <c r="IB14" s="30"/>
      <c r="IC14" s="31"/>
      <c r="ID14" s="31"/>
      <c r="IE14" s="31"/>
      <c r="IF14" s="31"/>
      <c r="IG14" s="31"/>
      <c r="IH14" s="31"/>
      <c r="II14" s="31"/>
    </row>
    <row r="15" spans="1:243">
      <c r="A15" s="47" t="s">
        <v>52</v>
      </c>
      <c r="B15" s="48">
        <v>792000</v>
      </c>
      <c r="C15" s="49">
        <v>774000</v>
      </c>
      <c r="D15" s="47">
        <f t="shared" si="7"/>
        <v>783000</v>
      </c>
      <c r="E15" s="50">
        <v>0</v>
      </c>
      <c r="F15" s="32">
        <f t="shared" si="8"/>
        <v>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30"/>
      <c r="HS15" s="30"/>
      <c r="HT15" s="30"/>
      <c r="HU15" s="30"/>
      <c r="HV15" s="30"/>
      <c r="HW15" s="30"/>
      <c r="HX15" s="30"/>
      <c r="HY15" s="30"/>
      <c r="HZ15" s="31"/>
      <c r="IA15" s="31"/>
      <c r="IB15" s="31"/>
      <c r="IC15" s="31"/>
      <c r="ID15" s="31"/>
      <c r="IE15" s="31"/>
      <c r="IF15" s="31"/>
      <c r="IG15" s="31"/>
      <c r="IH15" s="31"/>
      <c r="II15" s="31"/>
    </row>
    <row r="16" spans="1:243">
      <c r="A16" s="47" t="s">
        <v>47</v>
      </c>
      <c r="B16" s="48">
        <f>1175500+81941+7693+150000</f>
        <v>1415134</v>
      </c>
      <c r="C16" s="49">
        <f>5284+1001609+820000</f>
        <v>1826893</v>
      </c>
      <c r="D16" s="47">
        <f t="shared" si="7"/>
        <v>1621013.5</v>
      </c>
      <c r="E16" s="50">
        <v>0</v>
      </c>
      <c r="F16" s="32">
        <f t="shared" si="8"/>
        <v>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30"/>
      <c r="HS16" s="30"/>
      <c r="HT16" s="30"/>
      <c r="HU16" s="30"/>
      <c r="HV16" s="30"/>
      <c r="HW16" s="30"/>
      <c r="HX16" s="30"/>
      <c r="HY16" s="30"/>
      <c r="HZ16" s="31"/>
      <c r="IA16" s="31"/>
      <c r="IB16" s="31"/>
      <c r="IC16" s="31"/>
      <c r="ID16" s="31"/>
      <c r="IE16" s="31"/>
      <c r="IF16" s="31"/>
      <c r="IG16" s="31"/>
      <c r="IH16" s="31"/>
      <c r="II16" s="31"/>
    </row>
    <row r="17" spans="1:243">
      <c r="A17" s="47" t="s">
        <v>32</v>
      </c>
      <c r="B17" s="48">
        <v>-353540</v>
      </c>
      <c r="C17" s="48">
        <v>-226475</v>
      </c>
      <c r="D17" s="47">
        <f t="shared" si="7"/>
        <v>-290007.5</v>
      </c>
      <c r="E17" s="50">
        <v>0</v>
      </c>
      <c r="F17" s="32">
        <f>E17*D17</f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30"/>
      <c r="HS17" s="30"/>
      <c r="HT17" s="30"/>
      <c r="HU17" s="30"/>
      <c r="HV17" s="30"/>
      <c r="HW17" s="30"/>
      <c r="HX17" s="30"/>
      <c r="HY17" s="30"/>
      <c r="HZ17" s="31"/>
      <c r="IA17" s="31"/>
      <c r="IB17" s="31"/>
      <c r="IC17" s="31"/>
      <c r="ID17" s="31"/>
      <c r="IE17" s="31"/>
      <c r="IF17" s="31"/>
      <c r="IG17" s="31"/>
      <c r="IH17" s="31"/>
      <c r="II17" s="31"/>
    </row>
    <row r="18" spans="1:243">
      <c r="A18" s="38" t="s">
        <v>62</v>
      </c>
      <c r="B18" s="38" t="s">
        <v>46</v>
      </c>
      <c r="C18" s="38" t="s">
        <v>43</v>
      </c>
      <c r="D18" s="38" t="s">
        <v>30</v>
      </c>
      <c r="E18" s="39" t="s">
        <v>0</v>
      </c>
      <c r="F18" s="38" t="s">
        <v>31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30"/>
      <c r="HV18" s="30"/>
      <c r="HW18" s="30"/>
      <c r="HX18" s="30"/>
      <c r="HY18" s="30"/>
      <c r="HZ18" s="30"/>
      <c r="IA18" s="30"/>
      <c r="IB18" s="30"/>
      <c r="IC18" s="31"/>
      <c r="ID18" s="31"/>
      <c r="IE18" s="31"/>
      <c r="IF18" s="31"/>
      <c r="IG18" s="31"/>
      <c r="IH18" s="31"/>
      <c r="II18" s="31"/>
    </row>
    <row r="19" spans="1:243">
      <c r="A19" s="47" t="s">
        <v>51</v>
      </c>
      <c r="B19" s="48">
        <v>1812000</v>
      </c>
      <c r="C19" s="49">
        <v>1500000</v>
      </c>
      <c r="D19" s="47">
        <f t="shared" ref="D19:D23" si="9">AVERAGE(B19:C19)</f>
        <v>1656000</v>
      </c>
      <c r="E19" s="50">
        <v>0</v>
      </c>
      <c r="F19" s="32">
        <f t="shared" ref="F19:F22" si="10">E19*D19</f>
        <v>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30"/>
      <c r="HV19" s="30"/>
      <c r="HW19" s="30"/>
      <c r="HX19" s="30"/>
      <c r="HY19" s="30"/>
      <c r="HZ19" s="30"/>
      <c r="IA19" s="30"/>
      <c r="IB19" s="30"/>
      <c r="IC19" s="31"/>
      <c r="ID19" s="31"/>
      <c r="IE19" s="31"/>
      <c r="IF19" s="31"/>
      <c r="IG19" s="31"/>
      <c r="IH19" s="31"/>
      <c r="II19" s="31"/>
    </row>
    <row r="20" spans="1:243">
      <c r="A20" s="47" t="s">
        <v>52</v>
      </c>
      <c r="B20" s="48">
        <f>180000+468600</f>
        <v>648600</v>
      </c>
      <c r="C20" s="49">
        <f>180000+426000</f>
        <v>606000</v>
      </c>
      <c r="D20" s="47">
        <f t="shared" si="9"/>
        <v>627300</v>
      </c>
      <c r="E20" s="50">
        <v>0</v>
      </c>
      <c r="F20" s="32">
        <f t="shared" si="10"/>
        <v>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30"/>
      <c r="HS20" s="30"/>
      <c r="HT20" s="30"/>
      <c r="HU20" s="30"/>
      <c r="HV20" s="30"/>
      <c r="HW20" s="30"/>
      <c r="HX20" s="30"/>
      <c r="HY20" s="30"/>
      <c r="HZ20" s="31"/>
      <c r="IA20" s="31"/>
      <c r="IB20" s="31"/>
      <c r="IC20" s="31"/>
      <c r="ID20" s="31"/>
      <c r="IE20" s="31"/>
      <c r="IF20" s="31"/>
      <c r="IG20" s="31"/>
      <c r="IH20" s="31"/>
      <c r="II20" s="31"/>
    </row>
    <row r="21" spans="1:243">
      <c r="A21" s="47" t="s">
        <v>53</v>
      </c>
      <c r="B21" s="48">
        <f>240000+654691</f>
        <v>894691</v>
      </c>
      <c r="C21" s="49">
        <f>123722+240000+559865</f>
        <v>923587</v>
      </c>
      <c r="D21" s="47">
        <f t="shared" ref="D21" si="11">AVERAGE(B21:C21)</f>
        <v>909139</v>
      </c>
      <c r="E21" s="50">
        <v>0</v>
      </c>
      <c r="F21" s="32">
        <f t="shared" ref="F21" si="12">E21*D21</f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30"/>
      <c r="HS21" s="30"/>
      <c r="HT21" s="30"/>
      <c r="HU21" s="30"/>
      <c r="HV21" s="30"/>
      <c r="HW21" s="30"/>
      <c r="HX21" s="30"/>
      <c r="HY21" s="30"/>
      <c r="HZ21" s="31"/>
      <c r="IA21" s="31"/>
      <c r="IB21" s="31"/>
      <c r="IC21" s="31"/>
      <c r="ID21" s="31"/>
      <c r="IE21" s="31"/>
      <c r="IF21" s="31"/>
      <c r="IG21" s="31"/>
      <c r="IH21" s="31"/>
      <c r="II21" s="31"/>
    </row>
    <row r="22" spans="1:243">
      <c r="A22" s="47" t="s">
        <v>47</v>
      </c>
      <c r="B22" s="48">
        <f>274+138+864+30+5064+629661+185000</f>
        <v>821031</v>
      </c>
      <c r="C22" s="49">
        <f>28+43994+530000+251500</f>
        <v>825522</v>
      </c>
      <c r="D22" s="47">
        <f t="shared" si="9"/>
        <v>823276.5</v>
      </c>
      <c r="E22" s="50">
        <v>0</v>
      </c>
      <c r="F22" s="32">
        <f t="shared" si="10"/>
        <v>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30"/>
      <c r="HS22" s="30"/>
      <c r="HT22" s="30"/>
      <c r="HU22" s="30"/>
      <c r="HV22" s="30"/>
      <c r="HW22" s="30"/>
      <c r="HX22" s="30"/>
      <c r="HY22" s="30"/>
      <c r="HZ22" s="31"/>
      <c r="IA22" s="31"/>
      <c r="IB22" s="31"/>
      <c r="IC22" s="31"/>
      <c r="ID22" s="31"/>
      <c r="IE22" s="31"/>
      <c r="IF22" s="31"/>
      <c r="IG22" s="31"/>
      <c r="IH22" s="31"/>
      <c r="II22" s="31"/>
    </row>
    <row r="23" spans="1:243">
      <c r="A23" s="47" t="s">
        <v>32</v>
      </c>
      <c r="B23" s="48">
        <v>-621426</v>
      </c>
      <c r="C23" s="48">
        <v>-485663</v>
      </c>
      <c r="D23" s="47">
        <f t="shared" si="9"/>
        <v>-553544.5</v>
      </c>
      <c r="E23" s="50">
        <v>0</v>
      </c>
      <c r="F23" s="32">
        <f>E23*D23</f>
        <v>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30"/>
      <c r="HS23" s="30"/>
      <c r="HT23" s="30"/>
      <c r="HU23" s="30"/>
      <c r="HV23" s="30"/>
      <c r="HW23" s="30"/>
      <c r="HX23" s="30"/>
      <c r="HY23" s="30"/>
      <c r="HZ23" s="31"/>
      <c r="IA23" s="31"/>
      <c r="IB23" s="31"/>
      <c r="IC23" s="31"/>
      <c r="ID23" s="31"/>
      <c r="IE23" s="31"/>
      <c r="IF23" s="31"/>
      <c r="IG23" s="31"/>
      <c r="IH23" s="31"/>
      <c r="II23" s="31"/>
    </row>
    <row r="24" spans="1:243" ht="10.5" customHeight="1">
      <c r="A24" s="40" t="s">
        <v>33</v>
      </c>
      <c r="B24" s="41"/>
      <c r="C24" s="41"/>
      <c r="D24" s="41"/>
      <c r="E24" s="41"/>
      <c r="F24" s="42">
        <f>+SUM(F3:F12)</f>
        <v>4149434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30"/>
      <c r="IA24" s="30"/>
      <c r="IB24" s="30"/>
      <c r="IC24" s="30"/>
      <c r="ID24" s="30"/>
      <c r="IE24" s="30"/>
      <c r="IF24" s="30"/>
      <c r="IG24" s="30"/>
      <c r="IH24" s="31"/>
      <c r="II24" s="31"/>
    </row>
    <row r="25" spans="1:243" ht="10.5" customHeight="1">
      <c r="A25" s="36" t="s">
        <v>34</v>
      </c>
      <c r="B25" s="43"/>
      <c r="C25" s="43"/>
      <c r="D25" s="43"/>
      <c r="E25" s="43"/>
      <c r="F25" s="42">
        <f>F24/12</f>
        <v>345786.16666666669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30"/>
      <c r="IA25" s="30"/>
      <c r="IB25" s="30"/>
      <c r="IC25" s="30"/>
      <c r="ID25" s="30"/>
      <c r="IE25" s="30"/>
      <c r="IF25" s="30"/>
      <c r="IG25" s="30"/>
      <c r="IH25" s="31"/>
      <c r="II25" s="31"/>
    </row>
    <row r="26" spans="1:243" ht="10.5" customHeight="1">
      <c r="A26" s="36" t="s">
        <v>35</v>
      </c>
      <c r="B26" s="43"/>
      <c r="C26" s="43"/>
      <c r="D26" s="43"/>
      <c r="E26" s="43"/>
      <c r="F26" s="32">
        <f>RTR!M9</f>
        <v>237777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30"/>
      <c r="IA26" s="30"/>
      <c r="IB26" s="30"/>
      <c r="IC26" s="30"/>
      <c r="ID26" s="30"/>
      <c r="IE26" s="30"/>
      <c r="IF26" s="30"/>
      <c r="IG26" s="30"/>
      <c r="IH26" s="31"/>
      <c r="II26" s="31"/>
    </row>
    <row r="27" spans="1:243" ht="10.5" customHeight="1">
      <c r="A27" s="36" t="s">
        <v>44</v>
      </c>
      <c r="B27" s="36"/>
      <c r="C27" s="36"/>
      <c r="D27" s="36"/>
      <c r="E27" s="36"/>
      <c r="F27" s="44">
        <v>1.25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30"/>
      <c r="IA27" s="30"/>
      <c r="IB27" s="30"/>
      <c r="IC27" s="30"/>
      <c r="ID27" s="30"/>
      <c r="IE27" s="30"/>
      <c r="IF27" s="30"/>
      <c r="IG27" s="30"/>
      <c r="IH27" s="31"/>
      <c r="II27" s="31"/>
    </row>
    <row r="28" spans="1:243" ht="10.5" customHeight="1">
      <c r="A28" s="36" t="s">
        <v>36</v>
      </c>
      <c r="B28" s="43"/>
      <c r="C28" s="43"/>
      <c r="D28" s="43"/>
      <c r="E28" s="43"/>
      <c r="F28" s="38">
        <f>(F25*F27)-F26</f>
        <v>194455.70833333337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30"/>
      <c r="IA28" s="30"/>
      <c r="IB28" s="30"/>
      <c r="IC28" s="30"/>
      <c r="ID28" s="30"/>
      <c r="IE28" s="30"/>
      <c r="IF28" s="30"/>
      <c r="IG28" s="30"/>
      <c r="IH28" s="31"/>
      <c r="II28" s="31"/>
    </row>
    <row r="29" spans="1:243" ht="10.5" customHeight="1">
      <c r="A29" s="36" t="s">
        <v>37</v>
      </c>
      <c r="B29" s="43"/>
      <c r="C29" s="43"/>
      <c r="D29" s="43"/>
      <c r="E29" s="43"/>
      <c r="F29" s="36">
        <v>120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30"/>
      <c r="IA29" s="30"/>
      <c r="IB29" s="30"/>
      <c r="IC29" s="30"/>
      <c r="ID29" s="30"/>
      <c r="IE29" s="30"/>
      <c r="IF29" s="30"/>
      <c r="IG29" s="30"/>
      <c r="IH29" s="31"/>
      <c r="II29" s="31"/>
    </row>
    <row r="30" spans="1:243" ht="10.5" customHeight="1">
      <c r="A30" s="36" t="s">
        <v>38</v>
      </c>
      <c r="B30" s="43"/>
      <c r="C30" s="43"/>
      <c r="D30" s="43"/>
      <c r="E30" s="43"/>
      <c r="F30" s="44">
        <v>0.09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30"/>
      <c r="IA30" s="30"/>
      <c r="IB30" s="30"/>
      <c r="IC30" s="30"/>
      <c r="ID30" s="30"/>
      <c r="IE30" s="30"/>
      <c r="IF30" s="30"/>
      <c r="IG30" s="30"/>
      <c r="IH30" s="31"/>
      <c r="II30" s="31"/>
    </row>
    <row r="31" spans="1:243" ht="10.5" customHeight="1">
      <c r="A31" s="36" t="s">
        <v>39</v>
      </c>
      <c r="B31" s="43"/>
      <c r="C31" s="43"/>
      <c r="D31" s="43"/>
      <c r="E31" s="43"/>
      <c r="F31" s="45">
        <f>PMT(F30/12,F29,-100000)</f>
        <v>1266.757737502486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30"/>
      <c r="IA31" s="30"/>
      <c r="IB31" s="30"/>
      <c r="IC31" s="30"/>
      <c r="ID31" s="30"/>
      <c r="IE31" s="30"/>
      <c r="IF31" s="30"/>
      <c r="IG31" s="30"/>
      <c r="IH31" s="31"/>
      <c r="II31" s="31"/>
    </row>
    <row r="32" spans="1:243" ht="10.5" customHeight="1">
      <c r="A32" s="36" t="s">
        <v>40</v>
      </c>
      <c r="B32" s="43"/>
      <c r="C32" s="43"/>
      <c r="D32" s="43"/>
      <c r="E32" s="43"/>
      <c r="F32" s="46">
        <f>F28/F31</f>
        <v>153.50662764982854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30"/>
      <c r="IA32" s="30"/>
      <c r="IB32" s="30"/>
      <c r="IC32" s="30"/>
      <c r="ID32" s="30"/>
      <c r="IE32" s="30"/>
      <c r="IF32" s="30"/>
      <c r="IG32" s="30"/>
      <c r="IH32" s="31"/>
      <c r="II32" s="31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22"/>
  <sheetViews>
    <sheetView zoomScale="136" zoomScaleNormal="136" workbookViewId="0">
      <selection activeCell="M4" sqref="M4"/>
    </sheetView>
  </sheetViews>
  <sheetFormatPr defaultColWidth="22.140625" defaultRowHeight="8.25" customHeight="1"/>
  <cols>
    <col min="1" max="1" width="5.28515625" style="20" bestFit="1" customWidth="1"/>
    <col min="2" max="2" width="16" style="20" bestFit="1" customWidth="1"/>
    <col min="3" max="3" width="14.28515625" style="20" bestFit="1" customWidth="1"/>
    <col min="4" max="4" width="8.5703125" style="20" bestFit="1" customWidth="1"/>
    <col min="5" max="5" width="5.140625" style="20" bestFit="1" customWidth="1"/>
    <col min="6" max="6" width="7.85546875" style="20" bestFit="1" customWidth="1"/>
    <col min="7" max="7" width="5.7109375" style="20" bestFit="1" customWidth="1"/>
    <col min="8" max="8" width="11" style="20" bestFit="1" customWidth="1"/>
    <col min="9" max="9" width="10.28515625" style="20" bestFit="1" customWidth="1"/>
    <col min="10" max="10" width="6.7109375" style="20" bestFit="1" customWidth="1"/>
    <col min="11" max="11" width="5.85546875" style="20" bestFit="1" customWidth="1"/>
    <col min="12" max="12" width="6.42578125" style="20" bestFit="1" customWidth="1"/>
    <col min="13" max="13" width="11.42578125" style="20" bestFit="1" customWidth="1"/>
    <col min="14" max="247" width="22.140625" style="20"/>
    <col min="248" max="16384" width="22.140625" style="21"/>
  </cols>
  <sheetData>
    <row r="1" spans="1:247" ht="11.25">
      <c r="A1" s="59" t="s">
        <v>1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9" t="s">
        <v>65</v>
      </c>
      <c r="H1" s="59" t="s">
        <v>48</v>
      </c>
      <c r="I1" s="59" t="s">
        <v>49</v>
      </c>
      <c r="J1" s="59" t="s">
        <v>66</v>
      </c>
      <c r="K1" s="59" t="s">
        <v>67</v>
      </c>
      <c r="L1" s="59" t="s">
        <v>7</v>
      </c>
      <c r="M1" s="59" t="s">
        <v>41</v>
      </c>
    </row>
    <row r="2" spans="1:247" s="24" customFormat="1" ht="11.25">
      <c r="A2" s="51">
        <v>1</v>
      </c>
      <c r="B2" s="52">
        <v>652641371</v>
      </c>
      <c r="C2" s="51" t="s">
        <v>55</v>
      </c>
      <c r="D2" s="51" t="s">
        <v>56</v>
      </c>
      <c r="E2" s="52" t="s">
        <v>57</v>
      </c>
      <c r="F2" s="52">
        <v>12100000</v>
      </c>
      <c r="G2" s="52">
        <v>180</v>
      </c>
      <c r="H2" s="53">
        <v>44166</v>
      </c>
      <c r="I2" s="53">
        <v>49614</v>
      </c>
      <c r="J2" s="52">
        <v>4</v>
      </c>
      <c r="K2" s="52">
        <v>176</v>
      </c>
      <c r="L2" s="52">
        <v>115634</v>
      </c>
      <c r="M2" s="25" t="s">
        <v>58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</row>
    <row r="3" spans="1:247" s="24" customFormat="1" ht="11.25">
      <c r="A3" s="28">
        <v>2</v>
      </c>
      <c r="B3" s="26">
        <v>652641278</v>
      </c>
      <c r="C3" s="28" t="s">
        <v>55</v>
      </c>
      <c r="D3" s="28" t="s">
        <v>56</v>
      </c>
      <c r="E3" s="26" t="s">
        <v>57</v>
      </c>
      <c r="F3" s="26">
        <v>24000000</v>
      </c>
      <c r="G3" s="26"/>
      <c r="H3" s="54"/>
      <c r="I3" s="54"/>
      <c r="J3" s="26"/>
      <c r="K3" s="26"/>
      <c r="L3" s="26">
        <v>35000</v>
      </c>
      <c r="M3" s="57" t="s">
        <v>58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</row>
    <row r="4" spans="1:247" s="24" customFormat="1" ht="11.25">
      <c r="A4" s="28">
        <v>3</v>
      </c>
      <c r="B4" s="26">
        <v>30112383</v>
      </c>
      <c r="C4" s="28" t="s">
        <v>50</v>
      </c>
      <c r="D4" s="28" t="s">
        <v>59</v>
      </c>
      <c r="E4" s="26" t="s">
        <v>60</v>
      </c>
      <c r="F4" s="26">
        <v>14000000</v>
      </c>
      <c r="G4" s="26">
        <v>180</v>
      </c>
      <c r="H4" s="54">
        <v>43923</v>
      </c>
      <c r="I4" s="54">
        <v>49370</v>
      </c>
      <c r="J4" s="26">
        <v>12</v>
      </c>
      <c r="K4" s="26">
        <f>180-12</f>
        <v>168</v>
      </c>
      <c r="L4" s="26">
        <v>150455</v>
      </c>
      <c r="M4" s="57" t="s">
        <v>45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</row>
    <row r="5" spans="1:247" s="24" customFormat="1" ht="11.25">
      <c r="A5" s="51">
        <v>4</v>
      </c>
      <c r="B5" s="52" t="s">
        <v>61</v>
      </c>
      <c r="C5" s="51" t="s">
        <v>62</v>
      </c>
      <c r="D5" s="51" t="s">
        <v>63</v>
      </c>
      <c r="E5" s="52" t="s">
        <v>64</v>
      </c>
      <c r="F5" s="52">
        <v>17500000</v>
      </c>
      <c r="G5" s="52">
        <v>75</v>
      </c>
      <c r="H5" s="53">
        <v>42282</v>
      </c>
      <c r="I5" s="53">
        <v>44328</v>
      </c>
      <c r="J5" s="52">
        <v>66</v>
      </c>
      <c r="K5" s="52">
        <f>75-66</f>
        <v>9</v>
      </c>
      <c r="L5" s="52">
        <v>45571</v>
      </c>
      <c r="M5" s="25" t="s">
        <v>58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</row>
    <row r="6" spans="1:247" s="24" customFormat="1" ht="11.25">
      <c r="A6" s="28">
        <v>5</v>
      </c>
      <c r="B6" s="26" t="s">
        <v>68</v>
      </c>
      <c r="C6" s="28" t="s">
        <v>50</v>
      </c>
      <c r="D6" s="28" t="s">
        <v>63</v>
      </c>
      <c r="E6" s="26" t="s">
        <v>60</v>
      </c>
      <c r="F6" s="26">
        <v>17500000</v>
      </c>
      <c r="G6" s="26">
        <v>72</v>
      </c>
      <c r="H6" s="54">
        <v>42374</v>
      </c>
      <c r="I6" s="54">
        <v>44535</v>
      </c>
      <c r="J6" s="26">
        <v>63</v>
      </c>
      <c r="K6" s="26">
        <f>72-63</f>
        <v>9</v>
      </c>
      <c r="L6" s="26">
        <v>41572</v>
      </c>
      <c r="M6" s="57" t="s">
        <v>58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</row>
    <row r="7" spans="1:247" s="24" customFormat="1" ht="11.25">
      <c r="A7" s="51">
        <v>6</v>
      </c>
      <c r="B7" s="52">
        <v>30114067</v>
      </c>
      <c r="C7" s="51" t="s">
        <v>50</v>
      </c>
      <c r="D7" s="51" t="s">
        <v>59</v>
      </c>
      <c r="E7" s="52" t="s">
        <v>60</v>
      </c>
      <c r="F7" s="52">
        <v>16000000</v>
      </c>
      <c r="G7" s="52">
        <v>180</v>
      </c>
      <c r="H7" s="53">
        <v>43923</v>
      </c>
      <c r="I7" s="53">
        <v>49370</v>
      </c>
      <c r="J7" s="52">
        <v>12</v>
      </c>
      <c r="K7" s="52">
        <f>180-12</f>
        <v>168</v>
      </c>
      <c r="L7" s="52">
        <v>171937</v>
      </c>
      <c r="M7" s="25" t="s">
        <v>45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</row>
    <row r="8" spans="1:247" s="24" customFormat="1" ht="11.25">
      <c r="A8" s="28"/>
      <c r="B8" s="26"/>
      <c r="C8" s="28"/>
      <c r="D8" s="28"/>
      <c r="E8" s="26"/>
      <c r="F8" s="26"/>
      <c r="G8" s="26"/>
      <c r="H8" s="55"/>
      <c r="I8" s="55"/>
      <c r="J8" s="56"/>
      <c r="K8" s="56"/>
      <c r="L8" s="56"/>
      <c r="M8" s="27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</row>
    <row r="9" spans="1:247" ht="11.25">
      <c r="M9" s="22">
        <f>SUMIF(M2:M8,"Y",L2:L8)</f>
        <v>237777</v>
      </c>
    </row>
    <row r="11" spans="1:247" ht="8.25" customHeight="1">
      <c r="IF11" s="21"/>
      <c r="IG11" s="21"/>
      <c r="IH11" s="21"/>
      <c r="II11" s="21"/>
      <c r="IJ11" s="21"/>
      <c r="IK11" s="21"/>
      <c r="IL11" s="21"/>
      <c r="IM11" s="21"/>
    </row>
    <row r="12" spans="1:247" ht="8.25" customHeight="1">
      <c r="IF12" s="21"/>
      <c r="IG12" s="21"/>
      <c r="IH12" s="21"/>
      <c r="II12" s="21"/>
      <c r="IJ12" s="21"/>
      <c r="IK12" s="21"/>
      <c r="IL12" s="21"/>
      <c r="IM12" s="21"/>
    </row>
    <row r="13" spans="1:247" ht="8.25" customHeight="1">
      <c r="IF13" s="21"/>
      <c r="IG13" s="21"/>
      <c r="IH13" s="21"/>
      <c r="II13" s="21"/>
      <c r="IJ13" s="21"/>
      <c r="IK13" s="21"/>
      <c r="IL13" s="21"/>
      <c r="IM13" s="21"/>
    </row>
    <row r="14" spans="1:247" ht="8.25" customHeight="1">
      <c r="IF14" s="21"/>
      <c r="IG14" s="21"/>
      <c r="IH14" s="21"/>
      <c r="II14" s="21"/>
      <c r="IJ14" s="21"/>
      <c r="IK14" s="21"/>
      <c r="IL14" s="21"/>
      <c r="IM14" s="21"/>
    </row>
    <row r="15" spans="1:247" ht="8.25" customHeight="1">
      <c r="IF15" s="21"/>
      <c r="IG15" s="21"/>
      <c r="IH15" s="21"/>
      <c r="II15" s="21"/>
      <c r="IJ15" s="21"/>
      <c r="IK15" s="21"/>
      <c r="IL15" s="21"/>
      <c r="IM15" s="21"/>
    </row>
    <row r="16" spans="1:247" ht="8.25" customHeight="1">
      <c r="IF16" s="21"/>
      <c r="IG16" s="21"/>
      <c r="IH16" s="21"/>
      <c r="II16" s="21"/>
      <c r="IJ16" s="21"/>
      <c r="IK16" s="21"/>
      <c r="IL16" s="21"/>
      <c r="IM16" s="21"/>
    </row>
    <row r="17" spans="240:247" ht="8.25" customHeight="1">
      <c r="IF17" s="21"/>
      <c r="IG17" s="21"/>
      <c r="IH17" s="21"/>
      <c r="II17" s="21"/>
      <c r="IJ17" s="21"/>
      <c r="IK17" s="21"/>
      <c r="IL17" s="21"/>
      <c r="IM17" s="21"/>
    </row>
    <row r="19" spans="240:247" ht="8.25" customHeight="1">
      <c r="IM19" s="21"/>
    </row>
    <row r="20" spans="240:247" ht="8.25" customHeight="1">
      <c r="IM20" s="21"/>
    </row>
    <row r="21" spans="240:247" ht="8.25" customHeight="1">
      <c r="IM21" s="21"/>
    </row>
    <row r="22" spans="240:247" ht="8.25" customHeight="1">
      <c r="IM22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1" t="s">
        <v>8</v>
      </c>
      <c r="B1" s="61"/>
      <c r="C1" s="2"/>
    </row>
    <row r="2" spans="1:6" ht="14.25" customHeight="1">
      <c r="A2" s="61" t="s">
        <v>9</v>
      </c>
      <c r="B2" s="61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I32"/>
  <sheetViews>
    <sheetView topLeftCell="A6" zoomScale="148" zoomScaleNormal="148" workbookViewId="0">
      <selection activeCell="F27" sqref="F27"/>
    </sheetView>
  </sheetViews>
  <sheetFormatPr defaultColWidth="31.28515625" defaultRowHeight="12"/>
  <cols>
    <col min="1" max="1" width="35.5703125" style="33" bestFit="1" customWidth="1"/>
    <col min="2" max="3" width="7.42578125" style="33" bestFit="1" customWidth="1"/>
    <col min="4" max="4" width="9.28515625" style="33" bestFit="1" customWidth="1"/>
    <col min="5" max="5" width="8.42578125" style="33" bestFit="1" customWidth="1"/>
    <col min="6" max="6" width="13.5703125" style="33" customWidth="1"/>
    <col min="7" max="7" width="14.5703125" style="33" customWidth="1"/>
    <col min="8" max="8" width="11.42578125" style="33" customWidth="1"/>
    <col min="9" max="9" width="7" style="33" customWidth="1"/>
    <col min="10" max="10" width="9.140625" style="33" customWidth="1"/>
    <col min="11" max="11" width="6.42578125" style="33" customWidth="1"/>
    <col min="12" max="12" width="12" style="33" customWidth="1"/>
    <col min="13" max="13" width="11" style="33" customWidth="1"/>
    <col min="14" max="14" width="11.5703125" style="33" customWidth="1"/>
    <col min="15" max="15" width="12" style="33" customWidth="1"/>
    <col min="16" max="233" width="31.28515625" style="33"/>
    <col min="234" max="241" width="31.28515625" style="34"/>
    <col min="242" max="243" width="31.28515625" style="35"/>
    <col min="244" max="16384" width="31.28515625" style="31"/>
  </cols>
  <sheetData>
    <row r="1" spans="1:243" ht="12.75" customHeight="1">
      <c r="A1" s="58" t="s">
        <v>50</v>
      </c>
      <c r="B1" s="60" t="s">
        <v>42</v>
      </c>
      <c r="C1" s="60"/>
      <c r="D1" s="58"/>
      <c r="E1" s="58"/>
      <c r="F1" s="58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30"/>
      <c r="IA1" s="30"/>
      <c r="IB1" s="30"/>
      <c r="IC1" s="30"/>
      <c r="ID1" s="30"/>
      <c r="IE1" s="30"/>
      <c r="IF1" s="30"/>
      <c r="IG1" s="30"/>
      <c r="IH1" s="31"/>
      <c r="II1" s="31"/>
    </row>
    <row r="2" spans="1:243">
      <c r="A2" s="38" t="s">
        <v>50</v>
      </c>
      <c r="B2" s="38" t="s">
        <v>46</v>
      </c>
      <c r="C2" s="38" t="s">
        <v>43</v>
      </c>
      <c r="D2" s="38" t="s">
        <v>30</v>
      </c>
      <c r="E2" s="39" t="s">
        <v>0</v>
      </c>
      <c r="F2" s="38" t="s">
        <v>31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</row>
    <row r="3" spans="1:243">
      <c r="A3" s="47" t="s">
        <v>51</v>
      </c>
      <c r="B3" s="48">
        <v>1812000</v>
      </c>
      <c r="C3" s="49">
        <v>1500000</v>
      </c>
      <c r="D3" s="47">
        <f t="shared" ref="D3:D7" si="0">AVERAGE(B3:C3)</f>
        <v>1656000</v>
      </c>
      <c r="E3" s="50">
        <v>0</v>
      </c>
      <c r="F3" s="32">
        <f t="shared" ref="F3:F6" si="1">E3*D3</f>
        <v>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</row>
    <row r="4" spans="1:243">
      <c r="A4" s="47" t="s">
        <v>52</v>
      </c>
      <c r="B4" s="48">
        <f>180000+468600</f>
        <v>648600</v>
      </c>
      <c r="C4" s="49">
        <f>180000+426000</f>
        <v>606000</v>
      </c>
      <c r="D4" s="47">
        <f t="shared" si="0"/>
        <v>627300</v>
      </c>
      <c r="E4" s="50">
        <v>0</v>
      </c>
      <c r="F4" s="32">
        <f t="shared" si="1"/>
        <v>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1"/>
      <c r="II4" s="31"/>
    </row>
    <row r="5" spans="1:243">
      <c r="A5" s="47" t="s">
        <v>54</v>
      </c>
      <c r="B5" s="48">
        <f>1154922+1039916</f>
        <v>2194838</v>
      </c>
      <c r="C5" s="49">
        <f>226462+858928</f>
        <v>1085390</v>
      </c>
      <c r="D5" s="47">
        <f t="shared" si="0"/>
        <v>1640114</v>
      </c>
      <c r="E5" s="50">
        <v>0</v>
      </c>
      <c r="F5" s="32">
        <f t="shared" si="1"/>
        <v>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1"/>
      <c r="II5" s="31"/>
    </row>
    <row r="6" spans="1:243">
      <c r="A6" s="47" t="s">
        <v>47</v>
      </c>
      <c r="B6" s="48">
        <f>3366+3081+597540</f>
        <v>603987</v>
      </c>
      <c r="C6" s="49">
        <f>6429+405000</f>
        <v>411429</v>
      </c>
      <c r="D6" s="47">
        <f t="shared" si="0"/>
        <v>507708</v>
      </c>
      <c r="E6" s="50">
        <v>0</v>
      </c>
      <c r="F6" s="32">
        <f t="shared" si="1"/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1"/>
      <c r="II6" s="31"/>
    </row>
    <row r="7" spans="1:243">
      <c r="A7" s="47" t="s">
        <v>32</v>
      </c>
      <c r="B7" s="48">
        <v>-996441</v>
      </c>
      <c r="C7" s="48">
        <v>-688211</v>
      </c>
      <c r="D7" s="47">
        <f t="shared" si="0"/>
        <v>-842326</v>
      </c>
      <c r="E7" s="50">
        <v>0</v>
      </c>
      <c r="F7" s="32">
        <f>E7*D7</f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1"/>
      <c r="II7" s="31"/>
    </row>
    <row r="8" spans="1:243">
      <c r="A8" s="38" t="s">
        <v>55</v>
      </c>
      <c r="B8" s="38" t="s">
        <v>46</v>
      </c>
      <c r="C8" s="38" t="s">
        <v>43</v>
      </c>
      <c r="D8" s="38" t="s">
        <v>30</v>
      </c>
      <c r="E8" s="39" t="s">
        <v>0</v>
      </c>
      <c r="F8" s="38" t="s">
        <v>31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30"/>
      <c r="HV8" s="30"/>
      <c r="HW8" s="30"/>
      <c r="HX8" s="30"/>
      <c r="HY8" s="30"/>
      <c r="HZ8" s="30"/>
      <c r="IA8" s="30"/>
      <c r="IB8" s="30"/>
      <c r="IC8" s="31"/>
      <c r="ID8" s="31"/>
      <c r="IE8" s="31"/>
      <c r="IF8" s="31"/>
      <c r="IG8" s="31"/>
      <c r="IH8" s="31"/>
      <c r="II8" s="31"/>
    </row>
    <row r="9" spans="1:243">
      <c r="A9" s="47" t="s">
        <v>51</v>
      </c>
      <c r="B9" s="48">
        <v>1245000</v>
      </c>
      <c r="C9" s="49"/>
      <c r="D9" s="47">
        <f t="shared" ref="D9:D12" si="2">AVERAGE(B9:C9)</f>
        <v>1245000</v>
      </c>
      <c r="E9" s="50">
        <v>0</v>
      </c>
      <c r="F9" s="32">
        <f t="shared" ref="F9:F11" si="3">E9*D9</f>
        <v>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30"/>
      <c r="HV9" s="30"/>
      <c r="HW9" s="30"/>
      <c r="HX9" s="30"/>
      <c r="HY9" s="30"/>
      <c r="HZ9" s="30"/>
      <c r="IA9" s="30"/>
      <c r="IB9" s="30"/>
      <c r="IC9" s="31"/>
      <c r="ID9" s="31"/>
      <c r="IE9" s="31"/>
      <c r="IF9" s="31"/>
      <c r="IG9" s="31"/>
      <c r="IH9" s="31"/>
      <c r="II9" s="31"/>
    </row>
    <row r="10" spans="1:243">
      <c r="A10" s="47" t="s">
        <v>52</v>
      </c>
      <c r="B10" s="48">
        <v>792000</v>
      </c>
      <c r="C10" s="49"/>
      <c r="D10" s="47">
        <f t="shared" si="2"/>
        <v>792000</v>
      </c>
      <c r="E10" s="50">
        <v>0</v>
      </c>
      <c r="F10" s="32">
        <f t="shared" si="3"/>
        <v>0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30"/>
      <c r="HS10" s="30"/>
      <c r="HT10" s="30"/>
      <c r="HU10" s="30"/>
      <c r="HV10" s="30"/>
      <c r="HW10" s="30"/>
      <c r="HX10" s="30"/>
      <c r="HY10" s="30"/>
      <c r="HZ10" s="31"/>
      <c r="IA10" s="31"/>
      <c r="IB10" s="31"/>
      <c r="IC10" s="31"/>
      <c r="ID10" s="31"/>
      <c r="IE10" s="31"/>
      <c r="IF10" s="31"/>
      <c r="IG10" s="31"/>
      <c r="IH10" s="31"/>
      <c r="II10" s="31"/>
    </row>
    <row r="11" spans="1:243">
      <c r="A11" s="47" t="s">
        <v>47</v>
      </c>
      <c r="B11" s="48">
        <f>10000+1764700+471883+35000</f>
        <v>2281583</v>
      </c>
      <c r="C11" s="49"/>
      <c r="D11" s="47">
        <f t="shared" si="2"/>
        <v>2281583</v>
      </c>
      <c r="E11" s="50">
        <v>0</v>
      </c>
      <c r="F11" s="32">
        <f t="shared" si="3"/>
        <v>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30"/>
      <c r="HS11" s="30"/>
      <c r="HT11" s="30"/>
      <c r="HU11" s="30"/>
      <c r="HV11" s="30"/>
      <c r="HW11" s="30"/>
      <c r="HX11" s="30"/>
      <c r="HY11" s="30"/>
      <c r="HZ11" s="31"/>
      <c r="IA11" s="31"/>
      <c r="IB11" s="31"/>
      <c r="IC11" s="31"/>
      <c r="ID11" s="31"/>
      <c r="IE11" s="31"/>
      <c r="IF11" s="31"/>
      <c r="IG11" s="31"/>
      <c r="IH11" s="31"/>
      <c r="II11" s="31"/>
    </row>
    <row r="12" spans="1:243">
      <c r="A12" s="47" t="s">
        <v>32</v>
      </c>
      <c r="B12" s="48">
        <v>-751087</v>
      </c>
      <c r="C12" s="48">
        <v>-285655</v>
      </c>
      <c r="D12" s="47">
        <f t="shared" si="2"/>
        <v>-518371</v>
      </c>
      <c r="E12" s="50">
        <v>0</v>
      </c>
      <c r="F12" s="32">
        <f>E12*D12</f>
        <v>0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30"/>
      <c r="HS12" s="30"/>
      <c r="HT12" s="30"/>
      <c r="HU12" s="30"/>
      <c r="HV12" s="30"/>
      <c r="HW12" s="30"/>
      <c r="HX12" s="30"/>
      <c r="HY12" s="30"/>
      <c r="HZ12" s="31"/>
      <c r="IA12" s="31"/>
      <c r="IB12" s="31"/>
      <c r="IC12" s="31"/>
      <c r="ID12" s="31"/>
      <c r="IE12" s="31"/>
      <c r="IF12" s="31"/>
      <c r="IG12" s="31"/>
      <c r="IH12" s="31"/>
      <c r="II12" s="31"/>
    </row>
    <row r="13" spans="1:243">
      <c r="A13" s="38" t="s">
        <v>69</v>
      </c>
      <c r="B13" s="38" t="s">
        <v>46</v>
      </c>
      <c r="C13" s="38" t="s">
        <v>43</v>
      </c>
      <c r="D13" s="38" t="s">
        <v>30</v>
      </c>
      <c r="E13" s="39" t="s">
        <v>0</v>
      </c>
      <c r="F13" s="38" t="s">
        <v>31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30"/>
      <c r="HV13" s="30"/>
      <c r="HW13" s="30"/>
      <c r="HX13" s="30"/>
      <c r="HY13" s="30"/>
      <c r="HZ13" s="30"/>
      <c r="IA13" s="30"/>
      <c r="IB13" s="30"/>
      <c r="IC13" s="31"/>
      <c r="ID13" s="31"/>
      <c r="IE13" s="31"/>
      <c r="IF13" s="31"/>
      <c r="IG13" s="31"/>
      <c r="IH13" s="31"/>
      <c r="II13" s="31"/>
    </row>
    <row r="14" spans="1:243">
      <c r="A14" s="47" t="s">
        <v>70</v>
      </c>
      <c r="B14" s="48">
        <v>0</v>
      </c>
      <c r="C14" s="49">
        <f>300000+23220</f>
        <v>323220</v>
      </c>
      <c r="D14" s="47">
        <f t="shared" ref="D14:D17" si="4">AVERAGE(B14:C14)</f>
        <v>161610</v>
      </c>
      <c r="E14" s="50">
        <v>0.5</v>
      </c>
      <c r="F14" s="32">
        <f t="shared" ref="F14:F16" si="5">E14*D14</f>
        <v>80805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30"/>
      <c r="HV14" s="30"/>
      <c r="HW14" s="30"/>
      <c r="HX14" s="30"/>
      <c r="HY14" s="30"/>
      <c r="HZ14" s="30"/>
      <c r="IA14" s="30"/>
      <c r="IB14" s="30"/>
      <c r="IC14" s="31"/>
      <c r="ID14" s="31"/>
      <c r="IE14" s="31"/>
      <c r="IF14" s="31"/>
      <c r="IG14" s="31"/>
      <c r="IH14" s="31"/>
      <c r="II14" s="31"/>
    </row>
    <row r="15" spans="1:243">
      <c r="A15" s="47" t="s">
        <v>52</v>
      </c>
      <c r="B15" s="48">
        <v>792000</v>
      </c>
      <c r="C15" s="49">
        <v>774000</v>
      </c>
      <c r="D15" s="47">
        <f t="shared" si="4"/>
        <v>783000</v>
      </c>
      <c r="E15" s="50">
        <v>0.5</v>
      </c>
      <c r="F15" s="32">
        <f t="shared" si="5"/>
        <v>391500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30"/>
      <c r="HS15" s="30"/>
      <c r="HT15" s="30"/>
      <c r="HU15" s="30"/>
      <c r="HV15" s="30"/>
      <c r="HW15" s="30"/>
      <c r="HX15" s="30"/>
      <c r="HY15" s="30"/>
      <c r="HZ15" s="31"/>
      <c r="IA15" s="31"/>
      <c r="IB15" s="31"/>
      <c r="IC15" s="31"/>
      <c r="ID15" s="31"/>
      <c r="IE15" s="31"/>
      <c r="IF15" s="31"/>
      <c r="IG15" s="31"/>
      <c r="IH15" s="31"/>
      <c r="II15" s="31"/>
    </row>
    <row r="16" spans="1:243">
      <c r="A16" s="47" t="s">
        <v>47</v>
      </c>
      <c r="B16" s="48">
        <f>1175500+81941+7693+150000</f>
        <v>1415134</v>
      </c>
      <c r="C16" s="49">
        <f>5284+1001609+820000</f>
        <v>1826893</v>
      </c>
      <c r="D16" s="47">
        <f t="shared" si="4"/>
        <v>1621013.5</v>
      </c>
      <c r="E16" s="50">
        <v>0.5</v>
      </c>
      <c r="F16" s="32">
        <f t="shared" si="5"/>
        <v>810506.75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30"/>
      <c r="HS16" s="30"/>
      <c r="HT16" s="30"/>
      <c r="HU16" s="30"/>
      <c r="HV16" s="30"/>
      <c r="HW16" s="30"/>
      <c r="HX16" s="30"/>
      <c r="HY16" s="30"/>
      <c r="HZ16" s="31"/>
      <c r="IA16" s="31"/>
      <c r="IB16" s="31"/>
      <c r="IC16" s="31"/>
      <c r="ID16" s="31"/>
      <c r="IE16" s="31"/>
      <c r="IF16" s="31"/>
      <c r="IG16" s="31"/>
      <c r="IH16" s="31"/>
      <c r="II16" s="31"/>
    </row>
    <row r="17" spans="1:243">
      <c r="A17" s="47" t="s">
        <v>32</v>
      </c>
      <c r="B17" s="48">
        <v>-353540</v>
      </c>
      <c r="C17" s="48">
        <v>-226475</v>
      </c>
      <c r="D17" s="47">
        <f t="shared" si="4"/>
        <v>-290007.5</v>
      </c>
      <c r="E17" s="50">
        <v>1</v>
      </c>
      <c r="F17" s="32">
        <f>E17*D17</f>
        <v>-290007.5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30"/>
      <c r="HS17" s="30"/>
      <c r="HT17" s="30"/>
      <c r="HU17" s="30"/>
      <c r="HV17" s="30"/>
      <c r="HW17" s="30"/>
      <c r="HX17" s="30"/>
      <c r="HY17" s="30"/>
      <c r="HZ17" s="31"/>
      <c r="IA17" s="31"/>
      <c r="IB17" s="31"/>
      <c r="IC17" s="31"/>
      <c r="ID17" s="31"/>
      <c r="IE17" s="31"/>
      <c r="IF17" s="31"/>
      <c r="IG17" s="31"/>
      <c r="IH17" s="31"/>
      <c r="II17" s="31"/>
    </row>
    <row r="18" spans="1:243">
      <c r="A18" s="38" t="s">
        <v>62</v>
      </c>
      <c r="B18" s="38" t="s">
        <v>46</v>
      </c>
      <c r="C18" s="38" t="s">
        <v>43</v>
      </c>
      <c r="D18" s="38" t="s">
        <v>30</v>
      </c>
      <c r="E18" s="39" t="s">
        <v>0</v>
      </c>
      <c r="F18" s="38" t="s">
        <v>31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30"/>
      <c r="HV18" s="30"/>
      <c r="HW18" s="30"/>
      <c r="HX18" s="30"/>
      <c r="HY18" s="30"/>
      <c r="HZ18" s="30"/>
      <c r="IA18" s="30"/>
      <c r="IB18" s="30"/>
      <c r="IC18" s="31"/>
      <c r="ID18" s="31"/>
      <c r="IE18" s="31"/>
      <c r="IF18" s="31"/>
      <c r="IG18" s="31"/>
      <c r="IH18" s="31"/>
      <c r="II18" s="31"/>
    </row>
    <row r="19" spans="1:243">
      <c r="A19" s="47" t="s">
        <v>51</v>
      </c>
      <c r="B19" s="48">
        <v>1812000</v>
      </c>
      <c r="C19" s="49">
        <v>1500000</v>
      </c>
      <c r="D19" s="47">
        <f t="shared" ref="D19:D23" si="6">AVERAGE(B19:C19)</f>
        <v>1656000</v>
      </c>
      <c r="E19" s="50">
        <v>0.5</v>
      </c>
      <c r="F19" s="32">
        <f t="shared" ref="F19:F22" si="7">E19*D19</f>
        <v>828000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30"/>
      <c r="HV19" s="30"/>
      <c r="HW19" s="30"/>
      <c r="HX19" s="30"/>
      <c r="HY19" s="30"/>
      <c r="HZ19" s="30"/>
      <c r="IA19" s="30"/>
      <c r="IB19" s="30"/>
      <c r="IC19" s="31"/>
      <c r="ID19" s="31"/>
      <c r="IE19" s="31"/>
      <c r="IF19" s="31"/>
      <c r="IG19" s="31"/>
      <c r="IH19" s="31"/>
      <c r="II19" s="31"/>
    </row>
    <row r="20" spans="1:243">
      <c r="A20" s="47" t="s">
        <v>52</v>
      </c>
      <c r="B20" s="48">
        <f>180000+468600</f>
        <v>648600</v>
      </c>
      <c r="C20" s="49">
        <f>180000+426000</f>
        <v>606000</v>
      </c>
      <c r="D20" s="47">
        <f t="shared" si="6"/>
        <v>627300</v>
      </c>
      <c r="E20" s="50">
        <v>0.5</v>
      </c>
      <c r="F20" s="32">
        <f t="shared" si="7"/>
        <v>313650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30"/>
      <c r="HS20" s="30"/>
      <c r="HT20" s="30"/>
      <c r="HU20" s="30"/>
      <c r="HV20" s="30"/>
      <c r="HW20" s="30"/>
      <c r="HX20" s="30"/>
      <c r="HY20" s="30"/>
      <c r="HZ20" s="31"/>
      <c r="IA20" s="31"/>
      <c r="IB20" s="31"/>
      <c r="IC20" s="31"/>
      <c r="ID20" s="31"/>
      <c r="IE20" s="31"/>
      <c r="IF20" s="31"/>
      <c r="IG20" s="31"/>
      <c r="IH20" s="31"/>
      <c r="II20" s="31"/>
    </row>
    <row r="21" spans="1:243">
      <c r="A21" s="47" t="s">
        <v>53</v>
      </c>
      <c r="B21" s="48">
        <f>240000+654691</f>
        <v>894691</v>
      </c>
      <c r="C21" s="49">
        <f>123722+240000+559865</f>
        <v>923587</v>
      </c>
      <c r="D21" s="47">
        <f t="shared" si="6"/>
        <v>909139</v>
      </c>
      <c r="E21" s="50">
        <v>0.5</v>
      </c>
      <c r="F21" s="32">
        <f t="shared" si="7"/>
        <v>454569.5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30"/>
      <c r="HS21" s="30"/>
      <c r="HT21" s="30"/>
      <c r="HU21" s="30"/>
      <c r="HV21" s="30"/>
      <c r="HW21" s="30"/>
      <c r="HX21" s="30"/>
      <c r="HY21" s="30"/>
      <c r="HZ21" s="31"/>
      <c r="IA21" s="31"/>
      <c r="IB21" s="31"/>
      <c r="IC21" s="31"/>
      <c r="ID21" s="31"/>
      <c r="IE21" s="31"/>
      <c r="IF21" s="31"/>
      <c r="IG21" s="31"/>
      <c r="IH21" s="31"/>
      <c r="II21" s="31"/>
    </row>
    <row r="22" spans="1:243">
      <c r="A22" s="47" t="s">
        <v>47</v>
      </c>
      <c r="B22" s="48">
        <f>274+138+864+30+5064+629661+185000</f>
        <v>821031</v>
      </c>
      <c r="C22" s="49">
        <f>28+43994+530000+251500</f>
        <v>825522</v>
      </c>
      <c r="D22" s="47">
        <f t="shared" si="6"/>
        <v>823276.5</v>
      </c>
      <c r="E22" s="50">
        <v>0.5</v>
      </c>
      <c r="F22" s="32">
        <f t="shared" si="7"/>
        <v>411638.25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30"/>
      <c r="HS22" s="30"/>
      <c r="HT22" s="30"/>
      <c r="HU22" s="30"/>
      <c r="HV22" s="30"/>
      <c r="HW22" s="30"/>
      <c r="HX22" s="30"/>
      <c r="HY22" s="30"/>
      <c r="HZ22" s="31"/>
      <c r="IA22" s="31"/>
      <c r="IB22" s="31"/>
      <c r="IC22" s="31"/>
      <c r="ID22" s="31"/>
      <c r="IE22" s="31"/>
      <c r="IF22" s="31"/>
      <c r="IG22" s="31"/>
      <c r="IH22" s="31"/>
      <c r="II22" s="31"/>
    </row>
    <row r="23" spans="1:243">
      <c r="A23" s="47" t="s">
        <v>32</v>
      </c>
      <c r="B23" s="48">
        <v>-621426</v>
      </c>
      <c r="C23" s="48">
        <v>-485663</v>
      </c>
      <c r="D23" s="47">
        <f t="shared" si="6"/>
        <v>-553544.5</v>
      </c>
      <c r="E23" s="50">
        <v>1</v>
      </c>
      <c r="F23" s="32">
        <f>E23*D23</f>
        <v>-553544.5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30"/>
      <c r="HS23" s="30"/>
      <c r="HT23" s="30"/>
      <c r="HU23" s="30"/>
      <c r="HV23" s="30"/>
      <c r="HW23" s="30"/>
      <c r="HX23" s="30"/>
      <c r="HY23" s="30"/>
      <c r="HZ23" s="31"/>
      <c r="IA23" s="31"/>
      <c r="IB23" s="31"/>
      <c r="IC23" s="31"/>
      <c r="ID23" s="31"/>
      <c r="IE23" s="31"/>
      <c r="IF23" s="31"/>
      <c r="IG23" s="31"/>
      <c r="IH23" s="31"/>
      <c r="II23" s="31"/>
    </row>
    <row r="24" spans="1:243" ht="10.5" customHeight="1">
      <c r="A24" s="40" t="s">
        <v>33</v>
      </c>
      <c r="B24" s="41"/>
      <c r="C24" s="41"/>
      <c r="D24" s="41"/>
      <c r="E24" s="41"/>
      <c r="F24" s="42">
        <f>+SUM(F3:F23)</f>
        <v>2447117.5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30"/>
      <c r="IA24" s="30"/>
      <c r="IB24" s="30"/>
      <c r="IC24" s="30"/>
      <c r="ID24" s="30"/>
      <c r="IE24" s="30"/>
      <c r="IF24" s="30"/>
      <c r="IG24" s="30"/>
      <c r="IH24" s="31"/>
      <c r="II24" s="31"/>
    </row>
    <row r="25" spans="1:243" ht="10.5" customHeight="1">
      <c r="A25" s="36" t="s">
        <v>34</v>
      </c>
      <c r="B25" s="43"/>
      <c r="C25" s="43"/>
      <c r="D25" s="43"/>
      <c r="E25" s="43"/>
      <c r="F25" s="42">
        <f>F24/12</f>
        <v>203926.45833333334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30"/>
      <c r="IA25" s="30"/>
      <c r="IB25" s="30"/>
      <c r="IC25" s="30"/>
      <c r="ID25" s="30"/>
      <c r="IE25" s="30"/>
      <c r="IF25" s="30"/>
      <c r="IG25" s="30"/>
      <c r="IH25" s="31"/>
      <c r="II25" s="31"/>
    </row>
    <row r="26" spans="1:243" ht="10.5" customHeight="1">
      <c r="A26" s="36" t="s">
        <v>35</v>
      </c>
      <c r="B26" s="43"/>
      <c r="C26" s="43"/>
      <c r="D26" s="43"/>
      <c r="E26" s="43"/>
      <c r="F26" s="32">
        <f>RRTR!M8</f>
        <v>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30"/>
      <c r="IA26" s="30"/>
      <c r="IB26" s="30"/>
      <c r="IC26" s="30"/>
      <c r="ID26" s="30"/>
      <c r="IE26" s="30"/>
      <c r="IF26" s="30"/>
      <c r="IG26" s="30"/>
      <c r="IH26" s="31"/>
      <c r="II26" s="31"/>
    </row>
    <row r="27" spans="1:243" ht="10.5" customHeight="1">
      <c r="A27" s="36" t="s">
        <v>44</v>
      </c>
      <c r="B27" s="36"/>
      <c r="C27" s="36"/>
      <c r="D27" s="36"/>
      <c r="E27" s="36"/>
      <c r="F27" s="44">
        <v>1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30"/>
      <c r="IA27" s="30"/>
      <c r="IB27" s="30"/>
      <c r="IC27" s="30"/>
      <c r="ID27" s="30"/>
      <c r="IE27" s="30"/>
      <c r="IF27" s="30"/>
      <c r="IG27" s="30"/>
      <c r="IH27" s="31"/>
      <c r="II27" s="31"/>
    </row>
    <row r="28" spans="1:243" ht="10.5" customHeight="1">
      <c r="A28" s="36" t="s">
        <v>36</v>
      </c>
      <c r="B28" s="43"/>
      <c r="C28" s="43"/>
      <c r="D28" s="43"/>
      <c r="E28" s="43"/>
      <c r="F28" s="38">
        <f>(F25*F27)-F26</f>
        <v>203926.45833333334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30"/>
      <c r="IA28" s="30"/>
      <c r="IB28" s="30"/>
      <c r="IC28" s="30"/>
      <c r="ID28" s="30"/>
      <c r="IE28" s="30"/>
      <c r="IF28" s="30"/>
      <c r="IG28" s="30"/>
      <c r="IH28" s="31"/>
      <c r="II28" s="31"/>
    </row>
    <row r="29" spans="1:243" ht="10.5" customHeight="1">
      <c r="A29" s="36" t="s">
        <v>37</v>
      </c>
      <c r="B29" s="43"/>
      <c r="C29" s="43"/>
      <c r="D29" s="43"/>
      <c r="E29" s="43"/>
      <c r="F29" s="36">
        <v>120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30"/>
      <c r="IA29" s="30"/>
      <c r="IB29" s="30"/>
      <c r="IC29" s="30"/>
      <c r="ID29" s="30"/>
      <c r="IE29" s="30"/>
      <c r="IF29" s="30"/>
      <c r="IG29" s="30"/>
      <c r="IH29" s="31"/>
      <c r="II29" s="31"/>
    </row>
    <row r="30" spans="1:243" ht="10.5" customHeight="1">
      <c r="A30" s="36" t="s">
        <v>38</v>
      </c>
      <c r="B30" s="43"/>
      <c r="C30" s="43"/>
      <c r="D30" s="43"/>
      <c r="E30" s="43"/>
      <c r="F30" s="44">
        <v>0.09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30"/>
      <c r="IA30" s="30"/>
      <c r="IB30" s="30"/>
      <c r="IC30" s="30"/>
      <c r="ID30" s="30"/>
      <c r="IE30" s="30"/>
      <c r="IF30" s="30"/>
      <c r="IG30" s="30"/>
      <c r="IH30" s="31"/>
      <c r="II30" s="31"/>
    </row>
    <row r="31" spans="1:243" ht="10.5" customHeight="1">
      <c r="A31" s="36" t="s">
        <v>39</v>
      </c>
      <c r="B31" s="43"/>
      <c r="C31" s="43"/>
      <c r="D31" s="43"/>
      <c r="E31" s="43"/>
      <c r="F31" s="45">
        <f>PMT(F30/12,F29,-100000)</f>
        <v>1266.757737502486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30"/>
      <c r="IA31" s="30"/>
      <c r="IB31" s="30"/>
      <c r="IC31" s="30"/>
      <c r="ID31" s="30"/>
      <c r="IE31" s="30"/>
      <c r="IF31" s="30"/>
      <c r="IG31" s="30"/>
      <c r="IH31" s="31"/>
      <c r="II31" s="31"/>
    </row>
    <row r="32" spans="1:243" ht="10.5" customHeight="1">
      <c r="A32" s="36" t="s">
        <v>40</v>
      </c>
      <c r="B32" s="43"/>
      <c r="C32" s="43"/>
      <c r="D32" s="43"/>
      <c r="E32" s="43"/>
      <c r="F32" s="46">
        <f>F28/F31</f>
        <v>160.98299800827792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30"/>
      <c r="IA32" s="30"/>
      <c r="IB32" s="30"/>
      <c r="IC32" s="30"/>
      <c r="ID32" s="30"/>
      <c r="IE32" s="30"/>
      <c r="IF32" s="30"/>
      <c r="IG32" s="30"/>
      <c r="IH32" s="31"/>
      <c r="II32" s="31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M21"/>
  <sheetViews>
    <sheetView tabSelected="1" zoomScale="160" zoomScaleNormal="160" workbookViewId="0">
      <selection activeCell="M8" sqref="M8"/>
    </sheetView>
  </sheetViews>
  <sheetFormatPr defaultColWidth="22.140625" defaultRowHeight="8.25" customHeight="1"/>
  <cols>
    <col min="1" max="1" width="5.28515625" style="20" bestFit="1" customWidth="1"/>
    <col min="2" max="2" width="16" style="20" bestFit="1" customWidth="1"/>
    <col min="3" max="3" width="14.28515625" style="20" bestFit="1" customWidth="1"/>
    <col min="4" max="4" width="8.5703125" style="20" bestFit="1" customWidth="1"/>
    <col min="5" max="5" width="5.140625" style="20" bestFit="1" customWidth="1"/>
    <col min="6" max="6" width="7.85546875" style="20" bestFit="1" customWidth="1"/>
    <col min="7" max="7" width="5.7109375" style="20" bestFit="1" customWidth="1"/>
    <col min="8" max="8" width="11" style="20" bestFit="1" customWidth="1"/>
    <col min="9" max="9" width="10.28515625" style="20" bestFit="1" customWidth="1"/>
    <col min="10" max="10" width="6.7109375" style="20" bestFit="1" customWidth="1"/>
    <col min="11" max="11" width="5.85546875" style="20" bestFit="1" customWidth="1"/>
    <col min="12" max="12" width="6.42578125" style="20" bestFit="1" customWidth="1"/>
    <col min="13" max="13" width="11.42578125" style="20" bestFit="1" customWidth="1"/>
    <col min="14" max="247" width="22.140625" style="20"/>
    <col min="248" max="16384" width="22.140625" style="21"/>
  </cols>
  <sheetData>
    <row r="1" spans="1:247" ht="11.25">
      <c r="A1" s="59" t="s">
        <v>1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9" t="s">
        <v>65</v>
      </c>
      <c r="H1" s="59" t="s">
        <v>48</v>
      </c>
      <c r="I1" s="59" t="s">
        <v>49</v>
      </c>
      <c r="J1" s="59" t="s">
        <v>66</v>
      </c>
      <c r="K1" s="59" t="s">
        <v>67</v>
      </c>
      <c r="L1" s="59" t="s">
        <v>7</v>
      </c>
      <c r="M1" s="59" t="s">
        <v>41</v>
      </c>
    </row>
    <row r="2" spans="1:247" s="24" customFormat="1" ht="11.25">
      <c r="A2" s="51">
        <v>1</v>
      </c>
      <c r="B2" s="52">
        <v>652641371</v>
      </c>
      <c r="C2" s="51" t="s">
        <v>55</v>
      </c>
      <c r="D2" s="51" t="s">
        <v>56</v>
      </c>
      <c r="E2" s="52" t="s">
        <v>57</v>
      </c>
      <c r="F2" s="52">
        <v>12100000</v>
      </c>
      <c r="G2" s="52">
        <v>180</v>
      </c>
      <c r="H2" s="53">
        <v>44166</v>
      </c>
      <c r="I2" s="53">
        <v>49614</v>
      </c>
      <c r="J2" s="52">
        <v>4</v>
      </c>
      <c r="K2" s="52">
        <v>176</v>
      </c>
      <c r="L2" s="52">
        <v>115634</v>
      </c>
      <c r="M2" s="25" t="s">
        <v>45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</row>
    <row r="3" spans="1:247" s="24" customFormat="1" ht="11.25">
      <c r="A3" s="28">
        <v>2</v>
      </c>
      <c r="B3" s="26">
        <v>30112383</v>
      </c>
      <c r="C3" s="28" t="s">
        <v>50</v>
      </c>
      <c r="D3" s="28" t="s">
        <v>59</v>
      </c>
      <c r="E3" s="26" t="s">
        <v>60</v>
      </c>
      <c r="F3" s="26">
        <v>14000000</v>
      </c>
      <c r="G3" s="26">
        <v>180</v>
      </c>
      <c r="H3" s="54">
        <v>43923</v>
      </c>
      <c r="I3" s="54">
        <v>49370</v>
      </c>
      <c r="J3" s="26">
        <v>12</v>
      </c>
      <c r="K3" s="26">
        <f>180-12</f>
        <v>168</v>
      </c>
      <c r="L3" s="26">
        <v>150455</v>
      </c>
      <c r="M3" s="57" t="s">
        <v>45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</row>
    <row r="4" spans="1:247" s="24" customFormat="1" ht="11.25">
      <c r="A4" s="51">
        <v>3</v>
      </c>
      <c r="B4" s="52" t="s">
        <v>61</v>
      </c>
      <c r="C4" s="51" t="s">
        <v>62</v>
      </c>
      <c r="D4" s="51" t="s">
        <v>63</v>
      </c>
      <c r="E4" s="52" t="s">
        <v>64</v>
      </c>
      <c r="F4" s="52">
        <v>17500000</v>
      </c>
      <c r="G4" s="52">
        <v>75</v>
      </c>
      <c r="H4" s="53">
        <v>42282</v>
      </c>
      <c r="I4" s="53">
        <v>44328</v>
      </c>
      <c r="J4" s="52">
        <v>66</v>
      </c>
      <c r="K4" s="52">
        <f>75-66</f>
        <v>9</v>
      </c>
      <c r="L4" s="52">
        <v>45571</v>
      </c>
      <c r="M4" s="25" t="s">
        <v>45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</row>
    <row r="5" spans="1:247" s="24" customFormat="1" ht="11.25">
      <c r="A5" s="28">
        <v>4</v>
      </c>
      <c r="B5" s="26" t="s">
        <v>68</v>
      </c>
      <c r="C5" s="28" t="s">
        <v>50</v>
      </c>
      <c r="D5" s="28" t="s">
        <v>63</v>
      </c>
      <c r="E5" s="26" t="s">
        <v>60</v>
      </c>
      <c r="F5" s="26">
        <v>17500000</v>
      </c>
      <c r="G5" s="26">
        <v>72</v>
      </c>
      <c r="H5" s="54">
        <v>42374</v>
      </c>
      <c r="I5" s="54">
        <v>44535</v>
      </c>
      <c r="J5" s="26">
        <v>63</v>
      </c>
      <c r="K5" s="26">
        <f>72-63</f>
        <v>9</v>
      </c>
      <c r="L5" s="26">
        <v>41572</v>
      </c>
      <c r="M5" s="57" t="s">
        <v>45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</row>
    <row r="6" spans="1:247" s="24" customFormat="1" ht="11.25">
      <c r="A6" s="51">
        <v>5</v>
      </c>
      <c r="B6" s="52">
        <v>30114067</v>
      </c>
      <c r="C6" s="51" t="s">
        <v>50</v>
      </c>
      <c r="D6" s="51" t="s">
        <v>59</v>
      </c>
      <c r="E6" s="52" t="s">
        <v>60</v>
      </c>
      <c r="F6" s="52">
        <v>16000000</v>
      </c>
      <c r="G6" s="52">
        <v>180</v>
      </c>
      <c r="H6" s="53">
        <v>43923</v>
      </c>
      <c r="I6" s="53">
        <v>49370</v>
      </c>
      <c r="J6" s="52">
        <v>12</v>
      </c>
      <c r="K6" s="52">
        <f>180-12</f>
        <v>168</v>
      </c>
      <c r="L6" s="52">
        <v>171937</v>
      </c>
      <c r="M6" s="25" t="s">
        <v>45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</row>
    <row r="7" spans="1:247" s="24" customFormat="1" ht="11.25">
      <c r="A7" s="28"/>
      <c r="B7" s="26"/>
      <c r="C7" s="28"/>
      <c r="D7" s="28"/>
      <c r="E7" s="26"/>
      <c r="F7" s="26"/>
      <c r="G7" s="26"/>
      <c r="H7" s="55"/>
      <c r="I7" s="55"/>
      <c r="J7" s="56"/>
      <c r="K7" s="56"/>
      <c r="L7" s="56"/>
      <c r="M7" s="2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</row>
    <row r="8" spans="1:247" ht="11.25">
      <c r="M8" s="22">
        <f>SUMIF(M2:M7,"Y",L2:L7)</f>
        <v>0</v>
      </c>
    </row>
    <row r="10" spans="1:247" ht="8.25" customHeight="1">
      <c r="IF10" s="21"/>
      <c r="IG10" s="21"/>
      <c r="IH10" s="21"/>
      <c r="II10" s="21"/>
      <c r="IJ10" s="21"/>
      <c r="IK10" s="21"/>
      <c r="IL10" s="21"/>
      <c r="IM10" s="21"/>
    </row>
    <row r="11" spans="1:247" ht="8.25" customHeight="1">
      <c r="IF11" s="21"/>
      <c r="IG11" s="21"/>
      <c r="IH11" s="21"/>
      <c r="II11" s="21"/>
      <c r="IJ11" s="21"/>
      <c r="IK11" s="21"/>
      <c r="IL11" s="21"/>
      <c r="IM11" s="21"/>
    </row>
    <row r="12" spans="1:247" ht="8.25" customHeight="1">
      <c r="IF12" s="21"/>
      <c r="IG12" s="21"/>
      <c r="IH12" s="21"/>
      <c r="II12" s="21"/>
      <c r="IJ12" s="21"/>
      <c r="IK12" s="21"/>
      <c r="IL12" s="21"/>
      <c r="IM12" s="21"/>
    </row>
    <row r="13" spans="1:247" ht="8.25" customHeight="1">
      <c r="IF13" s="21"/>
      <c r="IG13" s="21"/>
      <c r="IH13" s="21"/>
      <c r="II13" s="21"/>
      <c r="IJ13" s="21"/>
      <c r="IK13" s="21"/>
      <c r="IL13" s="21"/>
      <c r="IM13" s="21"/>
    </row>
    <row r="14" spans="1:247" ht="8.25" customHeight="1">
      <c r="IF14" s="21"/>
      <c r="IG14" s="21"/>
      <c r="IH14" s="21"/>
      <c r="II14" s="21"/>
      <c r="IJ14" s="21"/>
      <c r="IK14" s="21"/>
      <c r="IL14" s="21"/>
      <c r="IM14" s="21"/>
    </row>
    <row r="15" spans="1:247" ht="8.25" customHeight="1">
      <c r="IF15" s="21"/>
      <c r="IG15" s="21"/>
      <c r="IH15" s="21"/>
      <c r="II15" s="21"/>
      <c r="IJ15" s="21"/>
      <c r="IK15" s="21"/>
      <c r="IL15" s="21"/>
      <c r="IM15" s="21"/>
    </row>
    <row r="16" spans="1:247" ht="8.25" customHeight="1">
      <c r="IF16" s="21"/>
      <c r="IG16" s="21"/>
      <c r="IH16" s="21"/>
      <c r="II16" s="21"/>
      <c r="IJ16" s="21"/>
      <c r="IK16" s="21"/>
      <c r="IL16" s="21"/>
      <c r="IM16" s="21"/>
    </row>
    <row r="18" spans="247:247" ht="8.25" customHeight="1">
      <c r="IM18" s="21"/>
    </row>
    <row r="19" spans="247:247" ht="8.25" customHeight="1">
      <c r="IM19" s="21"/>
    </row>
    <row r="20" spans="247:247" ht="8.25" customHeight="1">
      <c r="IM20" s="21"/>
    </row>
    <row r="21" spans="247:247" ht="8.25" customHeight="1">
      <c r="IM2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Satnam Singh</vt:lpstr>
      <vt:lpstr>RTR</vt:lpstr>
      <vt:lpstr>Sheet1</vt:lpstr>
      <vt:lpstr>Gaganjot</vt:lpstr>
      <vt:lpstr>RRTR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2021-03-03T11:04:24Z</cp:lastPrinted>
  <dcterms:created xsi:type="dcterms:W3CDTF">2015-09-25T09:25:31Z</dcterms:created>
  <dcterms:modified xsi:type="dcterms:W3CDTF">2021-03-20T11:49:39Z</dcterms:modified>
</cp:coreProperties>
</file>