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  <sheet name="Banking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I12" i="6"/>
  <c r="H11"/>
  <c r="G11"/>
  <c r="F11"/>
  <c r="E11"/>
  <c r="D11"/>
  <c r="C11"/>
  <c r="I11" l="1"/>
  <c r="I7" i="2" l="1"/>
  <c r="C8" i="1"/>
  <c r="B8"/>
  <c r="K8" i="2"/>
  <c r="F25" i="1" s="1"/>
  <c r="D22" l="1"/>
  <c r="D20"/>
  <c r="D18"/>
  <c r="D16"/>
  <c r="D12"/>
  <c r="D14"/>
  <c r="D11"/>
  <c r="D5"/>
  <c r="D7"/>
  <c r="D9"/>
  <c r="D3"/>
  <c r="C21" l="1"/>
  <c r="D21" s="1"/>
  <c r="C17"/>
  <c r="B17"/>
  <c r="D17" s="1"/>
  <c r="D13"/>
  <c r="F9"/>
  <c r="F5"/>
  <c r="F3"/>
  <c r="F7"/>
  <c r="C4"/>
  <c r="D4" s="1"/>
  <c r="B6"/>
  <c r="D6" s="1"/>
  <c r="D8" l="1"/>
  <c r="F8" s="1"/>
  <c r="F4"/>
  <c r="F6"/>
  <c r="F13" l="1"/>
  <c r="F12"/>
  <c r="F17" l="1"/>
  <c r="F30"/>
  <c r="F22" l="1"/>
  <c r="F21"/>
  <c r="F20"/>
  <c r="F18"/>
  <c r="F16"/>
  <c r="F14"/>
  <c r="F11"/>
  <c r="F23" l="1"/>
  <c r="F6" i="5"/>
  <c r="F7"/>
  <c r="F8"/>
  <c r="F9"/>
  <c r="F10"/>
  <c r="F11"/>
  <c r="F12"/>
  <c r="E13"/>
  <c r="F24" i="1" l="1"/>
  <c r="F13" i="5"/>
  <c r="F27" i="1" l="1"/>
  <c r="F31" s="1"/>
</calcChain>
</file>

<file path=xl/sharedStrings.xml><?xml version="1.0" encoding="utf-8"?>
<sst xmlns="http://schemas.openxmlformats.org/spreadsheetml/2006/main" count="130" uniqueCount="88">
  <si>
    <t>Eligibility</t>
  </si>
  <si>
    <t>Sr. No.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</si>
  <si>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</si>
  <si>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</si>
  <si>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</si>
  <si>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</si>
  <si>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</si>
  <si>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</si>
  <si>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</si>
  <si>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</si>
  <si>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</si>
  <si>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</si>
  <si>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</si>
  <si>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</si>
  <si>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</si>
  <si>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</si>
  <si>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</si>
  <si>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</si>
  <si>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</si>
  <si>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</si>
  <si>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</si>
  <si>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</si>
  <si>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</si>
  <si>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</si>
  <si>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</si>
  <si>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</si>
  <si>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</si>
  <si>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</si>
  <si>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</si>
  <si>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</si>
  <si>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</si>
  <si>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</si>
  <si>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</si>
  <si>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</si>
  <si>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</si>
  <si>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</si>
  <si>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</si>
  <si>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</si>
  <si>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</si>
  <si>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</si>
  <si>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</si>
  <si>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</si>
  <si>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</si>
  <si>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2019-20</t>
  </si>
  <si>
    <t>2018-19</t>
  </si>
  <si>
    <t>Income from Other Sources</t>
  </si>
  <si>
    <t>Net Profit</t>
  </si>
  <si>
    <t>Less: Taxes Paid</t>
  </si>
  <si>
    <t>Income from house property</t>
  </si>
  <si>
    <t xml:space="preserve">Ganesh Pharma </t>
  </si>
  <si>
    <t>Ritesh Gupta</t>
  </si>
  <si>
    <t>Rajinder Kumar Gupta</t>
  </si>
  <si>
    <t>Jushi Gupta</t>
  </si>
  <si>
    <t>y</t>
  </si>
  <si>
    <t>n</t>
  </si>
  <si>
    <t>Depriciation</t>
  </si>
  <si>
    <t>Salery To Partner</t>
  </si>
  <si>
    <t>Interest to Partners</t>
  </si>
  <si>
    <t xml:space="preserve">Share In firm ( Ganesh Pharma ) </t>
  </si>
  <si>
    <t xml:space="preserve">Interest In firm ( Ganesh Pharma ) </t>
  </si>
  <si>
    <t xml:space="preserve">Max FOIR          </t>
  </si>
  <si>
    <t>Assessment Year</t>
  </si>
  <si>
    <t>Top Up</t>
  </si>
  <si>
    <t>Car Loan</t>
  </si>
  <si>
    <t>ICICI Bank</t>
  </si>
  <si>
    <t>RBL Bank</t>
  </si>
  <si>
    <t>Ganesh Pharma</t>
  </si>
  <si>
    <t>Income U/s 40 A(2)b</t>
  </si>
  <si>
    <t>Bank Interest</t>
  </si>
  <si>
    <t>LBLUD00004211545</t>
  </si>
  <si>
    <t>Lap</t>
  </si>
  <si>
    <t>LBLUD00004211547</t>
  </si>
  <si>
    <t>LBLUD00004216615</t>
  </si>
  <si>
    <t>Insurance</t>
  </si>
  <si>
    <t>LALUD00038357357</t>
  </si>
  <si>
    <t>June</t>
  </si>
  <si>
    <t>July</t>
  </si>
  <si>
    <t>7th</t>
  </si>
  <si>
    <t>14th</t>
  </si>
  <si>
    <t>21st</t>
  </si>
  <si>
    <t>28th</t>
  </si>
  <si>
    <t>Eligibilty In Lacs</t>
  </si>
  <si>
    <t>HDFC Bank A/c No. 13362320000411</t>
  </si>
  <si>
    <t>Aug</t>
  </si>
  <si>
    <t>Sept</t>
  </si>
  <si>
    <t>Oct</t>
  </si>
  <si>
    <t>Nov</t>
  </si>
  <si>
    <t>Loan Account No.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</si>
</sst>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20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9"/>
      <color theme="9" tint="-0.249977111117893"/>
      <name val="Cambria"/>
      <family val="1"/>
      <scheme val="major"/>
    </font>
    <font>
      <sz val="9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indexed="8"/>
      <name val="Zurich BT"/>
      <family val="2"/>
    </font>
    <font>
      <sz val="10"/>
      <color indexed="8"/>
      <name val="Zurich BT"/>
      <family val="2"/>
    </font>
    <font>
      <sz val="10"/>
      <name val="Zurich BT"/>
      <family val="2"/>
    </font>
    <font>
      <b/>
      <sz val="10"/>
      <name val="Zurich BT"/>
      <family val="2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4" tint="0.39997558519241921"/>
        <bgColor indexed="3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9">
    <xf numFmtId="0" fontId="0" fillId="0" borderId="0" xfId="0"/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5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166" fontId="8" fillId="2" borderId="0" xfId="3" applyNumberFormat="1" applyFont="1" applyFill="1" applyBorder="1" applyAlignment="1">
      <alignment horizontal="left" vertical="center" wrapText="1"/>
    </xf>
    <xf numFmtId="165" fontId="8" fillId="2" borderId="2" xfId="1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>
      <alignment horizontal="left" vertical="center"/>
    </xf>
    <xf numFmtId="165" fontId="8" fillId="0" borderId="2" xfId="1" applyNumberFormat="1" applyFont="1" applyFill="1" applyBorder="1" applyAlignment="1" applyProtection="1">
      <alignment horizontal="left" vertical="center" wrapText="1"/>
    </xf>
    <xf numFmtId="0" fontId="8" fillId="0" borderId="2" xfId="0" applyNumberFormat="1" applyFont="1" applyFill="1" applyBorder="1" applyAlignment="1">
      <alignment horizontal="left" vertical="center"/>
    </xf>
    <xf numFmtId="165" fontId="8" fillId="0" borderId="2" xfId="1" applyNumberFormat="1" applyFont="1" applyFill="1" applyBorder="1" applyAlignment="1" applyProtection="1">
      <alignment horizontal="left" vertical="center"/>
    </xf>
    <xf numFmtId="10" fontId="8" fillId="0" borderId="2" xfId="1" applyNumberFormat="1" applyFont="1" applyFill="1" applyBorder="1" applyAlignment="1" applyProtection="1">
      <alignment horizontal="left" vertical="center"/>
    </xf>
    <xf numFmtId="165" fontId="8" fillId="7" borderId="2" xfId="1" applyNumberFormat="1" applyFont="1" applyFill="1" applyBorder="1" applyAlignment="1" applyProtection="1">
      <alignment horizontal="left" vertical="center" wrapText="1"/>
    </xf>
    <xf numFmtId="166" fontId="8" fillId="7" borderId="2" xfId="1" applyNumberFormat="1" applyFont="1" applyFill="1" applyBorder="1" applyAlignment="1" applyProtection="1">
      <alignment horizontal="left" vertical="center"/>
    </xf>
    <xf numFmtId="166" fontId="8" fillId="6" borderId="2" xfId="1" applyNumberFormat="1" applyFont="1" applyFill="1" applyBorder="1" applyAlignment="1" applyProtection="1">
      <alignment horizontal="left" vertical="center"/>
    </xf>
    <xf numFmtId="165" fontId="8" fillId="7" borderId="2" xfId="1" applyNumberFormat="1" applyFont="1" applyFill="1" applyBorder="1" applyAlignment="1" applyProtection="1">
      <alignment horizontal="left" vertical="center"/>
    </xf>
    <xf numFmtId="9" fontId="8" fillId="7" borderId="2" xfId="1" applyNumberFormat="1" applyFont="1" applyFill="1" applyBorder="1" applyAlignment="1" applyProtection="1">
      <alignment horizontal="left" vertical="center"/>
    </xf>
    <xf numFmtId="0" fontId="8" fillId="7" borderId="2" xfId="3" applyFont="1" applyFill="1" applyBorder="1" applyAlignment="1">
      <alignment horizontal="left" vertical="center" wrapText="1"/>
    </xf>
    <xf numFmtId="165" fontId="11" fillId="8" borderId="2" xfId="1" applyNumberFormat="1" applyFont="1" applyFill="1" applyBorder="1" applyAlignment="1" applyProtection="1">
      <alignment horizontal="left" vertical="center" wrapText="1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/>
    <xf numFmtId="165" fontId="11" fillId="3" borderId="2" xfId="1" applyNumberFormat="1" applyFont="1" applyFill="1" applyBorder="1" applyAlignment="1" applyProtection="1">
      <alignment horizontal="left" vertical="center" wrapText="1"/>
    </xf>
    <xf numFmtId="9" fontId="11" fillId="3" borderId="2" xfId="1" applyNumberFormat="1" applyFont="1" applyFill="1" applyBorder="1" applyAlignment="1" applyProtection="1">
      <alignment horizontal="left" vertical="center" wrapText="1"/>
    </xf>
    <xf numFmtId="164" fontId="11" fillId="3" borderId="2" xfId="1" applyFont="1" applyFill="1" applyBorder="1" applyAlignment="1" applyProtection="1">
      <alignment horizontal="left" vertical="center" wrapText="1"/>
    </xf>
    <xf numFmtId="167" fontId="11" fillId="3" borderId="2" xfId="1" applyNumberFormat="1" applyFont="1" applyFill="1" applyBorder="1" applyAlignment="1" applyProtection="1">
      <alignment horizontal="left" vertical="center"/>
    </xf>
    <xf numFmtId="165" fontId="11" fillId="3" borderId="2" xfId="1" applyNumberFormat="1" applyFont="1" applyFill="1" applyBorder="1" applyAlignment="1" applyProtection="1">
      <alignment horizontal="left" vertical="center"/>
    </xf>
    <xf numFmtId="2" fontId="11" fillId="3" borderId="2" xfId="4" applyNumberFormat="1" applyFont="1" applyFill="1" applyBorder="1" applyAlignment="1" applyProtection="1">
      <alignment horizontal="left" vertical="center"/>
    </xf>
    <xf numFmtId="164" fontId="11" fillId="3" borderId="2" xfId="4" applyNumberFormat="1" applyFont="1" applyFill="1" applyBorder="1" applyAlignment="1" applyProtection="1">
      <alignment horizontal="left" vertical="center"/>
    </xf>
    <xf numFmtId="165" fontId="11" fillId="8" borderId="2" xfId="1" applyNumberFormat="1" applyFont="1" applyFill="1" applyBorder="1" applyAlignment="1" applyProtection="1">
      <alignment horizontal="left" vertical="center" wrapText="1"/>
    </xf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18" fillId="9" borderId="3" xfId="0" applyFont="1" applyFill="1" applyBorder="1" applyAlignment="1">
      <alignment horizontal="center" vertical="center"/>
    </xf>
    <xf numFmtId="0" fontId="18" fillId="9" borderId="4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1" fontId="13" fillId="0" borderId="2" xfId="0" applyNumberFormat="1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/>
    </xf>
    <xf numFmtId="2" fontId="14" fillId="2" borderId="2" xfId="0" applyNumberFormat="1" applyFont="1" applyFill="1" applyBorder="1" applyAlignment="1">
      <alignment horizontal="left"/>
    </xf>
    <xf numFmtId="0" fontId="14" fillId="2" borderId="2" xfId="0" applyFont="1" applyFill="1" applyBorder="1" applyAlignment="1">
      <alignment horizontal="left" vertical="center"/>
    </xf>
    <xf numFmtId="1" fontId="14" fillId="2" borderId="2" xfId="0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left" vertical="center"/>
    </xf>
    <xf numFmtId="1" fontId="15" fillId="2" borderId="2" xfId="0" applyNumberFormat="1" applyFont="1" applyFill="1" applyBorder="1" applyAlignment="1">
      <alignment horizontal="left" vertical="center"/>
    </xf>
    <xf numFmtId="0" fontId="19" fillId="10" borderId="2" xfId="0" applyFont="1" applyFill="1" applyBorder="1" applyAlignment="1">
      <alignment horizontal="center" vertical="center"/>
    </xf>
    <xf numFmtId="0" fontId="19" fillId="10" borderId="6" xfId="0" applyFont="1" applyFill="1" applyBorder="1" applyAlignment="1">
      <alignment horizontal="center" vertical="center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L39"/>
  <sheetViews>
    <sheetView tabSelected="1" zoomScale="130" zoomScaleNormal="130" workbookViewId="0">
      <selection activeCell="F30" sqref="F30"/>
    </sheetView>
  </sheetViews>
  <sheetFormatPr defaultColWidth="31.28515625" defaultRowHeight="12.75"/>
  <cols>
    <col min="1" max="1" width="30.7109375" style="20" customWidth="1"/>
    <col min="2" max="2" width="12.28515625" style="20" customWidth="1"/>
    <col min="3" max="3" width="12" style="20" customWidth="1"/>
    <col min="4" max="4" width="14.28515625" style="20" customWidth="1"/>
    <col min="5" max="5" width="13" style="20" customWidth="1"/>
    <col min="6" max="6" width="15.7109375" style="20" customWidth="1"/>
    <col min="7" max="7" width="14.7109375" style="20" customWidth="1"/>
    <col min="8" max="8" width="11.85546875" style="20" customWidth="1"/>
    <col min="9" max="9" width="14.5703125" style="20" customWidth="1"/>
    <col min="10" max="11" width="13.140625" style="20" customWidth="1"/>
    <col min="12" max="12" width="13.7109375" style="20" customWidth="1"/>
    <col min="13" max="13" width="14.140625" style="20" customWidth="1"/>
    <col min="14" max="14" width="11.85546875" style="20" customWidth="1"/>
    <col min="15" max="15" width="12" style="20" customWidth="1"/>
    <col min="16" max="16" width="11" style="20" customWidth="1"/>
    <col min="17" max="17" width="11.5703125" style="20" customWidth="1"/>
    <col min="18" max="18" width="12" style="20" customWidth="1"/>
    <col min="19" max="236" width="31.28515625" style="20"/>
    <col min="237" max="244" width="31.28515625" style="21"/>
    <col min="245" max="246" width="31.28515625" style="22"/>
    <col min="247" max="16384" width="31.28515625" style="23"/>
  </cols>
  <sheetData>
    <row r="1" spans="1:7" ht="18.75" customHeight="1">
      <c r="A1" s="39" t="s">
        <v>49</v>
      </c>
      <c r="B1" s="49" t="s">
        <v>61</v>
      </c>
      <c r="C1" s="49"/>
      <c r="D1" s="39" t="s">
        <v>32</v>
      </c>
      <c r="E1" s="39" t="s">
        <v>0</v>
      </c>
      <c r="F1" s="39" t="s">
        <v>33</v>
      </c>
    </row>
    <row r="2" spans="1:7">
      <c r="A2" s="42" t="s">
        <v>49</v>
      </c>
      <c r="B2" s="42" t="s">
        <v>43</v>
      </c>
      <c r="C2" s="42" t="s">
        <v>44</v>
      </c>
      <c r="D2" s="42" t="s">
        <v>32</v>
      </c>
      <c r="E2" s="43" t="s">
        <v>0</v>
      </c>
      <c r="F2" s="42" t="s">
        <v>33</v>
      </c>
    </row>
    <row r="3" spans="1:7">
      <c r="A3" s="33" t="s">
        <v>46</v>
      </c>
      <c r="B3" s="34">
        <v>348168.03</v>
      </c>
      <c r="C3" s="35">
        <v>-842108</v>
      </c>
      <c r="D3" s="36">
        <f>AVERAGE(B3:C3)</f>
        <v>-246969.98499999999</v>
      </c>
      <c r="E3" s="37">
        <v>1</v>
      </c>
      <c r="F3" s="36">
        <f>E3*D3</f>
        <v>-246969.98499999999</v>
      </c>
    </row>
    <row r="4" spans="1:7">
      <c r="A4" s="33" t="s">
        <v>68</v>
      </c>
      <c r="B4" s="34">
        <v>2559985</v>
      </c>
      <c r="C4" s="35">
        <f>2264+1929042</f>
        <v>1931306</v>
      </c>
      <c r="D4" s="36">
        <f t="shared" ref="D4:D9" si="0">AVERAGE(B4:C4)</f>
        <v>2245645.5</v>
      </c>
      <c r="E4" s="37">
        <v>1</v>
      </c>
      <c r="F4" s="36">
        <f t="shared" ref="F4:F9" si="1">E4*D4</f>
        <v>2245645.5</v>
      </c>
    </row>
    <row r="5" spans="1:7">
      <c r="A5" s="33" t="s">
        <v>55</v>
      </c>
      <c r="B5" s="34">
        <v>170047</v>
      </c>
      <c r="C5" s="34">
        <v>47346</v>
      </c>
      <c r="D5" s="36">
        <f t="shared" si="0"/>
        <v>108696.5</v>
      </c>
      <c r="E5" s="37">
        <v>1</v>
      </c>
      <c r="F5" s="36">
        <f t="shared" si="1"/>
        <v>108696.5</v>
      </c>
      <c r="G5" s="26"/>
    </row>
    <row r="6" spans="1:7">
      <c r="A6" s="33" t="s">
        <v>56</v>
      </c>
      <c r="B6" s="34">
        <f>480000</f>
        <v>480000</v>
      </c>
      <c r="C6" s="34">
        <v>480000</v>
      </c>
      <c r="D6" s="36">
        <f t="shared" si="0"/>
        <v>480000</v>
      </c>
      <c r="E6" s="37">
        <v>1</v>
      </c>
      <c r="F6" s="36">
        <f t="shared" si="1"/>
        <v>480000</v>
      </c>
      <c r="G6" s="26"/>
    </row>
    <row r="7" spans="1:7">
      <c r="A7" s="33" t="s">
        <v>57</v>
      </c>
      <c r="B7" s="34">
        <v>479026</v>
      </c>
      <c r="C7" s="34">
        <v>269072</v>
      </c>
      <c r="D7" s="36">
        <f t="shared" si="0"/>
        <v>374049</v>
      </c>
      <c r="E7" s="37">
        <v>1</v>
      </c>
      <c r="F7" s="36">
        <f t="shared" si="1"/>
        <v>374049</v>
      </c>
      <c r="G7" s="26"/>
    </row>
    <row r="8" spans="1:7">
      <c r="A8" s="33" t="s">
        <v>67</v>
      </c>
      <c r="B8" s="34">
        <f>226646+240000+180000+240000+201509+50871</f>
        <v>1139026</v>
      </c>
      <c r="C8" s="34">
        <f>124258+240000+180000+240000+111367+33447</f>
        <v>929072</v>
      </c>
      <c r="D8" s="36">
        <f t="shared" si="0"/>
        <v>1034049</v>
      </c>
      <c r="E8" s="37">
        <v>1</v>
      </c>
      <c r="F8" s="36">
        <f t="shared" si="1"/>
        <v>1034049</v>
      </c>
      <c r="G8" s="26"/>
    </row>
    <row r="9" spans="1:7">
      <c r="A9" s="33" t="s">
        <v>47</v>
      </c>
      <c r="B9" s="34">
        <v>-115346</v>
      </c>
      <c r="C9" s="34">
        <v>-105687</v>
      </c>
      <c r="D9" s="36">
        <f t="shared" si="0"/>
        <v>-110516.5</v>
      </c>
      <c r="E9" s="37">
        <v>1</v>
      </c>
      <c r="F9" s="36">
        <f t="shared" si="1"/>
        <v>-110516.5</v>
      </c>
    </row>
    <row r="10" spans="1:7">
      <c r="A10" s="42" t="s">
        <v>50</v>
      </c>
      <c r="B10" s="42" t="s">
        <v>43</v>
      </c>
      <c r="C10" s="42" t="s">
        <v>44</v>
      </c>
      <c r="D10" s="42" t="s">
        <v>32</v>
      </c>
      <c r="E10" s="43" t="s">
        <v>0</v>
      </c>
      <c r="F10" s="42" t="s">
        <v>33</v>
      </c>
    </row>
    <row r="11" spans="1:7">
      <c r="A11" s="33" t="s">
        <v>58</v>
      </c>
      <c r="B11" s="38">
        <v>466646</v>
      </c>
      <c r="C11" s="34">
        <v>364258</v>
      </c>
      <c r="D11" s="36">
        <f>AVERAGE(B11:C11)</f>
        <v>415452</v>
      </c>
      <c r="E11" s="37">
        <v>0</v>
      </c>
      <c r="F11" s="36">
        <f>E11*D11</f>
        <v>0</v>
      </c>
    </row>
    <row r="12" spans="1:7" ht="14.25" customHeight="1">
      <c r="A12" s="33" t="s">
        <v>45</v>
      </c>
      <c r="B12" s="34">
        <v>537</v>
      </c>
      <c r="C12" s="35">
        <v>39159</v>
      </c>
      <c r="D12" s="36">
        <f t="shared" ref="D12:D14" si="2">AVERAGE(B12:C12)</f>
        <v>19848</v>
      </c>
      <c r="E12" s="37">
        <v>0.5</v>
      </c>
      <c r="F12" s="36">
        <f>E12*D12</f>
        <v>9924</v>
      </c>
    </row>
    <row r="13" spans="1:7" ht="14.25" customHeight="1">
      <c r="A13" s="33" t="s">
        <v>48</v>
      </c>
      <c r="B13" s="34">
        <v>126000</v>
      </c>
      <c r="C13" s="35">
        <v>126000</v>
      </c>
      <c r="D13" s="36">
        <f t="shared" si="2"/>
        <v>126000</v>
      </c>
      <c r="E13" s="37">
        <v>0</v>
      </c>
      <c r="F13" s="36">
        <f>E13*D13</f>
        <v>0</v>
      </c>
    </row>
    <row r="14" spans="1:7">
      <c r="A14" s="33" t="s">
        <v>47</v>
      </c>
      <c r="B14" s="34">
        <v>-10756</v>
      </c>
      <c r="C14" s="34">
        <v>-5813</v>
      </c>
      <c r="D14" s="36">
        <f t="shared" si="2"/>
        <v>-8284.5</v>
      </c>
      <c r="E14" s="37">
        <v>1</v>
      </c>
      <c r="F14" s="36">
        <f t="shared" ref="F14" si="3">E14*D14</f>
        <v>-8284.5</v>
      </c>
    </row>
    <row r="15" spans="1:7">
      <c r="A15" s="42" t="s">
        <v>51</v>
      </c>
      <c r="B15" s="42" t="s">
        <v>43</v>
      </c>
      <c r="C15" s="42" t="s">
        <v>44</v>
      </c>
      <c r="D15" s="42" t="s">
        <v>32</v>
      </c>
      <c r="E15" s="43" t="s">
        <v>0</v>
      </c>
      <c r="F15" s="42" t="s">
        <v>33</v>
      </c>
    </row>
    <row r="16" spans="1:7">
      <c r="A16" s="33" t="s">
        <v>58</v>
      </c>
      <c r="B16" s="38">
        <v>441509</v>
      </c>
      <c r="C16" s="34">
        <v>351368</v>
      </c>
      <c r="D16" s="36">
        <f>AVERAGE(B16:C16)</f>
        <v>396438.5</v>
      </c>
      <c r="E16" s="37">
        <v>0</v>
      </c>
      <c r="F16" s="36">
        <f t="shared" ref="F16:F18" si="4">E16*D16</f>
        <v>0</v>
      </c>
    </row>
    <row r="17" spans="1:6">
      <c r="A17" s="33" t="s">
        <v>45</v>
      </c>
      <c r="B17" s="38">
        <f>2427+10000</f>
        <v>12427</v>
      </c>
      <c r="C17" s="34">
        <f>47500+49500</f>
        <v>97000</v>
      </c>
      <c r="D17" s="36">
        <f t="shared" ref="D17:D18" si="5">AVERAGE(B17:C17)</f>
        <v>54713.5</v>
      </c>
      <c r="E17" s="37">
        <v>0.5</v>
      </c>
      <c r="F17" s="36">
        <f t="shared" ref="F17" si="6">E17*D17</f>
        <v>27356.75</v>
      </c>
    </row>
    <row r="18" spans="1:6">
      <c r="A18" s="33" t="s">
        <v>47</v>
      </c>
      <c r="B18" s="34">
        <v>-6928</v>
      </c>
      <c r="C18" s="34">
        <v>-7359</v>
      </c>
      <c r="D18" s="36">
        <f t="shared" si="5"/>
        <v>-7143.5</v>
      </c>
      <c r="E18" s="37">
        <v>1</v>
      </c>
      <c r="F18" s="36">
        <f t="shared" si="4"/>
        <v>-7143.5</v>
      </c>
    </row>
    <row r="19" spans="1:6">
      <c r="A19" s="42" t="s">
        <v>52</v>
      </c>
      <c r="B19" s="42" t="s">
        <v>43</v>
      </c>
      <c r="C19" s="42" t="s">
        <v>44</v>
      </c>
      <c r="D19" s="42" t="s">
        <v>32</v>
      </c>
      <c r="E19" s="43" t="s">
        <v>0</v>
      </c>
      <c r="F19" s="42" t="s">
        <v>33</v>
      </c>
    </row>
    <row r="20" spans="1:6" ht="14.25" customHeight="1">
      <c r="A20" s="33" t="s">
        <v>59</v>
      </c>
      <c r="B20" s="34">
        <v>50871</v>
      </c>
      <c r="C20" s="35">
        <v>33447</v>
      </c>
      <c r="D20" s="36">
        <f>AVERAGE(B20:C20)</f>
        <v>42159</v>
      </c>
      <c r="E20" s="37">
        <v>0</v>
      </c>
      <c r="F20" s="36">
        <f t="shared" ref="F20:F22" si="7">E20*D20</f>
        <v>0</v>
      </c>
    </row>
    <row r="21" spans="1:6">
      <c r="A21" s="33" t="s">
        <v>45</v>
      </c>
      <c r="B21" s="38">
        <v>1000</v>
      </c>
      <c r="C21" s="34">
        <f>150000+95431</f>
        <v>245431</v>
      </c>
      <c r="D21" s="36">
        <f t="shared" ref="D21:D22" si="8">AVERAGE(B21:C21)</f>
        <v>123215.5</v>
      </c>
      <c r="E21" s="37">
        <v>0.5</v>
      </c>
      <c r="F21" s="36">
        <f t="shared" si="7"/>
        <v>61607.75</v>
      </c>
    </row>
    <row r="22" spans="1:6">
      <c r="A22" s="33" t="s">
        <v>47</v>
      </c>
      <c r="B22" s="34">
        <v>0</v>
      </c>
      <c r="C22" s="34">
        <v>0</v>
      </c>
      <c r="D22" s="36">
        <f t="shared" si="8"/>
        <v>0</v>
      </c>
      <c r="E22" s="37">
        <v>1</v>
      </c>
      <c r="F22" s="36">
        <f t="shared" si="7"/>
        <v>0</v>
      </c>
    </row>
    <row r="23" spans="1:6" ht="15.4" customHeight="1">
      <c r="A23" s="44" t="s">
        <v>34</v>
      </c>
      <c r="B23" s="28"/>
      <c r="C23" s="28"/>
      <c r="D23" s="28"/>
      <c r="E23" s="28"/>
      <c r="F23" s="45">
        <f>+SUM(F3:F22)</f>
        <v>3968414.0150000001</v>
      </c>
    </row>
    <row r="24" spans="1:6" ht="16.350000000000001" customHeight="1">
      <c r="A24" s="29" t="s">
        <v>35</v>
      </c>
      <c r="B24" s="30"/>
      <c r="C24" s="30"/>
      <c r="D24" s="30"/>
      <c r="E24" s="30"/>
      <c r="F24" s="45">
        <f>F23/12</f>
        <v>330701.16791666666</v>
      </c>
    </row>
    <row r="25" spans="1:6">
      <c r="A25" s="29" t="s">
        <v>36</v>
      </c>
      <c r="B25" s="30"/>
      <c r="C25" s="30"/>
      <c r="D25" s="30"/>
      <c r="E25" s="30"/>
      <c r="F25" s="27">
        <f>RTR!K8</f>
        <v>216345</v>
      </c>
    </row>
    <row r="26" spans="1:6" ht="14.25" customHeight="1">
      <c r="A26" s="31" t="s">
        <v>60</v>
      </c>
      <c r="B26" s="31"/>
      <c r="C26" s="31"/>
      <c r="D26" s="31"/>
      <c r="E26" s="31"/>
      <c r="F26" s="32">
        <v>0.8</v>
      </c>
    </row>
    <row r="27" spans="1:6" ht="16.350000000000001" customHeight="1">
      <c r="A27" s="29" t="s">
        <v>37</v>
      </c>
      <c r="B27" s="30"/>
      <c r="C27" s="30"/>
      <c r="D27" s="30"/>
      <c r="E27" s="30"/>
      <c r="F27" s="46">
        <f>(F24*F26)-F25</f>
        <v>48215.934333333338</v>
      </c>
    </row>
    <row r="28" spans="1:6" ht="16.350000000000001" customHeight="1">
      <c r="A28" s="29" t="s">
        <v>38</v>
      </c>
      <c r="B28" s="30"/>
      <c r="C28" s="30"/>
      <c r="D28" s="30"/>
      <c r="E28" s="30"/>
      <c r="F28" s="31">
        <v>180</v>
      </c>
    </row>
    <row r="29" spans="1:6" ht="15" customHeight="1">
      <c r="A29" s="29" t="s">
        <v>39</v>
      </c>
      <c r="B29" s="30"/>
      <c r="C29" s="30"/>
      <c r="D29" s="30"/>
      <c r="E29" s="30"/>
      <c r="F29" s="32">
        <v>9.8500000000000004E-2</v>
      </c>
    </row>
    <row r="30" spans="1:6">
      <c r="A30" s="29" t="s">
        <v>40</v>
      </c>
      <c r="B30" s="30"/>
      <c r="C30" s="30"/>
      <c r="D30" s="30"/>
      <c r="E30" s="30"/>
      <c r="F30" s="47">
        <f>PMT(F29/12,F28,-100000)</f>
        <v>1065.4471712419499</v>
      </c>
    </row>
    <row r="31" spans="1:6">
      <c r="A31" s="29" t="s">
        <v>41</v>
      </c>
      <c r="B31" s="30"/>
      <c r="C31" s="30"/>
      <c r="D31" s="30"/>
      <c r="E31" s="30"/>
      <c r="F31" s="48">
        <f>F27/F30</f>
        <v>45.254176494860758</v>
      </c>
    </row>
    <row r="39" spans="2:2">
      <c r="B39" s="20">
        <v>0</v>
      </c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scale="90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A8"/>
  <sheetViews>
    <sheetView zoomScale="136" zoomScaleNormal="136" workbookViewId="0">
      <selection activeCell="B4" sqref="B4"/>
    </sheetView>
  </sheetViews>
  <sheetFormatPr defaultColWidth="22.140625" defaultRowHeight="12"/>
  <cols>
    <col min="1" max="1" width="4" style="24" bestFit="1" customWidth="1"/>
    <col min="2" max="2" width="18.85546875" style="24" bestFit="1" customWidth="1"/>
    <col min="3" max="3" width="18.28515625" style="24" customWidth="1"/>
    <col min="4" max="4" width="12.140625" style="24" bestFit="1" customWidth="1"/>
    <col min="5" max="5" width="8.7109375" style="24" customWidth="1"/>
    <col min="6" max="6" width="13" style="24" bestFit="1" customWidth="1"/>
    <col min="7" max="7" width="8.140625" style="24" bestFit="1" customWidth="1"/>
    <col min="8" max="9" width="7" style="24" bestFit="1" customWidth="1"/>
    <col min="10" max="10" width="9" style="24" bestFit="1" customWidth="1"/>
    <col min="11" max="11" width="15.140625" style="24" bestFit="1" customWidth="1"/>
    <col min="12" max="235" width="22.140625" style="24"/>
    <col min="236" max="16384" width="22.140625" style="25"/>
  </cols>
  <sheetData>
    <row r="1" spans="1:235" s="41" customFormat="1" ht="25.5">
      <c r="A1" s="67" t="s">
        <v>1</v>
      </c>
      <c r="B1" s="67" t="s">
        <v>87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67" t="s">
        <v>42</v>
      </c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</row>
    <row r="2" spans="1:235" ht="12.75">
      <c r="A2" s="68">
        <v>1</v>
      </c>
      <c r="B2" s="69" t="s">
        <v>71</v>
      </c>
      <c r="C2" s="68" t="s">
        <v>50</v>
      </c>
      <c r="D2" s="68" t="s">
        <v>64</v>
      </c>
      <c r="E2" s="69" t="s">
        <v>62</v>
      </c>
      <c r="F2" s="70">
        <v>9400000</v>
      </c>
      <c r="G2" s="69">
        <v>180</v>
      </c>
      <c r="H2" s="69">
        <v>21</v>
      </c>
      <c r="I2" s="69">
        <v>159</v>
      </c>
      <c r="J2" s="69">
        <v>98570</v>
      </c>
      <c r="K2" s="69" t="s">
        <v>53</v>
      </c>
      <c r="IA2" s="25"/>
    </row>
    <row r="3" spans="1:235" ht="12.75">
      <c r="A3" s="68">
        <v>2</v>
      </c>
      <c r="B3" s="71" t="s">
        <v>69</v>
      </c>
      <c r="C3" s="68" t="s">
        <v>50</v>
      </c>
      <c r="D3" s="68" t="s">
        <v>64</v>
      </c>
      <c r="E3" s="72" t="s">
        <v>70</v>
      </c>
      <c r="F3" s="72">
        <v>8900000</v>
      </c>
      <c r="G3" s="73">
        <v>180</v>
      </c>
      <c r="H3" s="73">
        <v>23</v>
      </c>
      <c r="I3" s="73">
        <v>157</v>
      </c>
      <c r="J3" s="74">
        <v>93301</v>
      </c>
      <c r="K3" s="72" t="s">
        <v>53</v>
      </c>
      <c r="IA3" s="25"/>
    </row>
    <row r="4" spans="1:235" ht="12.75">
      <c r="A4" s="68">
        <v>3</v>
      </c>
      <c r="B4" s="71" t="s">
        <v>72</v>
      </c>
      <c r="C4" s="68" t="s">
        <v>50</v>
      </c>
      <c r="D4" s="68" t="s">
        <v>64</v>
      </c>
      <c r="E4" s="72" t="s">
        <v>73</v>
      </c>
      <c r="F4" s="72">
        <v>148828</v>
      </c>
      <c r="G4" s="73">
        <v>60</v>
      </c>
      <c r="H4" s="73">
        <v>23</v>
      </c>
      <c r="I4" s="73">
        <v>37</v>
      </c>
      <c r="J4" s="74">
        <v>3125</v>
      </c>
      <c r="K4" s="72" t="s">
        <v>53</v>
      </c>
      <c r="IA4" s="25"/>
    </row>
    <row r="5" spans="1:235" ht="12.75">
      <c r="A5" s="68">
        <v>4</v>
      </c>
      <c r="B5" s="71">
        <v>55519</v>
      </c>
      <c r="C5" s="68" t="s">
        <v>66</v>
      </c>
      <c r="D5" s="72" t="s">
        <v>65</v>
      </c>
      <c r="E5" s="72" t="s">
        <v>70</v>
      </c>
      <c r="F5" s="72">
        <v>11141160</v>
      </c>
      <c r="G5" s="73">
        <v>180</v>
      </c>
      <c r="H5" s="73">
        <v>22</v>
      </c>
      <c r="I5" s="73">
        <v>158</v>
      </c>
      <c r="J5" s="74">
        <v>123154</v>
      </c>
      <c r="K5" s="72" t="s">
        <v>54</v>
      </c>
      <c r="IA5" s="25"/>
    </row>
    <row r="6" spans="1:235" ht="12.75">
      <c r="A6" s="68">
        <v>5</v>
      </c>
      <c r="B6" s="71">
        <v>56073</v>
      </c>
      <c r="C6" s="68" t="s">
        <v>66</v>
      </c>
      <c r="D6" s="72" t="s">
        <v>65</v>
      </c>
      <c r="E6" s="72" t="s">
        <v>70</v>
      </c>
      <c r="F6" s="72">
        <v>1848840</v>
      </c>
      <c r="G6" s="73">
        <v>60</v>
      </c>
      <c r="H6" s="73">
        <v>22</v>
      </c>
      <c r="I6" s="73">
        <v>38</v>
      </c>
      <c r="J6" s="74">
        <v>39739</v>
      </c>
      <c r="K6" s="72" t="s">
        <v>54</v>
      </c>
      <c r="IA6" s="25"/>
    </row>
    <row r="7" spans="1:235" ht="12.75">
      <c r="A7" s="68">
        <v>6</v>
      </c>
      <c r="B7" s="71" t="s">
        <v>74</v>
      </c>
      <c r="C7" s="68" t="s">
        <v>66</v>
      </c>
      <c r="D7" s="68" t="s">
        <v>64</v>
      </c>
      <c r="E7" s="72" t="s">
        <v>63</v>
      </c>
      <c r="F7" s="72">
        <v>1319500</v>
      </c>
      <c r="G7" s="73">
        <v>84</v>
      </c>
      <c r="H7" s="73">
        <v>12</v>
      </c>
      <c r="I7" s="73">
        <f>84-12</f>
        <v>72</v>
      </c>
      <c r="J7" s="74">
        <v>21349</v>
      </c>
      <c r="K7" s="69" t="s">
        <v>53</v>
      </c>
    </row>
    <row r="8" spans="1:235" ht="12.75">
      <c r="A8" s="75"/>
      <c r="B8" s="68"/>
      <c r="C8" s="68"/>
      <c r="D8" s="68"/>
      <c r="E8" s="68"/>
      <c r="F8" s="68"/>
      <c r="G8" s="68"/>
      <c r="H8" s="68"/>
      <c r="I8" s="68"/>
      <c r="J8" s="68"/>
      <c r="K8" s="76">
        <f>SUMIF(K2:K7,"Y",J2:J7)</f>
        <v>216345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10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50" t="s">
        <v>10</v>
      </c>
      <c r="B1" s="50"/>
      <c r="C1" s="2"/>
    </row>
    <row r="2" spans="1:6" ht="14.25" customHeight="1">
      <c r="A2" s="50" t="s">
        <v>11</v>
      </c>
      <c r="B2" s="50"/>
      <c r="C2" s="2"/>
    </row>
    <row r="5" spans="1:6" ht="30">
      <c r="A5" s="3" t="s">
        <v>1</v>
      </c>
      <c r="B5" s="4" t="s">
        <v>12</v>
      </c>
      <c r="C5" s="4" t="s">
        <v>13</v>
      </c>
      <c r="D5" s="5" t="s">
        <v>14</v>
      </c>
      <c r="E5" s="1" t="s">
        <v>15</v>
      </c>
      <c r="F5" s="1" t="s">
        <v>16</v>
      </c>
    </row>
    <row r="6" spans="1:6" ht="42.75">
      <c r="A6" s="6">
        <v>1</v>
      </c>
      <c r="B6" s="7" t="s">
        <v>17</v>
      </c>
      <c r="C6" s="8" t="s">
        <v>18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19</v>
      </c>
      <c r="C7" s="8" t="s">
        <v>20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21</v>
      </c>
      <c r="C8" s="8" t="s">
        <v>22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23</v>
      </c>
      <c r="C9" s="12" t="s">
        <v>24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25</v>
      </c>
      <c r="C10" s="8" t="s">
        <v>26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27</v>
      </c>
      <c r="C11" s="14" t="s">
        <v>28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29</v>
      </c>
      <c r="C12" s="15" t="s">
        <v>30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4:J12"/>
  <sheetViews>
    <sheetView workbookViewId="0">
      <selection activeCell="I12" sqref="I12"/>
    </sheetView>
  </sheetViews>
  <sheetFormatPr defaultRowHeight="12.75"/>
  <cols>
    <col min="2" max="2" width="18.85546875" customWidth="1"/>
    <col min="3" max="3" width="10" customWidth="1"/>
    <col min="4" max="4" width="10.85546875" customWidth="1"/>
    <col min="5" max="5" width="12.28515625" customWidth="1"/>
    <col min="6" max="6" width="10.7109375" customWidth="1"/>
  </cols>
  <sheetData>
    <row r="4" spans="2:10" ht="21">
      <c r="B4" s="51"/>
      <c r="C4" s="52"/>
      <c r="D4" s="65" t="s">
        <v>66</v>
      </c>
      <c r="E4" s="66"/>
      <c r="F4" s="51"/>
      <c r="G4" s="51"/>
      <c r="H4" s="51"/>
      <c r="I4" s="51"/>
      <c r="J4" s="53"/>
    </row>
    <row r="5" spans="2:10" ht="30">
      <c r="B5" s="54" t="s">
        <v>82</v>
      </c>
      <c r="C5" s="52"/>
      <c r="D5" s="55"/>
      <c r="E5" s="55"/>
      <c r="F5" s="56"/>
      <c r="G5" s="51"/>
      <c r="H5" s="51"/>
      <c r="I5" s="51"/>
      <c r="J5" s="53"/>
    </row>
    <row r="6" spans="2:10" ht="15">
      <c r="B6" s="57"/>
      <c r="C6" s="58" t="s">
        <v>75</v>
      </c>
      <c r="D6" s="58" t="s">
        <v>76</v>
      </c>
      <c r="E6" s="58" t="s">
        <v>83</v>
      </c>
      <c r="F6" s="58" t="s">
        <v>84</v>
      </c>
      <c r="G6" s="58" t="s">
        <v>85</v>
      </c>
      <c r="H6" s="58" t="s">
        <v>86</v>
      </c>
      <c r="I6" s="59"/>
      <c r="J6" s="53"/>
    </row>
    <row r="7" spans="2:10" ht="15">
      <c r="B7" s="58" t="s">
        <v>77</v>
      </c>
      <c r="C7" s="60">
        <v>1125663.25</v>
      </c>
      <c r="D7" s="60">
        <v>313832.7</v>
      </c>
      <c r="E7" s="59">
        <v>674969.87</v>
      </c>
      <c r="F7" s="60">
        <v>25477.67</v>
      </c>
      <c r="G7" s="60">
        <v>975771.79</v>
      </c>
      <c r="H7" s="60">
        <v>872152.76</v>
      </c>
      <c r="I7" s="59"/>
      <c r="J7" s="53"/>
    </row>
    <row r="8" spans="2:10" ht="15">
      <c r="B8" s="58" t="s">
        <v>78</v>
      </c>
      <c r="C8" s="60">
        <v>520277.65</v>
      </c>
      <c r="D8" s="60">
        <v>365905.49</v>
      </c>
      <c r="E8" s="60">
        <v>369144.97</v>
      </c>
      <c r="F8" s="60">
        <v>194820.89</v>
      </c>
      <c r="G8" s="60">
        <v>475574.44</v>
      </c>
      <c r="H8" s="60">
        <v>399177.18</v>
      </c>
      <c r="I8" s="59"/>
      <c r="J8" s="53"/>
    </row>
    <row r="9" spans="2:10" ht="15">
      <c r="B9" s="58" t="s">
        <v>79</v>
      </c>
      <c r="C9" s="60">
        <v>332458.17</v>
      </c>
      <c r="D9" s="60">
        <v>400977.79</v>
      </c>
      <c r="E9" s="60">
        <v>986356.97</v>
      </c>
      <c r="F9" s="60">
        <v>982494.29</v>
      </c>
      <c r="G9" s="60">
        <v>251647.76</v>
      </c>
      <c r="H9" s="59">
        <v>698324.96</v>
      </c>
      <c r="I9" s="59"/>
      <c r="J9" s="53"/>
    </row>
    <row r="10" spans="2:10" ht="15">
      <c r="B10" s="58" t="s">
        <v>80</v>
      </c>
      <c r="C10" s="60">
        <v>1344589.36</v>
      </c>
      <c r="D10" s="60">
        <v>809178.91</v>
      </c>
      <c r="E10" s="59">
        <v>2063174.97</v>
      </c>
      <c r="F10" s="60">
        <v>2050478.49</v>
      </c>
      <c r="G10" s="60">
        <v>601135.86</v>
      </c>
      <c r="H10" s="60">
        <v>605892.26</v>
      </c>
      <c r="I10" s="59"/>
      <c r="J10" s="53"/>
    </row>
    <row r="11" spans="2:10">
      <c r="B11" s="59"/>
      <c r="C11" s="59">
        <f>SUM(C7:C10)</f>
        <v>3322988.4299999997</v>
      </c>
      <c r="D11" s="59">
        <f>SUM(D7:D10)</f>
        <v>1889894.8900000001</v>
      </c>
      <c r="E11" s="59">
        <f>SUM(E7:E10)</f>
        <v>4093646.7800000003</v>
      </c>
      <c r="F11" s="59">
        <f t="shared" ref="F11:H11" si="0">SUM(F7:F10)</f>
        <v>3253271.34</v>
      </c>
      <c r="G11" s="59">
        <f t="shared" si="0"/>
        <v>2304129.85</v>
      </c>
      <c r="H11" s="59">
        <f t="shared" si="0"/>
        <v>2575547.16</v>
      </c>
      <c r="I11" s="77">
        <f>(SUM(C11:H11)/24)</f>
        <v>726644.93541666679</v>
      </c>
      <c r="J11" s="61"/>
    </row>
    <row r="12" spans="2:10" ht="15">
      <c r="B12" s="51"/>
      <c r="C12" s="51"/>
      <c r="D12" s="51"/>
      <c r="E12" s="51"/>
      <c r="F12" s="62" t="s">
        <v>81</v>
      </c>
      <c r="G12" s="63"/>
      <c r="H12" s="64"/>
      <c r="I12" s="78">
        <f>726644.9/1065.45</f>
        <v>682.00750856445632</v>
      </c>
      <c r="J12" s="61"/>
    </row>
  </sheetData>
  <mergeCells count="2">
    <mergeCell ref="F12:H12"/>
    <mergeCell ref="D4:E4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2019-12-18T10:28:15Z</cp:lastPrinted>
  <dcterms:created xsi:type="dcterms:W3CDTF">2015-09-25T09:25:31Z</dcterms:created>
  <dcterms:modified xsi:type="dcterms:W3CDTF">2019-12-18T12:05:13Z</dcterms:modified>
</cp:coreProperties>
</file>