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7755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L8" i="1"/>
  <c r="K8"/>
  <c r="I8" i="2"/>
  <c r="K11" l="1"/>
  <c r="I7" l="1"/>
  <c r="C7" i="1"/>
  <c r="B7"/>
  <c r="F24"/>
  <c r="D21" l="1"/>
  <c r="D19"/>
  <c r="D17"/>
  <c r="D15"/>
  <c r="D11"/>
  <c r="D13"/>
  <c r="D10"/>
  <c r="D4"/>
  <c r="D6"/>
  <c r="D8"/>
  <c r="D2"/>
  <c r="C20" l="1"/>
  <c r="D20" s="1"/>
  <c r="C16"/>
  <c r="B16"/>
  <c r="D12"/>
  <c r="F8"/>
  <c r="F4"/>
  <c r="F2"/>
  <c r="F6"/>
  <c r="C3"/>
  <c r="D3" s="1"/>
  <c r="B5"/>
  <c r="D5" s="1"/>
  <c r="D16" l="1"/>
  <c r="D7"/>
  <c r="F7" s="1"/>
  <c r="F3"/>
  <c r="F5"/>
  <c r="F12" l="1"/>
  <c r="F11"/>
  <c r="F16" l="1"/>
  <c r="F29"/>
  <c r="F21" l="1"/>
  <c r="F20"/>
  <c r="F19"/>
  <c r="F17"/>
  <c r="F15"/>
  <c r="F13"/>
  <c r="F10"/>
  <c r="F22" l="1"/>
  <c r="F6" i="5"/>
  <c r="F7"/>
  <c r="F8"/>
  <c r="F9"/>
  <c r="F10"/>
  <c r="F11"/>
  <c r="F12"/>
  <c r="E13"/>
  <c r="F23" i="1" l="1"/>
  <c r="F13" i="5"/>
  <c r="F26" i="1" l="1"/>
  <c r="F30" s="1"/>
</calcChain>
</file>

<file path=xl/sharedStrings.xml><?xml version="1.0" encoding="utf-8"?>
<sst xmlns="http://schemas.openxmlformats.org/spreadsheetml/2006/main" count="142" uniqueCount="91">
  <si>
    <t>Eligibility</t>
  </si>
  <si>
    <t>Sr. No.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</si>
  <si>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</si>
  <si>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</si>
  <si>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</si>
  <si>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</si>
  <si>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</si>
  <si>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</si>
  <si>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</si>
  <si>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</si>
  <si>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</si>
  <si>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</si>
  <si>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</si>
  <si>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</si>
  <si>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</si>
  <si>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</si>
  <si>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</si>
  <si>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</si>
  <si>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</si>
  <si>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</si>
  <si>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</si>
  <si>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</si>
  <si>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</si>
  <si>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</si>
  <si>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</si>
  <si>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</si>
  <si>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</si>
  <si>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</si>
  <si>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</si>
  <si>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</si>
  <si>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</si>
  <si>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</si>
  <si>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</si>
  <si>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</si>
  <si>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</si>
  <si>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</si>
  <si>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</si>
  <si>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</si>
  <si>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</si>
  <si>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</si>
  <si>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</si>
  <si>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</si>
  <si>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</si>
  <si>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2019-20</t>
  </si>
  <si>
    <t>2018-19</t>
  </si>
  <si>
    <t>Income from Other Sources</t>
  </si>
  <si>
    <t>Net Profit</t>
  </si>
  <si>
    <t>Less: Taxes Paid</t>
  </si>
  <si>
    <t>Income from house property</t>
  </si>
  <si>
    <t xml:space="preserve">Ganesh Pharma </t>
  </si>
  <si>
    <t>Ritesh Gupta</t>
  </si>
  <si>
    <t>Rajinder Kumar Gupta</t>
  </si>
  <si>
    <t>Jushi Gupta</t>
  </si>
  <si>
    <t>y</t>
  </si>
  <si>
    <t>n</t>
  </si>
  <si>
    <t>Depriciation</t>
  </si>
  <si>
    <t>Salery To Partner</t>
  </si>
  <si>
    <t>Interest to Partners</t>
  </si>
  <si>
    <t xml:space="preserve">Share In firm ( Ganesh Pharma ) </t>
  </si>
  <si>
    <t xml:space="preserve">Interest In firm ( Ganesh Pharma ) </t>
  </si>
  <si>
    <t xml:space="preserve">Max FOIR          </t>
  </si>
  <si>
    <t>Top Up</t>
  </si>
  <si>
    <t>Car Loan</t>
  </si>
  <si>
    <t>ICICI Bank</t>
  </si>
  <si>
    <t>RBL Bank</t>
  </si>
  <si>
    <t>Ganesh Pharma</t>
  </si>
  <si>
    <t>Income U/s 40 A(2)b</t>
  </si>
  <si>
    <t>Bank Interest</t>
  </si>
  <si>
    <t>LBLUD00004211545</t>
  </si>
  <si>
    <t>Lap</t>
  </si>
  <si>
    <t>LBLUD00004211547</t>
  </si>
  <si>
    <t>LBLUD00004216615</t>
  </si>
  <si>
    <t>Insurance</t>
  </si>
  <si>
    <t>LALUD00038357357</t>
  </si>
  <si>
    <t>Loan Account No.</t>
  </si>
  <si>
    <t>Closed</t>
  </si>
  <si>
    <t>IDFC Bank</t>
  </si>
  <si>
    <t>LBLUD00005328164</t>
  </si>
  <si>
    <t>ECL</t>
  </si>
  <si>
    <t>As On 31/3/19</t>
  </si>
  <si>
    <t>As On 31/3/18</t>
  </si>
  <si>
    <t>As On 31/3/20</t>
  </si>
  <si>
    <t>As on Nov 20</t>
  </si>
  <si>
    <t>Juhi Gupta</t>
  </si>
  <si>
    <t xml:space="preserve">Rajinder Kumar </t>
  </si>
  <si>
    <t>Rekha Gupta</t>
  </si>
  <si>
    <t>Firm</t>
  </si>
  <si>
    <t>Partner</t>
  </si>
  <si>
    <t>Prop. Owner</t>
  </si>
  <si>
    <t>Sale Figure</t>
  </si>
  <si>
    <t>Eligibilty is programed on banking basis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</si>
</sst>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6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sz val="9"/>
      <color theme="9" tint="-0.249977111117893"/>
      <name val="Cambria"/>
      <family val="1"/>
      <scheme val="major"/>
    </font>
    <font>
      <sz val="9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color rgb="FFFF0000"/>
      <name val="Cambria"/>
      <family val="1"/>
      <scheme val="major"/>
    </font>
    <font>
      <b/>
      <sz val="10"/>
      <color indexed="8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color theme="0" tint="-4.9989318521683403E-2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4" tint="0.39997558519241921"/>
        <bgColor indexed="31"/>
      </patternFill>
    </fill>
    <fill>
      <patternFill patternType="solid">
        <fgColor theme="0" tint="-4.9989318521683403E-2"/>
        <bgColor indexed="26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4">
    <xf numFmtId="0" fontId="0" fillId="0" borderId="0" xfId="0"/>
    <xf numFmtId="0" fontId="3" fillId="4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5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0" xfId="0" applyFont="1"/>
    <xf numFmtId="166" fontId="8" fillId="2" borderId="0" xfId="3" applyNumberFormat="1" applyFont="1" applyFill="1" applyBorder="1" applyAlignment="1">
      <alignment horizontal="left" vertical="center" wrapText="1"/>
    </xf>
    <xf numFmtId="165" fontId="8" fillId="2" borderId="2" xfId="1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>
      <alignment horizontal="left" vertical="center"/>
    </xf>
    <xf numFmtId="165" fontId="8" fillId="0" borderId="2" xfId="1" applyNumberFormat="1" applyFont="1" applyFill="1" applyBorder="1" applyAlignment="1" applyProtection="1">
      <alignment horizontal="left" vertical="center" wrapText="1"/>
    </xf>
    <xf numFmtId="0" fontId="8" fillId="0" borderId="2" xfId="0" applyNumberFormat="1" applyFont="1" applyFill="1" applyBorder="1" applyAlignment="1">
      <alignment horizontal="left" vertical="center"/>
    </xf>
    <xf numFmtId="165" fontId="8" fillId="0" borderId="2" xfId="1" applyNumberFormat="1" applyFont="1" applyFill="1" applyBorder="1" applyAlignment="1" applyProtection="1">
      <alignment horizontal="left" vertical="center"/>
    </xf>
    <xf numFmtId="10" fontId="8" fillId="0" borderId="2" xfId="1" applyNumberFormat="1" applyFont="1" applyFill="1" applyBorder="1" applyAlignment="1" applyProtection="1">
      <alignment horizontal="left" vertical="center"/>
    </xf>
    <xf numFmtId="165" fontId="8" fillId="7" borderId="2" xfId="1" applyNumberFormat="1" applyFont="1" applyFill="1" applyBorder="1" applyAlignment="1" applyProtection="1">
      <alignment horizontal="left" vertical="center" wrapText="1"/>
    </xf>
    <xf numFmtId="166" fontId="8" fillId="7" borderId="2" xfId="1" applyNumberFormat="1" applyFont="1" applyFill="1" applyBorder="1" applyAlignment="1" applyProtection="1">
      <alignment horizontal="left" vertical="center"/>
    </xf>
    <xf numFmtId="166" fontId="8" fillId="6" borderId="2" xfId="1" applyNumberFormat="1" applyFont="1" applyFill="1" applyBorder="1" applyAlignment="1" applyProtection="1">
      <alignment horizontal="left" vertical="center"/>
    </xf>
    <xf numFmtId="165" fontId="8" fillId="7" borderId="2" xfId="1" applyNumberFormat="1" applyFont="1" applyFill="1" applyBorder="1" applyAlignment="1" applyProtection="1">
      <alignment horizontal="left" vertical="center"/>
    </xf>
    <xf numFmtId="9" fontId="8" fillId="7" borderId="2" xfId="1" applyNumberFormat="1" applyFont="1" applyFill="1" applyBorder="1" applyAlignment="1" applyProtection="1">
      <alignment horizontal="left" vertical="center"/>
    </xf>
    <xf numFmtId="0" fontId="8" fillId="7" borderId="2" xfId="3" applyFont="1" applyFill="1" applyBorder="1" applyAlignment="1">
      <alignment horizontal="left" vertical="center" wrapText="1"/>
    </xf>
    <xf numFmtId="0" fontId="9" fillId="6" borderId="0" xfId="0" applyFont="1" applyFill="1" applyBorder="1" applyAlignment="1">
      <alignment horizontal="center"/>
    </xf>
    <xf numFmtId="0" fontId="9" fillId="6" borderId="0" xfId="0" applyFont="1" applyFill="1"/>
    <xf numFmtId="165" fontId="11" fillId="3" borderId="2" xfId="1" applyNumberFormat="1" applyFont="1" applyFill="1" applyBorder="1" applyAlignment="1" applyProtection="1">
      <alignment horizontal="left" vertical="center" wrapText="1"/>
    </xf>
    <xf numFmtId="9" fontId="11" fillId="3" borderId="2" xfId="1" applyNumberFormat="1" applyFont="1" applyFill="1" applyBorder="1" applyAlignment="1" applyProtection="1">
      <alignment horizontal="left" vertical="center" wrapText="1"/>
    </xf>
    <xf numFmtId="164" fontId="11" fillId="3" borderId="2" xfId="1" applyFont="1" applyFill="1" applyBorder="1" applyAlignment="1" applyProtection="1">
      <alignment horizontal="left" vertical="center" wrapText="1"/>
    </xf>
    <xf numFmtId="167" fontId="11" fillId="3" borderId="2" xfId="1" applyNumberFormat="1" applyFont="1" applyFill="1" applyBorder="1" applyAlignment="1" applyProtection="1">
      <alignment horizontal="left" vertical="center"/>
    </xf>
    <xf numFmtId="165" fontId="11" fillId="3" borderId="2" xfId="1" applyNumberFormat="1" applyFont="1" applyFill="1" applyBorder="1" applyAlignment="1" applyProtection="1">
      <alignment horizontal="left" vertical="center"/>
    </xf>
    <xf numFmtId="2" fontId="11" fillId="3" borderId="2" xfId="4" applyNumberFormat="1" applyFont="1" applyFill="1" applyBorder="1" applyAlignment="1" applyProtection="1">
      <alignment horizontal="left" vertical="center"/>
    </xf>
    <xf numFmtId="164" fontId="11" fillId="3" borderId="2" xfId="4" applyNumberFormat="1" applyFont="1" applyFill="1" applyBorder="1" applyAlignment="1" applyProtection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3" fillId="4" borderId="1" xfId="0" applyFont="1" applyFill="1" applyBorder="1" applyAlignment="1" applyProtection="1">
      <alignment horizontal="center" vertical="top" wrapText="1"/>
      <protection hidden="1"/>
    </xf>
    <xf numFmtId="0" fontId="13" fillId="8" borderId="2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 wrapText="1"/>
    </xf>
    <xf numFmtId="1" fontId="14" fillId="0" borderId="2" xfId="0" applyNumberFormat="1" applyFont="1" applyBorder="1" applyAlignment="1">
      <alignment horizontal="left" vertical="center" wrapText="1"/>
    </xf>
    <xf numFmtId="2" fontId="14" fillId="0" borderId="2" xfId="0" applyNumberFormat="1" applyFont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/>
    </xf>
    <xf numFmtId="2" fontId="8" fillId="2" borderId="2" xfId="0" applyNumberFormat="1" applyFont="1" applyFill="1" applyBorder="1" applyAlignment="1">
      <alignment horizontal="left"/>
    </xf>
    <xf numFmtId="0" fontId="8" fillId="2" borderId="2" xfId="0" applyFont="1" applyFill="1" applyBorder="1" applyAlignment="1">
      <alignment horizontal="left" vertical="center"/>
    </xf>
    <xf numFmtId="1" fontId="8" fillId="2" borderId="2" xfId="0" applyNumberFormat="1" applyFont="1" applyFill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1" fontId="11" fillId="2" borderId="2" xfId="0" applyNumberFormat="1" applyFont="1" applyFill="1" applyBorder="1" applyAlignment="1">
      <alignment horizontal="left" vertical="center"/>
    </xf>
    <xf numFmtId="0" fontId="15" fillId="9" borderId="2" xfId="0" applyFont="1" applyFill="1" applyBorder="1" applyAlignment="1">
      <alignment horizontal="left" vertical="center"/>
    </xf>
    <xf numFmtId="0" fontId="8" fillId="2" borderId="2" xfId="3" applyFont="1" applyFill="1" applyBorder="1" applyAlignment="1">
      <alignment horizontal="left" vertical="center" wrapText="1"/>
    </xf>
    <xf numFmtId="0" fontId="8" fillId="2" borderId="3" xfId="3" applyFont="1" applyFill="1" applyBorder="1" applyAlignment="1">
      <alignment horizontal="center" vertical="center" wrapText="1"/>
    </xf>
    <xf numFmtId="0" fontId="8" fillId="2" borderId="4" xfId="3" applyFont="1" applyFill="1" applyBorder="1" applyAlignment="1">
      <alignment horizontal="center" vertical="center" wrapText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L38"/>
  <sheetViews>
    <sheetView topLeftCell="F1" zoomScale="130" zoomScaleNormal="130" workbookViewId="0">
      <selection activeCell="H19" sqref="H19"/>
    </sheetView>
  </sheetViews>
  <sheetFormatPr defaultColWidth="31.28515625" defaultRowHeight="12.75"/>
  <cols>
    <col min="1" max="1" width="30.7109375" style="20" customWidth="1"/>
    <col min="2" max="2" width="12.28515625" style="20" customWidth="1"/>
    <col min="3" max="3" width="12" style="20" customWidth="1"/>
    <col min="4" max="4" width="14.28515625" style="20" customWidth="1"/>
    <col min="5" max="5" width="13" style="20" customWidth="1"/>
    <col min="6" max="6" width="14.5703125" style="20" customWidth="1"/>
    <col min="7" max="7" width="16.85546875" style="20" customWidth="1"/>
    <col min="8" max="8" width="15.7109375" style="20" customWidth="1"/>
    <col min="9" max="9" width="14.5703125" style="20" customWidth="1"/>
    <col min="10" max="11" width="13.140625" style="20" customWidth="1"/>
    <col min="12" max="12" width="13.7109375" style="20" customWidth="1"/>
    <col min="13" max="13" width="14.140625" style="20" customWidth="1"/>
    <col min="14" max="14" width="11.85546875" style="20" customWidth="1"/>
    <col min="15" max="15" width="12" style="20" customWidth="1"/>
    <col min="16" max="16" width="11" style="20" customWidth="1"/>
    <col min="17" max="17" width="11.5703125" style="20" customWidth="1"/>
    <col min="18" max="18" width="12" style="20" customWidth="1"/>
    <col min="19" max="236" width="31.28515625" style="20"/>
    <col min="237" max="244" width="31.28515625" style="21"/>
    <col min="245" max="246" width="31.28515625" style="22"/>
    <col min="247" max="16384" width="31.28515625" style="23"/>
  </cols>
  <sheetData>
    <row r="1" spans="1:12">
      <c r="A1" s="41" t="s">
        <v>49</v>
      </c>
      <c r="B1" s="41" t="s">
        <v>43</v>
      </c>
      <c r="C1" s="41" t="s">
        <v>44</v>
      </c>
      <c r="D1" s="41" t="s">
        <v>32</v>
      </c>
      <c r="E1" s="42" t="s">
        <v>0</v>
      </c>
      <c r="F1" s="41" t="s">
        <v>33</v>
      </c>
    </row>
    <row r="2" spans="1:12">
      <c r="A2" s="33" t="s">
        <v>46</v>
      </c>
      <c r="B2" s="34">
        <v>348168.03</v>
      </c>
      <c r="C2" s="35">
        <v>-842108</v>
      </c>
      <c r="D2" s="36">
        <f>AVERAGE(B2:C2)</f>
        <v>-246969.98499999999</v>
      </c>
      <c r="E2" s="37">
        <v>1</v>
      </c>
      <c r="F2" s="36">
        <f>E2*D2</f>
        <v>-246969.98499999999</v>
      </c>
    </row>
    <row r="3" spans="1:12">
      <c r="A3" s="33" t="s">
        <v>67</v>
      </c>
      <c r="B3" s="34">
        <v>2559985</v>
      </c>
      <c r="C3" s="35">
        <f>2264+1929042</f>
        <v>1931306</v>
      </c>
      <c r="D3" s="36">
        <f t="shared" ref="D3:D8" si="0">AVERAGE(B3:C3)</f>
        <v>2245645.5</v>
      </c>
      <c r="E3" s="37">
        <v>1</v>
      </c>
      <c r="F3" s="36">
        <f t="shared" ref="F3:F8" si="1">E3*D3</f>
        <v>2245645.5</v>
      </c>
    </row>
    <row r="4" spans="1:12">
      <c r="A4" s="33" t="s">
        <v>55</v>
      </c>
      <c r="B4" s="34">
        <v>170047</v>
      </c>
      <c r="C4" s="34">
        <v>47346</v>
      </c>
      <c r="D4" s="36">
        <f t="shared" si="0"/>
        <v>108696.5</v>
      </c>
      <c r="E4" s="37">
        <v>1</v>
      </c>
      <c r="F4" s="36">
        <f t="shared" si="1"/>
        <v>108696.5</v>
      </c>
      <c r="G4" s="26"/>
    </row>
    <row r="5" spans="1:12">
      <c r="A5" s="33" t="s">
        <v>56</v>
      </c>
      <c r="B5" s="34">
        <f>480000</f>
        <v>480000</v>
      </c>
      <c r="C5" s="34">
        <v>480000</v>
      </c>
      <c r="D5" s="36">
        <f t="shared" si="0"/>
        <v>480000</v>
      </c>
      <c r="E5" s="37">
        <v>1</v>
      </c>
      <c r="F5" s="36">
        <f t="shared" si="1"/>
        <v>480000</v>
      </c>
      <c r="G5" s="26"/>
    </row>
    <row r="6" spans="1:12">
      <c r="A6" s="33" t="s">
        <v>57</v>
      </c>
      <c r="B6" s="34">
        <v>479026</v>
      </c>
      <c r="C6" s="34">
        <v>269072</v>
      </c>
      <c r="D6" s="36">
        <f t="shared" si="0"/>
        <v>374049</v>
      </c>
      <c r="E6" s="37">
        <v>1</v>
      </c>
      <c r="F6" s="36">
        <f t="shared" si="1"/>
        <v>374049</v>
      </c>
      <c r="G6" s="26"/>
    </row>
    <row r="7" spans="1:12">
      <c r="A7" s="33" t="s">
        <v>66</v>
      </c>
      <c r="B7" s="34">
        <f>226646+240000+180000+240000+201509+50871</f>
        <v>1139026</v>
      </c>
      <c r="C7" s="34">
        <f>124258+240000+180000+240000+111367+33447</f>
        <v>929072</v>
      </c>
      <c r="D7" s="36">
        <f t="shared" si="0"/>
        <v>1034049</v>
      </c>
      <c r="E7" s="37">
        <v>1</v>
      </c>
      <c r="F7" s="36">
        <f t="shared" si="1"/>
        <v>1034049</v>
      </c>
      <c r="G7" s="26"/>
      <c r="H7" s="62" t="s">
        <v>89</v>
      </c>
      <c r="I7" s="61" t="s">
        <v>80</v>
      </c>
      <c r="J7" s="61" t="s">
        <v>79</v>
      </c>
      <c r="K7" s="61" t="s">
        <v>81</v>
      </c>
      <c r="L7" s="61" t="s">
        <v>82</v>
      </c>
    </row>
    <row r="8" spans="1:12">
      <c r="A8" s="33" t="s">
        <v>47</v>
      </c>
      <c r="B8" s="34">
        <v>-115346</v>
      </c>
      <c r="C8" s="34">
        <v>-105687</v>
      </c>
      <c r="D8" s="36">
        <f t="shared" si="0"/>
        <v>-110516.5</v>
      </c>
      <c r="E8" s="37">
        <v>1</v>
      </c>
      <c r="F8" s="36">
        <f t="shared" si="1"/>
        <v>-110516.5</v>
      </c>
      <c r="H8" s="63"/>
      <c r="I8" s="61">
        <v>61299490</v>
      </c>
      <c r="J8" s="61">
        <v>97406943.730000004</v>
      </c>
      <c r="K8" s="61">
        <f>5573213+11048566+6720480+5475852+9332777+10126531+4608028+9376936+7082717+7255085+15673491+12056242</f>
        <v>104329918</v>
      </c>
      <c r="L8" s="61">
        <f>3530015+5681425+6869566+9385033+12939054+6445652+7664035</f>
        <v>52514780</v>
      </c>
    </row>
    <row r="9" spans="1:12">
      <c r="A9" s="41" t="s">
        <v>50</v>
      </c>
      <c r="B9" s="41" t="s">
        <v>43</v>
      </c>
      <c r="C9" s="41" t="s">
        <v>44</v>
      </c>
      <c r="D9" s="41" t="s">
        <v>32</v>
      </c>
      <c r="E9" s="42" t="s">
        <v>0</v>
      </c>
      <c r="F9" s="41" t="s">
        <v>33</v>
      </c>
    </row>
    <row r="10" spans="1:12">
      <c r="A10" s="33" t="s">
        <v>58</v>
      </c>
      <c r="B10" s="38">
        <v>466646</v>
      </c>
      <c r="C10" s="34">
        <v>364258</v>
      </c>
      <c r="D10" s="36">
        <f>AVERAGE(B10:C10)</f>
        <v>415452</v>
      </c>
      <c r="E10" s="37">
        <v>0</v>
      </c>
      <c r="F10" s="36">
        <f>E10*D10</f>
        <v>0</v>
      </c>
    </row>
    <row r="11" spans="1:12" ht="14.25" customHeight="1">
      <c r="A11" s="33" t="s">
        <v>45</v>
      </c>
      <c r="B11" s="34">
        <v>537</v>
      </c>
      <c r="C11" s="35">
        <v>39159</v>
      </c>
      <c r="D11" s="36">
        <f t="shared" ref="D11:D13" si="2">AVERAGE(B11:C11)</f>
        <v>19848</v>
      </c>
      <c r="E11" s="37">
        <v>0.5</v>
      </c>
      <c r="F11" s="36">
        <f>E11*D11</f>
        <v>9924</v>
      </c>
      <c r="H11" s="61" t="s">
        <v>65</v>
      </c>
      <c r="I11" s="61" t="s">
        <v>86</v>
      </c>
    </row>
    <row r="12" spans="1:12" ht="14.25" customHeight="1">
      <c r="A12" s="33" t="s">
        <v>48</v>
      </c>
      <c r="B12" s="34">
        <v>126000</v>
      </c>
      <c r="C12" s="35">
        <v>126000</v>
      </c>
      <c r="D12" s="36">
        <f t="shared" si="2"/>
        <v>126000</v>
      </c>
      <c r="E12" s="37">
        <v>0</v>
      </c>
      <c r="F12" s="36">
        <f>E12*D12</f>
        <v>0</v>
      </c>
      <c r="H12" s="61" t="s">
        <v>50</v>
      </c>
      <c r="I12" s="61" t="s">
        <v>87</v>
      </c>
    </row>
    <row r="13" spans="1:12">
      <c r="A13" s="33" t="s">
        <v>47</v>
      </c>
      <c r="B13" s="34">
        <v>-10756</v>
      </c>
      <c r="C13" s="34">
        <v>-5813</v>
      </c>
      <c r="D13" s="36">
        <f t="shared" si="2"/>
        <v>-8284.5</v>
      </c>
      <c r="E13" s="37">
        <v>1</v>
      </c>
      <c r="F13" s="36">
        <f t="shared" ref="F13" si="3">E13*D13</f>
        <v>-8284.5</v>
      </c>
      <c r="H13" s="61" t="s">
        <v>83</v>
      </c>
      <c r="I13" s="61" t="s">
        <v>87</v>
      </c>
    </row>
    <row r="14" spans="1:12">
      <c r="A14" s="41" t="s">
        <v>51</v>
      </c>
      <c r="B14" s="41" t="s">
        <v>43</v>
      </c>
      <c r="C14" s="41" t="s">
        <v>44</v>
      </c>
      <c r="D14" s="41" t="s">
        <v>32</v>
      </c>
      <c r="E14" s="42" t="s">
        <v>0</v>
      </c>
      <c r="F14" s="41" t="s">
        <v>33</v>
      </c>
      <c r="H14" s="61" t="s">
        <v>84</v>
      </c>
      <c r="I14" s="61" t="s">
        <v>87</v>
      </c>
    </row>
    <row r="15" spans="1:12">
      <c r="A15" s="33" t="s">
        <v>58</v>
      </c>
      <c r="B15" s="38">
        <v>441509</v>
      </c>
      <c r="C15" s="34">
        <v>351368</v>
      </c>
      <c r="D15" s="36">
        <f>AVERAGE(B15:C15)</f>
        <v>396438.5</v>
      </c>
      <c r="E15" s="37">
        <v>0</v>
      </c>
      <c r="F15" s="36">
        <f t="shared" ref="F15:F17" si="4">E15*D15</f>
        <v>0</v>
      </c>
      <c r="H15" s="61" t="s">
        <v>85</v>
      </c>
      <c r="I15" s="61" t="s">
        <v>88</v>
      </c>
    </row>
    <row r="16" spans="1:12">
      <c r="A16" s="33" t="s">
        <v>45</v>
      </c>
      <c r="B16" s="38">
        <f>2427+10000</f>
        <v>12427</v>
      </c>
      <c r="C16" s="34">
        <f>47500+49500</f>
        <v>97000</v>
      </c>
      <c r="D16" s="36">
        <f t="shared" ref="D16:D17" si="5">AVERAGE(B16:C16)</f>
        <v>54713.5</v>
      </c>
      <c r="E16" s="37">
        <v>0.5</v>
      </c>
      <c r="F16" s="36">
        <f t="shared" ref="F16" si="6">E16*D16</f>
        <v>27356.75</v>
      </c>
    </row>
    <row r="17" spans="1:8">
      <c r="A17" s="33" t="s">
        <v>47</v>
      </c>
      <c r="B17" s="34">
        <v>-6928</v>
      </c>
      <c r="C17" s="34">
        <v>-7359</v>
      </c>
      <c r="D17" s="36">
        <f t="shared" si="5"/>
        <v>-7143.5</v>
      </c>
      <c r="E17" s="37">
        <v>1</v>
      </c>
      <c r="F17" s="36">
        <f t="shared" si="4"/>
        <v>-7143.5</v>
      </c>
    </row>
    <row r="18" spans="1:8">
      <c r="A18" s="41" t="s">
        <v>52</v>
      </c>
      <c r="B18" s="41" t="s">
        <v>43</v>
      </c>
      <c r="C18" s="41" t="s">
        <v>44</v>
      </c>
      <c r="D18" s="41" t="s">
        <v>32</v>
      </c>
      <c r="E18" s="42" t="s">
        <v>0</v>
      </c>
      <c r="F18" s="41" t="s">
        <v>33</v>
      </c>
    </row>
    <row r="19" spans="1:8" ht="14.25" customHeight="1">
      <c r="A19" s="33" t="s">
        <v>59</v>
      </c>
      <c r="B19" s="34">
        <v>50871</v>
      </c>
      <c r="C19" s="35">
        <v>33447</v>
      </c>
      <c r="D19" s="36">
        <f>AVERAGE(B19:C19)</f>
        <v>42159</v>
      </c>
      <c r="E19" s="37">
        <v>0</v>
      </c>
      <c r="F19" s="36">
        <f t="shared" ref="F19:F21" si="7">E19*D19</f>
        <v>0</v>
      </c>
      <c r="H19" s="20" t="s">
        <v>90</v>
      </c>
    </row>
    <row r="20" spans="1:8">
      <c r="A20" s="33" t="s">
        <v>45</v>
      </c>
      <c r="B20" s="38">
        <v>1000</v>
      </c>
      <c r="C20" s="34">
        <f>150000+95431</f>
        <v>245431</v>
      </c>
      <c r="D20" s="36">
        <f t="shared" ref="D20:D21" si="8">AVERAGE(B20:C20)</f>
        <v>123215.5</v>
      </c>
      <c r="E20" s="37">
        <v>0.5</v>
      </c>
      <c r="F20" s="36">
        <f t="shared" si="7"/>
        <v>61607.75</v>
      </c>
    </row>
    <row r="21" spans="1:8">
      <c r="A21" s="33" t="s">
        <v>47</v>
      </c>
      <c r="B21" s="34">
        <v>0</v>
      </c>
      <c r="C21" s="34">
        <v>0</v>
      </c>
      <c r="D21" s="36">
        <f t="shared" si="8"/>
        <v>0</v>
      </c>
      <c r="E21" s="37">
        <v>1</v>
      </c>
      <c r="F21" s="36">
        <f t="shared" si="7"/>
        <v>0</v>
      </c>
    </row>
    <row r="22" spans="1:8" ht="15.4" customHeight="1">
      <c r="A22" s="43" t="s">
        <v>34</v>
      </c>
      <c r="B22" s="28"/>
      <c r="C22" s="28"/>
      <c r="D22" s="28"/>
      <c r="E22" s="28"/>
      <c r="F22" s="44">
        <f>+SUM(F2:F21)</f>
        <v>3968414.0150000001</v>
      </c>
    </row>
    <row r="23" spans="1:8" ht="16.350000000000001" customHeight="1">
      <c r="A23" s="29" t="s">
        <v>35</v>
      </c>
      <c r="B23" s="30"/>
      <c r="C23" s="30"/>
      <c r="D23" s="30"/>
      <c r="E23" s="30"/>
      <c r="F23" s="44">
        <f>F22/12</f>
        <v>330701.16791666666</v>
      </c>
    </row>
    <row r="24" spans="1:8">
      <c r="A24" s="29" t="s">
        <v>36</v>
      </c>
      <c r="B24" s="30"/>
      <c r="C24" s="30"/>
      <c r="D24" s="30"/>
      <c r="E24" s="30"/>
      <c r="F24" s="27">
        <f>RTR!K11</f>
        <v>234966</v>
      </c>
    </row>
    <row r="25" spans="1:8" ht="14.25" customHeight="1">
      <c r="A25" s="31" t="s">
        <v>60</v>
      </c>
      <c r="B25" s="31"/>
      <c r="C25" s="31"/>
      <c r="D25" s="31"/>
      <c r="E25" s="31"/>
      <c r="F25" s="32">
        <v>1</v>
      </c>
    </row>
    <row r="26" spans="1:8" ht="16.350000000000001" customHeight="1">
      <c r="A26" s="29" t="s">
        <v>37</v>
      </c>
      <c r="B26" s="30"/>
      <c r="C26" s="30"/>
      <c r="D26" s="30"/>
      <c r="E26" s="30"/>
      <c r="F26" s="45">
        <f>(F23*F25)-F24</f>
        <v>95735.167916666658</v>
      </c>
    </row>
    <row r="27" spans="1:8" ht="16.350000000000001" customHeight="1">
      <c r="A27" s="29" t="s">
        <v>38</v>
      </c>
      <c r="B27" s="30"/>
      <c r="C27" s="30"/>
      <c r="D27" s="30"/>
      <c r="E27" s="30"/>
      <c r="F27" s="31">
        <v>180</v>
      </c>
    </row>
    <row r="28" spans="1:8" ht="15" customHeight="1">
      <c r="A28" s="29" t="s">
        <v>39</v>
      </c>
      <c r="B28" s="30"/>
      <c r="C28" s="30"/>
      <c r="D28" s="30"/>
      <c r="E28" s="30"/>
      <c r="F28" s="32">
        <v>0.1</v>
      </c>
    </row>
    <row r="29" spans="1:8">
      <c r="A29" s="29" t="s">
        <v>40</v>
      </c>
      <c r="B29" s="30"/>
      <c r="C29" s="30"/>
      <c r="D29" s="30"/>
      <c r="E29" s="30"/>
      <c r="F29" s="46">
        <f>PMT(F28/12,F27,-100000)</f>
        <v>1074.6051177081183</v>
      </c>
    </row>
    <row r="30" spans="1:8">
      <c r="A30" s="29" t="s">
        <v>41</v>
      </c>
      <c r="B30" s="30"/>
      <c r="C30" s="30"/>
      <c r="D30" s="30"/>
      <c r="E30" s="30"/>
      <c r="F30" s="47">
        <f>F26/F29</f>
        <v>89.088695316143117</v>
      </c>
    </row>
    <row r="38" spans="2:2">
      <c r="B38" s="20">
        <v>0</v>
      </c>
    </row>
  </sheetData>
  <sheetProtection selectLockedCells="1" selectUnlockedCells="1"/>
  <mergeCells count="1">
    <mergeCell ref="H7:H8"/>
  </mergeCells>
  <pageMargins left="0.78749999999999998" right="0.78749999999999998" top="1.05277777777778" bottom="1.05277777777778" header="0.78749999999999998" footer="0.78749999999999998"/>
  <pageSetup scale="90"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A11"/>
  <sheetViews>
    <sheetView tabSelected="1" zoomScale="136" zoomScaleNormal="136" workbookViewId="0">
      <selection activeCell="J7" sqref="J7"/>
    </sheetView>
  </sheetViews>
  <sheetFormatPr defaultColWidth="22.140625" defaultRowHeight="12"/>
  <cols>
    <col min="1" max="1" width="7.7109375" style="24" customWidth="1"/>
    <col min="2" max="2" width="18.85546875" style="24" bestFit="1" customWidth="1"/>
    <col min="3" max="3" width="18.28515625" style="24" customWidth="1"/>
    <col min="4" max="4" width="12.140625" style="24" bestFit="1" customWidth="1"/>
    <col min="5" max="5" width="9.140625" style="24" bestFit="1" customWidth="1"/>
    <col min="6" max="6" width="12" style="24" bestFit="1" customWidth="1"/>
    <col min="7" max="7" width="7.42578125" style="24" bestFit="1" customWidth="1"/>
    <col min="8" max="9" width="6.42578125" style="24" bestFit="1" customWidth="1"/>
    <col min="10" max="10" width="8.42578125" style="24" bestFit="1" customWidth="1"/>
    <col min="11" max="11" width="15.140625" style="24" bestFit="1" customWidth="1"/>
    <col min="12" max="235" width="22.140625" style="24"/>
    <col min="236" max="16384" width="22.140625" style="25"/>
  </cols>
  <sheetData>
    <row r="1" spans="1:235" s="40" customFormat="1" ht="25.5">
      <c r="A1" s="50" t="s">
        <v>1</v>
      </c>
      <c r="B1" s="50" t="s">
        <v>74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42</v>
      </c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9"/>
      <c r="GX1" s="39"/>
      <c r="GY1" s="39"/>
      <c r="GZ1" s="39"/>
      <c r="HA1" s="39"/>
      <c r="HB1" s="39"/>
      <c r="HC1" s="39"/>
      <c r="HD1" s="39"/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9"/>
      <c r="HP1" s="39"/>
      <c r="HQ1" s="39"/>
      <c r="HR1" s="39"/>
      <c r="HS1" s="39"/>
      <c r="HT1" s="39"/>
      <c r="HU1" s="39"/>
      <c r="HV1" s="39"/>
      <c r="HW1" s="39"/>
      <c r="HX1" s="39"/>
      <c r="HY1" s="39"/>
      <c r="HZ1" s="39"/>
    </row>
    <row r="2" spans="1:235" ht="12.75">
      <c r="A2" s="51">
        <v>1</v>
      </c>
      <c r="B2" s="52" t="s">
        <v>70</v>
      </c>
      <c r="C2" s="51" t="s">
        <v>50</v>
      </c>
      <c r="D2" s="51" t="s">
        <v>63</v>
      </c>
      <c r="E2" s="52" t="s">
        <v>61</v>
      </c>
      <c r="F2" s="53">
        <v>9400000</v>
      </c>
      <c r="G2" s="52">
        <v>180</v>
      </c>
      <c r="H2" s="52">
        <v>21</v>
      </c>
      <c r="I2" s="52">
        <v>159</v>
      </c>
      <c r="J2" s="52">
        <v>98570</v>
      </c>
      <c r="K2" s="52" t="s">
        <v>54</v>
      </c>
      <c r="IA2" s="25"/>
    </row>
    <row r="3" spans="1:235" ht="12.75">
      <c r="A3" s="51">
        <v>2</v>
      </c>
      <c r="B3" s="54" t="s">
        <v>68</v>
      </c>
      <c r="C3" s="51" t="s">
        <v>50</v>
      </c>
      <c r="D3" s="51" t="s">
        <v>63</v>
      </c>
      <c r="E3" s="55" t="s">
        <v>69</v>
      </c>
      <c r="F3" s="55">
        <v>8900000</v>
      </c>
      <c r="G3" s="56">
        <v>180</v>
      </c>
      <c r="H3" s="56">
        <v>23</v>
      </c>
      <c r="I3" s="56">
        <v>157</v>
      </c>
      <c r="J3" s="57">
        <v>93301</v>
      </c>
      <c r="K3" s="55" t="s">
        <v>54</v>
      </c>
      <c r="IA3" s="25"/>
    </row>
    <row r="4" spans="1:235" ht="12.75">
      <c r="A4" s="51">
        <v>3</v>
      </c>
      <c r="B4" s="54" t="s">
        <v>71</v>
      </c>
      <c r="C4" s="51" t="s">
        <v>50</v>
      </c>
      <c r="D4" s="51" t="s">
        <v>63</v>
      </c>
      <c r="E4" s="55" t="s">
        <v>72</v>
      </c>
      <c r="F4" s="55">
        <v>148828</v>
      </c>
      <c r="G4" s="56">
        <v>60</v>
      </c>
      <c r="H4" s="56">
        <v>23</v>
      </c>
      <c r="I4" s="56">
        <v>37</v>
      </c>
      <c r="J4" s="57">
        <v>3125</v>
      </c>
      <c r="K4" s="55" t="s">
        <v>54</v>
      </c>
      <c r="IA4" s="25"/>
    </row>
    <row r="5" spans="1:235" ht="12.75">
      <c r="A5" s="51">
        <v>4</v>
      </c>
      <c r="B5" s="54">
        <v>55519</v>
      </c>
      <c r="C5" s="51" t="s">
        <v>65</v>
      </c>
      <c r="D5" s="55" t="s">
        <v>64</v>
      </c>
      <c r="E5" s="55" t="s">
        <v>69</v>
      </c>
      <c r="F5" s="55">
        <v>11141160</v>
      </c>
      <c r="G5" s="56">
        <v>180</v>
      </c>
      <c r="H5" s="56">
        <v>22</v>
      </c>
      <c r="I5" s="56">
        <v>158</v>
      </c>
      <c r="J5" s="57">
        <v>123154</v>
      </c>
      <c r="K5" s="55" t="s">
        <v>54</v>
      </c>
      <c r="L5" s="48" t="s">
        <v>75</v>
      </c>
      <c r="IA5" s="25"/>
    </row>
    <row r="6" spans="1:235" ht="12.75">
      <c r="A6" s="51">
        <v>5</v>
      </c>
      <c r="B6" s="54">
        <v>56073</v>
      </c>
      <c r="C6" s="51" t="s">
        <v>65</v>
      </c>
      <c r="D6" s="55" t="s">
        <v>64</v>
      </c>
      <c r="E6" s="55" t="s">
        <v>69</v>
      </c>
      <c r="F6" s="55">
        <v>1848840</v>
      </c>
      <c r="G6" s="56">
        <v>60</v>
      </c>
      <c r="H6" s="56">
        <v>22</v>
      </c>
      <c r="I6" s="56">
        <v>38</v>
      </c>
      <c r="J6" s="57">
        <v>39739</v>
      </c>
      <c r="K6" s="55" t="s">
        <v>54</v>
      </c>
      <c r="L6" s="48"/>
      <c r="IA6" s="25"/>
    </row>
    <row r="7" spans="1:235" ht="12.75">
      <c r="A7" s="51">
        <v>6</v>
      </c>
      <c r="B7" s="54" t="s">
        <v>73</v>
      </c>
      <c r="C7" s="51" t="s">
        <v>65</v>
      </c>
      <c r="D7" s="51" t="s">
        <v>63</v>
      </c>
      <c r="E7" s="55" t="s">
        <v>62</v>
      </c>
      <c r="F7" s="55">
        <v>1319500</v>
      </c>
      <c r="G7" s="56">
        <v>84</v>
      </c>
      <c r="H7" s="56">
        <v>12</v>
      </c>
      <c r="I7" s="56">
        <f>84-12</f>
        <v>72</v>
      </c>
      <c r="J7" s="57">
        <v>21349</v>
      </c>
      <c r="K7" s="52" t="s">
        <v>53</v>
      </c>
    </row>
    <row r="8" spans="1:235" ht="12.75">
      <c r="A8" s="51">
        <v>7</v>
      </c>
      <c r="B8" s="54">
        <v>28955305</v>
      </c>
      <c r="C8" s="51" t="s">
        <v>65</v>
      </c>
      <c r="D8" s="55" t="s">
        <v>76</v>
      </c>
      <c r="E8" s="55" t="s">
        <v>69</v>
      </c>
      <c r="F8" s="55">
        <v>17500000</v>
      </c>
      <c r="G8" s="56">
        <v>180</v>
      </c>
      <c r="H8" s="56">
        <v>11</v>
      </c>
      <c r="I8" s="56">
        <f>180-11</f>
        <v>169</v>
      </c>
      <c r="J8" s="57">
        <v>186679</v>
      </c>
      <c r="K8" s="55" t="s">
        <v>53</v>
      </c>
      <c r="IA8" s="25"/>
    </row>
    <row r="9" spans="1:235" ht="12.75">
      <c r="A9" s="51">
        <v>8</v>
      </c>
      <c r="B9" s="54">
        <v>32714224</v>
      </c>
      <c r="C9" s="51" t="s">
        <v>65</v>
      </c>
      <c r="D9" s="55" t="s">
        <v>76</v>
      </c>
      <c r="E9" s="55" t="s">
        <v>69</v>
      </c>
      <c r="F9" s="55">
        <v>3493537</v>
      </c>
      <c r="G9" s="56">
        <v>48</v>
      </c>
      <c r="H9" s="60"/>
      <c r="I9" s="60"/>
      <c r="J9" s="57">
        <v>26938</v>
      </c>
      <c r="K9" s="55" t="s">
        <v>53</v>
      </c>
      <c r="IA9" s="25"/>
    </row>
    <row r="10" spans="1:235" ht="12.75">
      <c r="A10" s="51">
        <v>9</v>
      </c>
      <c r="B10" s="54" t="s">
        <v>77</v>
      </c>
      <c r="C10" s="51" t="s">
        <v>65</v>
      </c>
      <c r="D10" s="51" t="s">
        <v>63</v>
      </c>
      <c r="E10" s="55" t="s">
        <v>78</v>
      </c>
      <c r="F10" s="55">
        <v>3411000</v>
      </c>
      <c r="G10" s="56">
        <v>48</v>
      </c>
      <c r="H10" s="60"/>
      <c r="I10" s="60"/>
      <c r="J10" s="57">
        <v>23451</v>
      </c>
      <c r="K10" s="52" t="s">
        <v>54</v>
      </c>
    </row>
    <row r="11" spans="1:235" ht="12.75">
      <c r="A11" s="58"/>
      <c r="B11" s="51"/>
      <c r="C11" s="51"/>
      <c r="D11" s="51"/>
      <c r="E11" s="51"/>
      <c r="F11" s="51"/>
      <c r="G11" s="51"/>
      <c r="H11" s="51"/>
      <c r="I11" s="51"/>
      <c r="J11" s="51"/>
      <c r="K11" s="59">
        <f>SUMIF(K2:K10,"Y",J2:J10)</f>
        <v>234966</v>
      </c>
    </row>
  </sheetData>
  <sheetProtection selectLockedCells="1" selectUnlockedCells="1"/>
  <mergeCells count="1">
    <mergeCell ref="L5:L6"/>
  </mergeCells>
  <pageMargins left="0.78749999999999998" right="0.78749999999999998" top="1.0249999999999999" bottom="1.0249999999999999" header="0.78749999999999998" footer="0.78749999999999998"/>
  <pageSetup scale="10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49" t="s">
        <v>10</v>
      </c>
      <c r="B1" s="49"/>
      <c r="C1" s="2"/>
    </row>
    <row r="2" spans="1:6" ht="14.25" customHeight="1">
      <c r="A2" s="49" t="s">
        <v>11</v>
      </c>
      <c r="B2" s="49"/>
      <c r="C2" s="2"/>
    </row>
    <row r="5" spans="1:6" ht="30">
      <c r="A5" s="3" t="s">
        <v>1</v>
      </c>
      <c r="B5" s="4" t="s">
        <v>12</v>
      </c>
      <c r="C5" s="4" t="s">
        <v>13</v>
      </c>
      <c r="D5" s="5" t="s">
        <v>14</v>
      </c>
      <c r="E5" s="1" t="s">
        <v>15</v>
      </c>
      <c r="F5" s="1" t="s">
        <v>16</v>
      </c>
    </row>
    <row r="6" spans="1:6" ht="42.75">
      <c r="A6" s="6">
        <v>1</v>
      </c>
      <c r="B6" s="7" t="s">
        <v>17</v>
      </c>
      <c r="C6" s="8" t="s">
        <v>18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19</v>
      </c>
      <c r="C7" s="8" t="s">
        <v>20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21</v>
      </c>
      <c r="C8" s="8" t="s">
        <v>22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23</v>
      </c>
      <c r="C9" s="12" t="s">
        <v>24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25</v>
      </c>
      <c r="C10" s="8" t="s">
        <v>26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27</v>
      </c>
      <c r="C11" s="14" t="s">
        <v>28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29</v>
      </c>
      <c r="C12" s="15" t="s">
        <v>30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31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2019-12-18T10:28:15Z</cp:lastPrinted>
  <dcterms:created xsi:type="dcterms:W3CDTF">2015-09-25T09:25:31Z</dcterms:created>
  <dcterms:modified xsi:type="dcterms:W3CDTF">2020-12-18T07:38:55Z</dcterms:modified>
</cp:coreProperties>
</file>