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/>
  <c r="K4"/>
  <c r="J4"/>
  <c r="F30"/>
  <c r="C26"/>
  <c r="D26" s="1"/>
  <c r="F26" s="1"/>
  <c r="C25"/>
  <c r="C28"/>
  <c r="D28"/>
  <c r="F28" s="1"/>
  <c r="D25"/>
  <c r="F25" s="1"/>
  <c r="D29"/>
  <c r="F29" s="1"/>
  <c r="D27"/>
  <c r="F27" s="1"/>
  <c r="D24"/>
  <c r="F24" s="1"/>
  <c r="D23"/>
  <c r="F23" s="1"/>
  <c r="D22"/>
  <c r="F22" s="1"/>
  <c r="F21"/>
  <c r="D21"/>
  <c r="K4" i="2"/>
  <c r="D14" i="1"/>
  <c r="F14" s="1"/>
  <c r="C17"/>
  <c r="C16"/>
  <c r="D15"/>
  <c r="F15" s="1"/>
  <c r="B17"/>
  <c r="B16"/>
  <c r="D18"/>
  <c r="F18" s="1"/>
  <c r="D19"/>
  <c r="F19" s="1"/>
  <c r="D13"/>
  <c r="F13" s="1"/>
  <c r="D12"/>
  <c r="F12" s="1"/>
  <c r="D11"/>
  <c r="F11" s="1"/>
  <c r="D10"/>
  <c r="F10" s="1"/>
  <c r="K2" i="2"/>
  <c r="C7" i="1"/>
  <c r="B7"/>
  <c r="M8" i="2"/>
  <c r="F37" i="1"/>
  <c r="D17" l="1"/>
  <c r="F17" s="1"/>
  <c r="D16"/>
  <c r="F16" s="1"/>
  <c r="D7"/>
  <c r="F7" s="1"/>
  <c r="D5" l="1"/>
  <c r="F5" s="1"/>
  <c r="D6" l="1"/>
  <c r="F6" s="1"/>
  <c r="D3"/>
  <c r="D4"/>
  <c r="D8"/>
  <c r="F3" l="1"/>
  <c r="F4"/>
  <c r="F8"/>
  <c r="E13" i="5"/>
  <c r="F12"/>
  <c r="F11"/>
  <c r="F10"/>
  <c r="F9"/>
  <c r="F8"/>
  <c r="F7"/>
  <c r="F6"/>
  <c r="F32" i="1"/>
  <c r="F31" l="1"/>
  <c r="F34" s="1"/>
  <c r="F38" s="1"/>
  <c r="F13" i="5"/>
</calcChain>
</file>

<file path=xl/comments1.xml><?xml version="1.0" encoding="utf-8"?>
<comments xmlns="http://schemas.openxmlformats.org/spreadsheetml/2006/main">
  <authors>
    <author>Samsung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Its till feb 21</t>
        </r>
      </text>
    </comment>
  </commentList>
</comments>
</file>

<file path=xl/sharedStrings.xml><?xml version="1.0" encoding="utf-8"?>
<sst xmlns="http://schemas.openxmlformats.org/spreadsheetml/2006/main" count="128" uniqueCount="91">
  <si>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</si>
  <si>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</si>
  <si>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</si>
  <si>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</si>
  <si>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</si>
  <si>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</si>
  <si>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</si>
  <si>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</si>
  <si>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</si>
  <si>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</si>
  <si>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</si>
  <si>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</si>
  <si>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</si>
  <si>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</si>
  <si>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</si>
  <si>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</si>
  <si>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</si>
  <si>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</si>
  <si>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</si>
  <si>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</si>
  <si>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</si>
  <si>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</si>
  <si>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</si>
  <si>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</si>
  <si>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</si>
  <si>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</si>
  <si>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</si>
  <si>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</si>
  <si>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</si>
  <si>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</si>
  <si>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</si>
  <si>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</si>
  <si>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</si>
  <si>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</si>
  <si>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</si>
  <si>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</si>
  <si>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</si>
  <si>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</si>
  <si>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</si>
  <si>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</si>
  <si>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</si>
  <si>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</si>
  <si>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</si>
  <si>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</si>
  <si>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</si>
  <si>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</si>
  <si>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</si>
  <si>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</si>
  <si>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</si>
  <si>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Loan Start Date</t>
  </si>
  <si>
    <t xml:space="preserve">Max FOIR            </t>
  </si>
  <si>
    <t>Gopimal Kaur Sain Inds Pvt Ltd</t>
  </si>
  <si>
    <t>Payment made u/s 40A(2)b</t>
  </si>
  <si>
    <t>Bank Interest</t>
  </si>
  <si>
    <t>Gaurav Mittal</t>
  </si>
  <si>
    <t>Gautam Mittal</t>
  </si>
  <si>
    <t>Rama Mittal</t>
  </si>
  <si>
    <t xml:space="preserve"> </t>
  </si>
  <si>
    <t>Gopimal Kaur Sain</t>
  </si>
  <si>
    <t>HDFC Bank</t>
  </si>
  <si>
    <t>LCV</t>
  </si>
  <si>
    <t>Auto Loan</t>
  </si>
  <si>
    <t>n</t>
  </si>
  <si>
    <t>SBI</t>
  </si>
  <si>
    <t>Term Loan</t>
  </si>
  <si>
    <t>OBC</t>
  </si>
  <si>
    <t>Quaterly installment of both TL is 90 lacs approx we consider 15 lacs monthly</t>
  </si>
  <si>
    <t>2020-21</t>
  </si>
  <si>
    <t>Intetest on auto loan</t>
  </si>
  <si>
    <t>POS</t>
  </si>
  <si>
    <t>Mittal Yarn Agency</t>
  </si>
  <si>
    <t>Income from other sources</t>
  </si>
  <si>
    <t>Payment made u/s 40A(2)b (Not in deal)</t>
  </si>
  <si>
    <t>Interest on car loan</t>
  </si>
  <si>
    <t>Interest on unsecured loans</t>
  </si>
  <si>
    <t>Interest on business loan</t>
  </si>
  <si>
    <t>IDFC Bank</t>
  </si>
  <si>
    <t>Lap</t>
  </si>
  <si>
    <t>Tarsem Mittal</t>
  </si>
  <si>
    <t>IDFC bank</t>
  </si>
  <si>
    <t>Car Loan</t>
  </si>
  <si>
    <t>Tarsem Lal</t>
  </si>
  <si>
    <t>Gaurav Yarns</t>
  </si>
  <si>
    <t>Income from salary</t>
  </si>
  <si>
    <t>Payment made u/s 40A(2)b (not in deal)</t>
  </si>
  <si>
    <t>Sale as on 31/03/20</t>
  </si>
  <si>
    <t>Sale as on 31/03/19</t>
  </si>
  <si>
    <t>Till 31 mar 21</t>
  </si>
  <si>
    <t>Mittal yarn agency</t>
  </si>
  <si>
    <t>Gaurav yarns</t>
  </si>
  <si>
    <t>Tarsem mittal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</si>
</sst>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9" fillId="0" borderId="0"/>
  </cellStyleXfs>
  <cellXfs count="7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5" borderId="0" xfId="3" applyFont="1" applyFill="1" applyBorder="1" applyAlignment="1">
      <alignment horizontal="left" vertical="top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4" fontId="12" fillId="7" borderId="2" xfId="1" applyNumberFormat="1" applyFont="1" applyFill="1" applyBorder="1" applyAlignment="1" applyProtection="1">
      <alignment horizontal="left" vertical="center"/>
    </xf>
    <xf numFmtId="164" fontId="13" fillId="7" borderId="2" xfId="1" applyNumberFormat="1" applyFont="1" applyFill="1" applyBorder="1" applyAlignment="1" applyProtection="1">
      <alignment vertical="center"/>
    </xf>
    <xf numFmtId="164" fontId="13" fillId="7" borderId="2" xfId="1" applyNumberFormat="1" applyFont="1" applyFill="1" applyBorder="1" applyAlignment="1" applyProtection="1">
      <alignment horizontal="left" vertical="center"/>
    </xf>
    <xf numFmtId="164" fontId="13" fillId="5" borderId="2" xfId="1" applyNumberFormat="1" applyFont="1" applyFill="1" applyBorder="1" applyAlignment="1" applyProtection="1">
      <alignment horizontal="left" vertical="center"/>
    </xf>
    <xf numFmtId="166" fontId="14" fillId="6" borderId="2" xfId="1" applyNumberFormat="1" applyFont="1" applyFill="1" applyBorder="1" applyAlignment="1" applyProtection="1">
      <alignment horizontal="left" vertical="center"/>
    </xf>
    <xf numFmtId="166" fontId="14" fillId="4" borderId="2" xfId="1" applyNumberFormat="1" applyFont="1" applyFill="1" applyBorder="1" applyAlignment="1" applyProtection="1">
      <alignment horizontal="left" vertical="center"/>
    </xf>
    <xf numFmtId="164" fontId="13" fillId="5" borderId="2" xfId="1" applyNumberFormat="1" applyFont="1" applyFill="1" applyBorder="1" applyAlignment="1" applyProtection="1">
      <alignment horizontal="left" vertical="top"/>
    </xf>
    <xf numFmtId="9" fontId="13" fillId="5" borderId="2" xfId="1" applyNumberFormat="1" applyFont="1" applyFill="1" applyBorder="1" applyAlignment="1" applyProtection="1">
      <alignment horizontal="left" vertical="top"/>
    </xf>
    <xf numFmtId="164" fontId="13" fillId="0" borderId="2" xfId="1" applyNumberFormat="1" applyFont="1" applyFill="1" applyBorder="1" applyAlignment="1" applyProtection="1">
      <alignment horizontal="left" vertical="top"/>
    </xf>
    <xf numFmtId="0" fontId="13" fillId="0" borderId="2" xfId="0" applyNumberFormat="1" applyFont="1" applyFill="1" applyBorder="1" applyAlignment="1"/>
    <xf numFmtId="164" fontId="13" fillId="0" borderId="2" xfId="1" applyNumberFormat="1" applyFont="1" applyFill="1" applyBorder="1" applyAlignment="1" applyProtection="1">
      <alignment vertical="center"/>
    </xf>
    <xf numFmtId="10" fontId="13" fillId="0" borderId="2" xfId="1" applyNumberFormat="1" applyFont="1" applyFill="1" applyBorder="1" applyAlignment="1" applyProtection="1">
      <alignment horizontal="left" vertical="top"/>
    </xf>
    <xf numFmtId="164" fontId="12" fillId="10" borderId="2" xfId="1" applyNumberFormat="1" applyFont="1" applyFill="1" applyBorder="1" applyAlignment="1" applyProtection="1">
      <alignment horizontal="left" vertical="center"/>
    </xf>
    <xf numFmtId="9" fontId="12" fillId="10" borderId="2" xfId="1" applyNumberFormat="1" applyFont="1" applyFill="1" applyBorder="1" applyAlignment="1" applyProtection="1">
      <alignment horizontal="left" vertical="center"/>
    </xf>
    <xf numFmtId="165" fontId="12" fillId="10" borderId="2" xfId="1" applyFont="1" applyFill="1" applyBorder="1" applyAlignment="1" applyProtection="1">
      <alignment horizontal="left" vertical="top"/>
    </xf>
    <xf numFmtId="0" fontId="12" fillId="10" borderId="2" xfId="0" applyNumberFormat="1" applyFont="1" applyFill="1" applyBorder="1" applyAlignment="1"/>
    <xf numFmtId="167" fontId="12" fillId="10" borderId="2" xfId="1" applyNumberFormat="1" applyFont="1" applyFill="1" applyBorder="1" applyAlignment="1" applyProtection="1">
      <alignment horizontal="left" vertical="top"/>
    </xf>
    <xf numFmtId="164" fontId="12" fillId="10" borderId="2" xfId="1" applyNumberFormat="1" applyFont="1" applyFill="1" applyBorder="1" applyAlignment="1" applyProtection="1">
      <alignment horizontal="left" vertical="top"/>
    </xf>
    <xf numFmtId="2" fontId="12" fillId="10" borderId="2" xfId="5" applyNumberFormat="1" applyFont="1" applyFill="1" applyBorder="1" applyAlignment="1" applyProtection="1">
      <alignment horizontal="left" vertical="top"/>
    </xf>
    <xf numFmtId="165" fontId="12" fillId="10" borderId="2" xfId="5" applyNumberFormat="1" applyFont="1" applyFill="1" applyBorder="1" applyAlignment="1" applyProtection="1">
      <alignment horizontal="left" vertical="top"/>
    </xf>
    <xf numFmtId="0" fontId="15" fillId="7" borderId="2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Fill="1" applyBorder="1" applyAlignment="1">
      <alignment horizontal="left" vertical="center" wrapText="1"/>
    </xf>
    <xf numFmtId="1" fontId="16" fillId="0" borderId="2" xfId="0" applyNumberFormat="1" applyFont="1" applyBorder="1" applyAlignment="1">
      <alignment horizontal="left" vertical="center" wrapText="1"/>
    </xf>
    <xf numFmtId="168" fontId="16" fillId="0" borderId="2" xfId="0" applyNumberFormat="1" applyFont="1" applyBorder="1" applyAlignment="1">
      <alignment horizontal="left" vertical="center" wrapText="1"/>
    </xf>
    <xf numFmtId="1" fontId="16" fillId="4" borderId="2" xfId="0" applyNumberFormat="1" applyFont="1" applyFill="1" applyBorder="1" applyAlignment="1">
      <alignment horizontal="left" vertical="center" wrapText="1"/>
    </xf>
    <xf numFmtId="2" fontId="16" fillId="5" borderId="2" xfId="0" applyNumberFormat="1" applyFont="1" applyFill="1" applyBorder="1" applyAlignment="1">
      <alignment horizontal="left" vertical="center"/>
    </xf>
    <xf numFmtId="168" fontId="16" fillId="8" borderId="2" xfId="0" applyNumberFormat="1" applyFont="1" applyFill="1" applyBorder="1" applyAlignment="1">
      <alignment horizontal="left" vertical="center" wrapText="1"/>
    </xf>
    <xf numFmtId="1" fontId="16" fillId="8" borderId="2" xfId="0" applyNumberFormat="1" applyFont="1" applyFill="1" applyBorder="1" applyAlignment="1">
      <alignment horizontal="left" vertical="center" wrapText="1"/>
    </xf>
    <xf numFmtId="168" fontId="16" fillId="4" borderId="2" xfId="0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1" fontId="11" fillId="0" borderId="2" xfId="0" applyNumberFormat="1" applyFont="1" applyBorder="1" applyAlignment="1">
      <alignment horizontal="left" vertical="center" wrapText="1"/>
    </xf>
    <xf numFmtId="168" fontId="11" fillId="8" borderId="2" xfId="0" applyNumberFormat="1" applyFont="1" applyFill="1" applyBorder="1" applyAlignment="1">
      <alignment horizontal="left" vertical="center" wrapText="1"/>
    </xf>
    <xf numFmtId="1" fontId="11" fillId="8" borderId="2" xfId="0" applyNumberFormat="1" applyFont="1" applyFill="1" applyBorder="1" applyAlignment="1">
      <alignment horizontal="left" vertical="center" wrapText="1"/>
    </xf>
    <xf numFmtId="1" fontId="11" fillId="4" borderId="2" xfId="0" applyNumberFormat="1" applyFont="1" applyFill="1" applyBorder="1" applyAlignment="1">
      <alignment horizontal="left" vertical="center" wrapText="1"/>
    </xf>
    <xf numFmtId="2" fontId="11" fillId="5" borderId="2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1" fontId="18" fillId="0" borderId="2" xfId="0" applyNumberFormat="1" applyFont="1" applyBorder="1" applyAlignment="1">
      <alignment horizontal="left" vertical="center" wrapText="1"/>
    </xf>
    <xf numFmtId="1" fontId="17" fillId="5" borderId="2" xfId="0" applyNumberFormat="1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top"/>
    </xf>
    <xf numFmtId="0" fontId="12" fillId="9" borderId="2" xfId="3" applyFont="1" applyFill="1" applyBorder="1" applyAlignment="1">
      <alignment horizontal="left" vertical="top"/>
    </xf>
    <xf numFmtId="0" fontId="11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38"/>
  <sheetViews>
    <sheetView topLeftCell="A13" zoomScale="160" zoomScaleNormal="160" workbookViewId="0">
      <selection activeCell="I14" sqref="I14"/>
    </sheetView>
  </sheetViews>
  <sheetFormatPr defaultColWidth="31.28515625" defaultRowHeight="12"/>
  <cols>
    <col min="1" max="1" width="29.7109375" style="20" bestFit="1" customWidth="1"/>
    <col min="2" max="4" width="8.140625" style="20" bestFit="1" customWidth="1"/>
    <col min="5" max="5" width="7.140625" style="20" bestFit="1" customWidth="1"/>
    <col min="6" max="6" width="12.5703125" style="20" bestFit="1" customWidth="1"/>
    <col min="7" max="7" width="10.85546875" style="20" customWidth="1"/>
    <col min="8" max="8" width="14.28515625" style="20" bestFit="1" customWidth="1"/>
    <col min="9" max="9" width="12.85546875" style="20" bestFit="1" customWidth="1"/>
    <col min="10" max="10" width="13.140625" style="20" bestFit="1" customWidth="1"/>
    <col min="11" max="11" width="9.42578125" style="20" bestFit="1" customWidth="1"/>
    <col min="12" max="12" width="14.140625" style="20" customWidth="1"/>
    <col min="13" max="13" width="11.85546875" style="20" customWidth="1"/>
    <col min="14" max="14" width="12" style="20" customWidth="1"/>
    <col min="15" max="15" width="11" style="20" customWidth="1"/>
    <col min="16" max="16" width="11.5703125" style="20" customWidth="1"/>
    <col min="17" max="17" width="12" style="20" customWidth="1"/>
    <col min="18" max="235" width="31.28515625" style="20"/>
    <col min="236" max="243" width="31.28515625" style="21"/>
    <col min="244" max="16384" width="31.28515625" style="22"/>
  </cols>
  <sheetData>
    <row r="1" spans="1:11" ht="11.25" customHeight="1">
      <c r="A1" s="23" t="s">
        <v>51</v>
      </c>
      <c r="B1" s="24"/>
      <c r="C1" s="24"/>
      <c r="D1" s="25"/>
      <c r="E1" s="25"/>
      <c r="F1" s="25"/>
      <c r="I1" s="67" t="s">
        <v>58</v>
      </c>
      <c r="J1" s="67" t="s">
        <v>88</v>
      </c>
      <c r="K1" s="67" t="s">
        <v>82</v>
      </c>
    </row>
    <row r="2" spans="1:11" ht="11.25" customHeight="1">
      <c r="A2" s="23" t="s">
        <v>51</v>
      </c>
      <c r="B2" s="35" t="s">
        <v>67</v>
      </c>
      <c r="C2" s="35" t="s">
        <v>46</v>
      </c>
      <c r="D2" s="35" t="s">
        <v>0</v>
      </c>
      <c r="E2" s="36" t="s">
        <v>1</v>
      </c>
      <c r="F2" s="35" t="s">
        <v>2</v>
      </c>
      <c r="H2" s="66" t="s">
        <v>86</v>
      </c>
      <c r="I2" s="66">
        <v>1841608972</v>
      </c>
      <c r="J2" s="66">
        <v>661508611</v>
      </c>
      <c r="K2" s="66">
        <v>414831525</v>
      </c>
    </row>
    <row r="3" spans="1:11" ht="11.25" customHeight="1">
      <c r="A3" s="26" t="s">
        <v>47</v>
      </c>
      <c r="B3" s="27">
        <v>5096817</v>
      </c>
      <c r="C3" s="28">
        <v>6330608</v>
      </c>
      <c r="D3" s="29">
        <f>AVERAGE(B3:C3)</f>
        <v>5713712.5</v>
      </c>
      <c r="E3" s="30">
        <v>1</v>
      </c>
      <c r="F3" s="29">
        <f t="shared" ref="F3:F8" si="0">E3*D3</f>
        <v>5713712.5</v>
      </c>
      <c r="H3" s="66" t="s">
        <v>85</v>
      </c>
      <c r="I3" s="66">
        <v>2195044186</v>
      </c>
      <c r="J3" s="66">
        <v>344771450</v>
      </c>
      <c r="K3" s="66">
        <v>165777554</v>
      </c>
    </row>
    <row r="4" spans="1:11" ht="11.25" customHeight="1">
      <c r="A4" s="26" t="s">
        <v>48</v>
      </c>
      <c r="B4" s="27">
        <v>35844820</v>
      </c>
      <c r="C4" s="28">
        <v>40579839</v>
      </c>
      <c r="D4" s="29">
        <f t="shared" ref="D4:D8" si="1">AVERAGE(B4:C4)</f>
        <v>38212329.5</v>
      </c>
      <c r="E4" s="30">
        <v>1</v>
      </c>
      <c r="F4" s="29">
        <f t="shared" si="0"/>
        <v>38212329.5</v>
      </c>
      <c r="H4" s="66" t="s">
        <v>87</v>
      </c>
      <c r="I4" s="66">
        <f>1547631+40185009+110714716+178957031+137772629+168317705+171425970+153566590+168492515+156077883+185580933+175451258</f>
        <v>1648089870</v>
      </c>
      <c r="J4" s="66">
        <f>0+9325849+3100525+4910935+5783305+4413853+6279688+9200114+1301611+6823846+31590</f>
        <v>51171316</v>
      </c>
      <c r="K4" s="66">
        <f>0+0+0+0+5350649+4309676+3287013+1518133+793828+120302+0+963161</f>
        <v>16342762</v>
      </c>
    </row>
    <row r="5" spans="1:11" ht="11.25" customHeight="1">
      <c r="A5" s="26" t="s">
        <v>53</v>
      </c>
      <c r="B5" s="27">
        <v>37453403</v>
      </c>
      <c r="C5" s="28">
        <v>43412877</v>
      </c>
      <c r="D5" s="29">
        <f t="shared" ref="D5" si="2">AVERAGE(B5:C5)</f>
        <v>40433140</v>
      </c>
      <c r="E5" s="30">
        <v>0</v>
      </c>
      <c r="F5" s="29">
        <f t="shared" ref="F5" si="3">E5*D5</f>
        <v>0</v>
      </c>
    </row>
    <row r="6" spans="1:11" ht="11.25" customHeight="1">
      <c r="A6" s="26" t="s">
        <v>68</v>
      </c>
      <c r="B6" s="27">
        <v>38276</v>
      </c>
      <c r="C6" s="28">
        <v>29117</v>
      </c>
      <c r="D6" s="29">
        <f t="shared" ref="D6" si="4">AVERAGE(B6:C6)</f>
        <v>33696.5</v>
      </c>
      <c r="E6" s="30">
        <v>1</v>
      </c>
      <c r="F6" s="29">
        <f t="shared" ref="F6" si="5">E6*D6</f>
        <v>33696.5</v>
      </c>
    </row>
    <row r="7" spans="1:11" ht="11.25" customHeight="1">
      <c r="A7" s="26" t="s">
        <v>52</v>
      </c>
      <c r="B7" s="27">
        <f>840000+840000+120000+30000</f>
        <v>1830000</v>
      </c>
      <c r="C7" s="28">
        <f>700000+700000+120000+30000</f>
        <v>1550000</v>
      </c>
      <c r="D7" s="29">
        <f t="shared" ref="D7" si="6">AVERAGE(B7:C7)</f>
        <v>1690000</v>
      </c>
      <c r="E7" s="30">
        <v>1</v>
      </c>
      <c r="F7" s="29">
        <f t="shared" ref="F7" si="7">E7*D7</f>
        <v>1690000</v>
      </c>
    </row>
    <row r="8" spans="1:11" ht="11.25" customHeight="1">
      <c r="A8" s="26" t="s">
        <v>3</v>
      </c>
      <c r="B8" s="27">
        <v>-2817286</v>
      </c>
      <c r="C8" s="27">
        <v>-1267100</v>
      </c>
      <c r="D8" s="29">
        <f t="shared" si="1"/>
        <v>-2042193</v>
      </c>
      <c r="E8" s="30">
        <v>1</v>
      </c>
      <c r="F8" s="29">
        <f t="shared" si="0"/>
        <v>-2042193</v>
      </c>
      <c r="I8" s="66" t="s">
        <v>58</v>
      </c>
      <c r="J8" s="66"/>
    </row>
    <row r="9" spans="1:11" ht="11.25" customHeight="1">
      <c r="A9" s="23" t="s">
        <v>70</v>
      </c>
      <c r="B9" s="35" t="s">
        <v>67</v>
      </c>
      <c r="C9" s="35" t="s">
        <v>46</v>
      </c>
      <c r="D9" s="35" t="s">
        <v>0</v>
      </c>
      <c r="E9" s="36" t="s">
        <v>1</v>
      </c>
      <c r="F9" s="35" t="s">
        <v>2</v>
      </c>
      <c r="I9" s="66" t="s">
        <v>88</v>
      </c>
      <c r="J9" s="66"/>
    </row>
    <row r="10" spans="1:11" ht="11.25" customHeight="1">
      <c r="A10" s="26" t="s">
        <v>47</v>
      </c>
      <c r="B10" s="27">
        <v>1392834</v>
      </c>
      <c r="C10" s="28">
        <v>1241453</v>
      </c>
      <c r="D10" s="29">
        <f>AVERAGE(B10:C10)</f>
        <v>1317143.5</v>
      </c>
      <c r="E10" s="30">
        <v>1</v>
      </c>
      <c r="F10" s="29">
        <f t="shared" ref="F10:F19" si="8">E10*D10</f>
        <v>1317143.5</v>
      </c>
      <c r="I10" s="66" t="s">
        <v>89</v>
      </c>
      <c r="J10" s="66"/>
    </row>
    <row r="11" spans="1:11" ht="11.25" customHeight="1">
      <c r="A11" s="26" t="s">
        <v>48</v>
      </c>
      <c r="B11" s="27">
        <v>541373</v>
      </c>
      <c r="C11" s="28">
        <v>420473</v>
      </c>
      <c r="D11" s="29">
        <f t="shared" ref="D11:D19" si="9">AVERAGE(B11:C11)</f>
        <v>480923</v>
      </c>
      <c r="E11" s="30">
        <v>1</v>
      </c>
      <c r="F11" s="29">
        <f t="shared" si="8"/>
        <v>480923</v>
      </c>
      <c r="I11" s="66" t="s">
        <v>90</v>
      </c>
      <c r="J11" s="66"/>
    </row>
    <row r="12" spans="1:11" ht="11.25" customHeight="1">
      <c r="A12" s="26" t="s">
        <v>53</v>
      </c>
      <c r="B12" s="27">
        <v>13102516</v>
      </c>
      <c r="C12" s="28">
        <v>6937375</v>
      </c>
      <c r="D12" s="29">
        <f t="shared" si="9"/>
        <v>10019945.5</v>
      </c>
      <c r="E12" s="30">
        <v>0</v>
      </c>
      <c r="F12" s="29">
        <f t="shared" si="8"/>
        <v>0</v>
      </c>
      <c r="I12" s="66" t="s">
        <v>54</v>
      </c>
      <c r="J12" s="66"/>
    </row>
    <row r="13" spans="1:11" ht="11.25" customHeight="1">
      <c r="A13" s="26" t="s">
        <v>73</v>
      </c>
      <c r="B13" s="27">
        <v>104703</v>
      </c>
      <c r="C13" s="28">
        <v>55501</v>
      </c>
      <c r="D13" s="29">
        <f t="shared" si="9"/>
        <v>80102</v>
      </c>
      <c r="E13" s="30">
        <v>1</v>
      </c>
      <c r="F13" s="29">
        <f t="shared" si="8"/>
        <v>80102</v>
      </c>
      <c r="I13" s="66" t="s">
        <v>55</v>
      </c>
      <c r="J13" s="66"/>
    </row>
    <row r="14" spans="1:11" ht="11.25" customHeight="1">
      <c r="A14" s="26" t="s">
        <v>75</v>
      </c>
      <c r="B14" s="27">
        <v>0</v>
      </c>
      <c r="C14" s="28">
        <v>364648</v>
      </c>
      <c r="D14" s="29">
        <f t="shared" ref="D14" si="10">AVERAGE(B14:C14)</f>
        <v>182324</v>
      </c>
      <c r="E14" s="30">
        <v>1</v>
      </c>
      <c r="F14" s="29">
        <f t="shared" ref="F14" si="11">E14*D14</f>
        <v>182324</v>
      </c>
      <c r="I14" s="66" t="s">
        <v>56</v>
      </c>
      <c r="J14" s="66"/>
    </row>
    <row r="15" spans="1:11" ht="11.25" customHeight="1">
      <c r="A15" s="26" t="s">
        <v>74</v>
      </c>
      <c r="B15" s="27">
        <v>5378149</v>
      </c>
      <c r="C15" s="28">
        <v>5632101</v>
      </c>
      <c r="D15" s="29">
        <f t="shared" si="9"/>
        <v>5505125</v>
      </c>
      <c r="E15" s="30">
        <v>0</v>
      </c>
      <c r="F15" s="29">
        <f t="shared" si="8"/>
        <v>0</v>
      </c>
    </row>
    <row r="16" spans="1:11" ht="11.25" customHeight="1">
      <c r="A16" s="26" t="s">
        <v>52</v>
      </c>
      <c r="B16" s="27">
        <f>85374+500000</f>
        <v>585374</v>
      </c>
      <c r="C16" s="28">
        <f>127727+123442+240000</f>
        <v>491169</v>
      </c>
      <c r="D16" s="29">
        <f t="shared" ref="D16" si="12">AVERAGE(B16:C16)</f>
        <v>538271.5</v>
      </c>
      <c r="E16" s="30">
        <v>1</v>
      </c>
      <c r="F16" s="29">
        <f t="shared" ref="F16" si="13">E16*D16</f>
        <v>538271.5</v>
      </c>
    </row>
    <row r="17" spans="1:6" ht="11.25" customHeight="1">
      <c r="A17" s="26" t="s">
        <v>72</v>
      </c>
      <c r="B17" s="27">
        <f>679860+789195+146521+773964+244923+785400+297000+1531210+44702+900000+250000+250000</f>
        <v>6692775</v>
      </c>
      <c r="C17" s="28">
        <f>678205+738661+735758+813476+250000+250000+359643+300000</f>
        <v>4125743</v>
      </c>
      <c r="D17" s="29">
        <f t="shared" si="9"/>
        <v>5409259</v>
      </c>
      <c r="E17" s="30">
        <v>0</v>
      </c>
      <c r="F17" s="29">
        <f t="shared" si="8"/>
        <v>0</v>
      </c>
    </row>
    <row r="18" spans="1:6" ht="11.25" customHeight="1">
      <c r="A18" s="26" t="s">
        <v>71</v>
      </c>
      <c r="B18" s="27">
        <v>32751</v>
      </c>
      <c r="C18" s="27"/>
      <c r="D18" s="29">
        <f t="shared" ref="D18" si="14">AVERAGE(B18:C18)</f>
        <v>32751</v>
      </c>
      <c r="E18" s="30">
        <v>0</v>
      </c>
      <c r="F18" s="29">
        <f t="shared" ref="F18" si="15">E18*D18</f>
        <v>0</v>
      </c>
    </row>
    <row r="19" spans="1:6" ht="11.25" customHeight="1">
      <c r="A19" s="26" t="s">
        <v>3</v>
      </c>
      <c r="B19" s="27">
        <v>-199464</v>
      </c>
      <c r="C19" s="27"/>
      <c r="D19" s="29">
        <f t="shared" si="9"/>
        <v>-199464</v>
      </c>
      <c r="E19" s="30">
        <v>1</v>
      </c>
      <c r="F19" s="29">
        <f t="shared" si="8"/>
        <v>-199464</v>
      </c>
    </row>
    <row r="20" spans="1:6" ht="11.25" customHeight="1">
      <c r="A20" s="23" t="s">
        <v>82</v>
      </c>
      <c r="B20" s="35" t="s">
        <v>67</v>
      </c>
      <c r="C20" s="35" t="s">
        <v>46</v>
      </c>
      <c r="D20" s="35" t="s">
        <v>0</v>
      </c>
      <c r="E20" s="36" t="s">
        <v>1</v>
      </c>
      <c r="F20" s="35" t="s">
        <v>2</v>
      </c>
    </row>
    <row r="21" spans="1:6" ht="11.25" customHeight="1">
      <c r="A21" s="26" t="s">
        <v>47</v>
      </c>
      <c r="B21" s="27">
        <v>389949</v>
      </c>
      <c r="C21" s="28">
        <v>280789</v>
      </c>
      <c r="D21" s="29">
        <f>AVERAGE(B21:C21)</f>
        <v>335369</v>
      </c>
      <c r="E21" s="30">
        <v>1</v>
      </c>
      <c r="F21" s="29">
        <f t="shared" ref="F21:F29" si="16">E21*D21</f>
        <v>335369</v>
      </c>
    </row>
    <row r="22" spans="1:6" ht="11.25" customHeight="1">
      <c r="A22" s="26" t="s">
        <v>48</v>
      </c>
      <c r="B22" s="27">
        <v>286140</v>
      </c>
      <c r="C22" s="28">
        <v>340436</v>
      </c>
      <c r="D22" s="29">
        <f t="shared" ref="D22:D29" si="17">AVERAGE(B22:C22)</f>
        <v>313288</v>
      </c>
      <c r="E22" s="30">
        <v>1</v>
      </c>
      <c r="F22" s="29">
        <f t="shared" si="16"/>
        <v>313288</v>
      </c>
    </row>
    <row r="23" spans="1:6" ht="11.25" customHeight="1">
      <c r="A23" s="26" t="s">
        <v>73</v>
      </c>
      <c r="B23" s="27">
        <v>38253</v>
      </c>
      <c r="C23" s="28">
        <v>75081</v>
      </c>
      <c r="D23" s="29">
        <f t="shared" si="17"/>
        <v>56667</v>
      </c>
      <c r="E23" s="30">
        <v>1</v>
      </c>
      <c r="F23" s="29">
        <f t="shared" si="16"/>
        <v>56667</v>
      </c>
    </row>
    <row r="24" spans="1:6" ht="11.25" customHeight="1">
      <c r="A24" s="26" t="s">
        <v>74</v>
      </c>
      <c r="B24" s="27">
        <v>543017</v>
      </c>
      <c r="C24" s="28">
        <v>499765</v>
      </c>
      <c r="D24" s="29">
        <f t="shared" si="17"/>
        <v>521391</v>
      </c>
      <c r="E24" s="30">
        <v>0</v>
      </c>
      <c r="F24" s="29">
        <f t="shared" si="16"/>
        <v>0</v>
      </c>
    </row>
    <row r="25" spans="1:6" ht="11.25" customHeight="1">
      <c r="A25" s="26" t="s">
        <v>52</v>
      </c>
      <c r="B25" s="27">
        <v>0</v>
      </c>
      <c r="C25" s="28">
        <f>8465+30511+900000</f>
        <v>938976</v>
      </c>
      <c r="D25" s="29">
        <f t="shared" ref="D25" si="18">AVERAGE(B25:C25)</f>
        <v>469488</v>
      </c>
      <c r="E25" s="30">
        <v>1</v>
      </c>
      <c r="F25" s="29">
        <f t="shared" ref="F25" si="19">E25*D25</f>
        <v>469488</v>
      </c>
    </row>
    <row r="26" spans="1:6" ht="11.25" customHeight="1">
      <c r="A26" s="26" t="s">
        <v>84</v>
      </c>
      <c r="B26" s="27">
        <v>0</v>
      </c>
      <c r="C26" s="28">
        <f>128156+332633+300000+300000</f>
        <v>1060789</v>
      </c>
      <c r="D26" s="29">
        <f t="shared" ref="D26" si="20">AVERAGE(B26:C26)</f>
        <v>530394.5</v>
      </c>
      <c r="E26" s="30">
        <v>0</v>
      </c>
      <c r="F26" s="29">
        <f t="shared" ref="F26" si="21">E26*D26</f>
        <v>0</v>
      </c>
    </row>
    <row r="27" spans="1:6" ht="11.25" customHeight="1">
      <c r="A27" s="26" t="s">
        <v>83</v>
      </c>
      <c r="B27" s="27">
        <v>840000</v>
      </c>
      <c r="C27" s="28">
        <v>700000</v>
      </c>
      <c r="D27" s="29">
        <f t="shared" si="17"/>
        <v>770000</v>
      </c>
      <c r="E27" s="30">
        <v>0</v>
      </c>
      <c r="F27" s="29">
        <f t="shared" si="16"/>
        <v>0</v>
      </c>
    </row>
    <row r="28" spans="1:6" ht="11.25" customHeight="1">
      <c r="A28" s="26" t="s">
        <v>71</v>
      </c>
      <c r="B28" s="27">
        <v>0</v>
      </c>
      <c r="C28" s="28">
        <f>449+481+97+123442</f>
        <v>124469</v>
      </c>
      <c r="D28" s="29">
        <f t="shared" ref="D28" si="22">AVERAGE(B28:C28)</f>
        <v>62234.5</v>
      </c>
      <c r="E28" s="30">
        <v>0</v>
      </c>
      <c r="F28" s="29">
        <f t="shared" ref="F28" si="23">E28*D28</f>
        <v>0</v>
      </c>
    </row>
    <row r="29" spans="1:6" ht="11.25" customHeight="1">
      <c r="A29" s="26" t="s">
        <v>3</v>
      </c>
      <c r="B29" s="27">
        <v>-132079</v>
      </c>
      <c r="C29" s="27">
        <v>-101123</v>
      </c>
      <c r="D29" s="29">
        <f t="shared" si="17"/>
        <v>-116601</v>
      </c>
      <c r="E29" s="30">
        <v>1</v>
      </c>
      <c r="F29" s="29">
        <f t="shared" si="16"/>
        <v>-116601</v>
      </c>
    </row>
    <row r="30" spans="1:6" ht="11.25" customHeight="1">
      <c r="A30" s="37" t="s">
        <v>4</v>
      </c>
      <c r="B30" s="38"/>
      <c r="C30" s="38"/>
      <c r="D30" s="38"/>
      <c r="E30" s="38"/>
      <c r="F30" s="39">
        <f>+SUM(F3:F29)</f>
        <v>47065056.5</v>
      </c>
    </row>
    <row r="31" spans="1:6" ht="11.25" customHeight="1">
      <c r="A31" s="31" t="s">
        <v>5</v>
      </c>
      <c r="B31" s="32"/>
      <c r="C31" s="32"/>
      <c r="D31" s="32"/>
      <c r="E31" s="32"/>
      <c r="F31" s="39">
        <f>F30/12</f>
        <v>3922088.0416666665</v>
      </c>
    </row>
    <row r="32" spans="1:6" ht="11.25" customHeight="1">
      <c r="A32" s="31" t="s">
        <v>6</v>
      </c>
      <c r="B32" s="32"/>
      <c r="C32" s="32"/>
      <c r="D32" s="32"/>
      <c r="E32" s="32"/>
      <c r="F32" s="29">
        <f>RTR!M8</f>
        <v>567280</v>
      </c>
    </row>
    <row r="33" spans="1:6" ht="11.25" customHeight="1">
      <c r="A33" s="31" t="s">
        <v>50</v>
      </c>
      <c r="B33" s="33"/>
      <c r="C33" s="33"/>
      <c r="D33" s="33"/>
      <c r="E33" s="33"/>
      <c r="F33" s="34">
        <v>1</v>
      </c>
    </row>
    <row r="34" spans="1:6" ht="11.25" customHeight="1">
      <c r="A34" s="31" t="s">
        <v>7</v>
      </c>
      <c r="B34" s="32"/>
      <c r="C34" s="32"/>
      <c r="D34" s="32"/>
      <c r="E34" s="32"/>
      <c r="F34" s="40">
        <f>(F31*F33)-F32</f>
        <v>3354808.0416666665</v>
      </c>
    </row>
    <row r="35" spans="1:6" ht="11.25" customHeight="1">
      <c r="A35" s="31" t="s">
        <v>8</v>
      </c>
      <c r="B35" s="32"/>
      <c r="C35" s="32"/>
      <c r="D35" s="32"/>
      <c r="E35" s="32"/>
      <c r="F35" s="31">
        <v>180</v>
      </c>
    </row>
    <row r="36" spans="1:6" ht="11.25" customHeight="1">
      <c r="A36" s="31" t="s">
        <v>9</v>
      </c>
      <c r="B36" s="32"/>
      <c r="C36" s="32"/>
      <c r="D36" s="32"/>
      <c r="E36" s="32"/>
      <c r="F36" s="34">
        <v>9.7500000000000003E-2</v>
      </c>
    </row>
    <row r="37" spans="1:6" ht="11.25" customHeight="1">
      <c r="A37" s="31" t="s">
        <v>10</v>
      </c>
      <c r="B37" s="32"/>
      <c r="C37" s="32"/>
      <c r="D37" s="32"/>
      <c r="E37" s="32"/>
      <c r="F37" s="41">
        <f>PMT(F36/12,F35,-100000)</f>
        <v>1059.362663542757</v>
      </c>
    </row>
    <row r="38" spans="1:6" ht="11.25" customHeight="1">
      <c r="A38" s="31" t="s">
        <v>11</v>
      </c>
      <c r="B38" s="32"/>
      <c r="C38" s="32"/>
      <c r="D38" s="32"/>
      <c r="E38" s="32"/>
      <c r="F38" s="42">
        <f>F34/F37</f>
        <v>3166.8173300042522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L31"/>
  <sheetViews>
    <sheetView tabSelected="1" zoomScale="118" zoomScaleNormal="118" workbookViewId="0">
      <selection activeCell="J15" sqref="J15"/>
    </sheetView>
  </sheetViews>
  <sheetFormatPr defaultColWidth="22.140625" defaultRowHeight="15"/>
  <cols>
    <col min="1" max="1" width="7" style="44" bestFit="1" customWidth="1"/>
    <col min="2" max="2" width="15.42578125" style="44" bestFit="1" customWidth="1"/>
    <col min="3" max="3" width="17.7109375" style="44" bestFit="1" customWidth="1"/>
    <col min="4" max="4" width="11" style="44" bestFit="1" customWidth="1"/>
    <col min="5" max="5" width="10.140625" style="44" bestFit="1" customWidth="1"/>
    <col min="6" max="6" width="10.85546875" style="44" bestFit="1" customWidth="1"/>
    <col min="7" max="7" width="14.85546875" style="44" customWidth="1"/>
    <col min="8" max="8" width="10" style="44" bestFit="1" customWidth="1"/>
    <col min="9" max="9" width="7.28515625" style="44" bestFit="1" customWidth="1"/>
    <col min="10" max="10" width="9.28515625" style="44" bestFit="1" customWidth="1"/>
    <col min="11" max="11" width="8.140625" style="44" bestFit="1" customWidth="1"/>
    <col min="12" max="12" width="8.5703125" style="44" bestFit="1" customWidth="1"/>
    <col min="13" max="13" width="15.140625" style="44" bestFit="1" customWidth="1"/>
    <col min="14" max="246" width="22.140625" style="44"/>
    <col min="247" max="16384" width="22.140625" style="45"/>
  </cols>
  <sheetData>
    <row r="1" spans="1:246" ht="13.5" customHeight="1">
      <c r="A1" s="43" t="s">
        <v>12</v>
      </c>
      <c r="B1" s="43" t="s">
        <v>13</v>
      </c>
      <c r="C1" s="43" t="s">
        <v>14</v>
      </c>
      <c r="D1" s="43" t="s">
        <v>15</v>
      </c>
      <c r="E1" s="43" t="s">
        <v>16</v>
      </c>
      <c r="F1" s="43" t="s">
        <v>17</v>
      </c>
      <c r="G1" s="43" t="s">
        <v>49</v>
      </c>
      <c r="H1" s="43" t="s">
        <v>69</v>
      </c>
      <c r="I1" s="43" t="s">
        <v>18</v>
      </c>
      <c r="J1" s="43" t="s">
        <v>19</v>
      </c>
      <c r="K1" s="43" t="s">
        <v>20</v>
      </c>
      <c r="L1" s="43" t="s">
        <v>21</v>
      </c>
      <c r="M1" s="43" t="s">
        <v>22</v>
      </c>
    </row>
    <row r="2" spans="1:246" ht="15.75" customHeight="1">
      <c r="A2" s="46">
        <v>1</v>
      </c>
      <c r="B2" s="47">
        <v>66005459</v>
      </c>
      <c r="C2" s="46" t="s">
        <v>58</v>
      </c>
      <c r="D2" s="46" t="s">
        <v>59</v>
      </c>
      <c r="E2" s="47" t="s">
        <v>60</v>
      </c>
      <c r="F2" s="47">
        <v>453261</v>
      </c>
      <c r="G2" s="48">
        <v>43565</v>
      </c>
      <c r="H2" s="48">
        <v>126336</v>
      </c>
      <c r="I2" s="49">
        <v>36</v>
      </c>
      <c r="J2" s="49">
        <v>27</v>
      </c>
      <c r="K2" s="49">
        <f>36-27</f>
        <v>9</v>
      </c>
      <c r="L2" s="49">
        <v>14630</v>
      </c>
      <c r="M2" s="50" t="s">
        <v>23</v>
      </c>
    </row>
    <row r="3" spans="1:246">
      <c r="A3" s="46">
        <v>2</v>
      </c>
      <c r="B3" s="47">
        <v>29422973</v>
      </c>
      <c r="C3" s="46" t="s">
        <v>70</v>
      </c>
      <c r="D3" s="46" t="s">
        <v>76</v>
      </c>
      <c r="E3" s="47" t="s">
        <v>77</v>
      </c>
      <c r="F3" s="47">
        <v>44200000</v>
      </c>
      <c r="G3" s="48">
        <v>43892</v>
      </c>
      <c r="H3" s="51"/>
      <c r="I3" s="49">
        <v>172</v>
      </c>
      <c r="J3" s="52"/>
      <c r="K3" s="52"/>
      <c r="L3" s="49">
        <v>466897</v>
      </c>
      <c r="M3" s="50" t="s">
        <v>23</v>
      </c>
    </row>
    <row r="4" spans="1:246" ht="15.75" customHeight="1">
      <c r="A4" s="46">
        <v>3</v>
      </c>
      <c r="B4" s="47">
        <v>30765907</v>
      </c>
      <c r="C4" s="46" t="s">
        <v>78</v>
      </c>
      <c r="D4" s="46" t="s">
        <v>79</v>
      </c>
      <c r="E4" s="47" t="s">
        <v>80</v>
      </c>
      <c r="F4" s="47">
        <v>1870850</v>
      </c>
      <c r="G4" s="53">
        <v>43923</v>
      </c>
      <c r="H4" s="53">
        <v>904537</v>
      </c>
      <c r="I4" s="49">
        <v>27</v>
      </c>
      <c r="J4" s="49">
        <v>15</v>
      </c>
      <c r="K4" s="49">
        <f>27-15</f>
        <v>12</v>
      </c>
      <c r="L4" s="49">
        <v>85753</v>
      </c>
      <c r="M4" s="50" t="s">
        <v>23</v>
      </c>
      <c r="N4" s="69"/>
    </row>
    <row r="5" spans="1:246">
      <c r="A5" s="46">
        <v>4</v>
      </c>
      <c r="B5" s="47">
        <v>58233362</v>
      </c>
      <c r="C5" s="46" t="s">
        <v>81</v>
      </c>
      <c r="D5" s="46" t="s">
        <v>59</v>
      </c>
      <c r="E5" s="47" t="s">
        <v>61</v>
      </c>
      <c r="F5" s="47">
        <v>1000100</v>
      </c>
      <c r="G5" s="53">
        <v>43317</v>
      </c>
      <c r="H5" s="53">
        <v>31614</v>
      </c>
      <c r="I5" s="49">
        <v>36</v>
      </c>
      <c r="J5" s="49">
        <v>35</v>
      </c>
      <c r="K5" s="49">
        <v>1</v>
      </c>
      <c r="L5" s="49">
        <v>31854</v>
      </c>
      <c r="M5" s="50" t="s">
        <v>62</v>
      </c>
      <c r="N5" s="69"/>
    </row>
    <row r="6" spans="1:246" s="61" customFormat="1" ht="15.75" customHeight="1">
      <c r="A6" s="54">
        <v>5</v>
      </c>
      <c r="B6" s="55">
        <v>65257319328</v>
      </c>
      <c r="C6" s="54" t="s">
        <v>58</v>
      </c>
      <c r="D6" s="54" t="s">
        <v>63</v>
      </c>
      <c r="E6" s="55" t="s">
        <v>64</v>
      </c>
      <c r="F6" s="55">
        <v>104100000</v>
      </c>
      <c r="G6" s="56"/>
      <c r="H6" s="56"/>
      <c r="I6" s="57"/>
      <c r="J6" s="57"/>
      <c r="K6" s="57"/>
      <c r="L6" s="58">
        <v>1500000</v>
      </c>
      <c r="M6" s="59" t="s">
        <v>62</v>
      </c>
      <c r="N6" s="68" t="s">
        <v>66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</row>
    <row r="7" spans="1:246" s="61" customFormat="1">
      <c r="A7" s="54">
        <v>6</v>
      </c>
      <c r="B7" s="55">
        <v>6057021000681</v>
      </c>
      <c r="C7" s="54" t="s">
        <v>58</v>
      </c>
      <c r="D7" s="54" t="s">
        <v>65</v>
      </c>
      <c r="E7" s="55" t="s">
        <v>64</v>
      </c>
      <c r="F7" s="55">
        <v>130000000</v>
      </c>
      <c r="G7" s="56"/>
      <c r="H7" s="56"/>
      <c r="I7" s="57"/>
      <c r="J7" s="57"/>
      <c r="K7" s="57"/>
      <c r="L7" s="58">
        <v>1500000</v>
      </c>
      <c r="M7" s="59" t="s">
        <v>62</v>
      </c>
      <c r="N7" s="68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</row>
    <row r="8" spans="1:246">
      <c r="A8" s="62"/>
      <c r="B8" s="63"/>
      <c r="C8" s="63"/>
      <c r="D8" s="63"/>
      <c r="E8" s="64"/>
      <c r="F8" s="63"/>
      <c r="G8" s="63"/>
      <c r="H8" s="63"/>
      <c r="I8" s="63"/>
      <c r="J8" s="63"/>
      <c r="K8" s="63"/>
      <c r="L8" s="63"/>
      <c r="M8" s="65">
        <f>SUMIF(M2:M7,"Y",L2:L7)</f>
        <v>567280</v>
      </c>
    </row>
    <row r="31" spans="6:6">
      <c r="F31" s="44" t="s">
        <v>57</v>
      </c>
    </row>
  </sheetData>
  <sheetProtection selectLockedCells="1" selectUnlockedCells="1"/>
  <mergeCells count="2">
    <mergeCell ref="N6:N7"/>
    <mergeCell ref="N4:N5"/>
  </mergeCells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0" t="s">
        <v>24</v>
      </c>
      <c r="B1" s="70"/>
      <c r="C1" s="2"/>
    </row>
    <row r="2" spans="1:6" ht="14.25" customHeight="1">
      <c r="A2" s="70" t="s">
        <v>25</v>
      </c>
      <c r="B2" s="70"/>
      <c r="C2" s="2"/>
    </row>
    <row r="5" spans="1:6" ht="27">
      <c r="A5" s="3" t="s">
        <v>12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2021-06-30T09:37:05Z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