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/>
  <c r="I10" i="7"/>
  <c r="H9"/>
  <c r="G9"/>
  <c r="F9"/>
  <c r="E9"/>
  <c r="D9"/>
  <c r="C9"/>
  <c r="I9" l="1"/>
  <c r="I4" i="2" l="1"/>
  <c r="I2"/>
  <c r="C17" i="1"/>
  <c r="B17"/>
  <c r="D17" s="1"/>
  <c r="F17" s="1"/>
  <c r="D19"/>
  <c r="F19" s="1"/>
  <c r="D18"/>
  <c r="F18" s="1"/>
  <c r="C13"/>
  <c r="B13"/>
  <c r="C8"/>
  <c r="C6"/>
  <c r="C9"/>
  <c r="D7"/>
  <c r="F7" s="1"/>
  <c r="B8"/>
  <c r="D8"/>
  <c r="F8" s="1"/>
  <c r="B6"/>
  <c r="B9"/>
  <c r="D6" l="1"/>
  <c r="F6" s="1"/>
  <c r="D15" l="1"/>
  <c r="F15" s="1"/>
  <c r="D14"/>
  <c r="F14" s="1"/>
  <c r="D13"/>
  <c r="F13" s="1"/>
  <c r="K9" i="2"/>
  <c r="D5" i="1"/>
  <c r="F5" s="1"/>
  <c r="D10"/>
  <c r="D3"/>
  <c r="D4"/>
  <c r="D9"/>
  <c r="D11"/>
  <c r="F10" l="1"/>
  <c r="F3" l="1"/>
  <c r="F4"/>
  <c r="F9"/>
  <c r="F11"/>
  <c r="E13" i="5"/>
  <c r="F12"/>
  <c r="F11"/>
  <c r="F10"/>
  <c r="F9"/>
  <c r="F8"/>
  <c r="F7"/>
  <c r="F6"/>
  <c r="F13"/>
  <c r="F22" i="1"/>
  <c r="F27"/>
  <c r="F20" l="1"/>
  <c r="F21" s="1"/>
  <c r="F24" s="1"/>
  <c r="F28" s="1"/>
</calcChain>
</file>

<file path=xl/sharedStrings.xml><?xml version="1.0" encoding="utf-8"?>
<sst xmlns="http://schemas.openxmlformats.org/spreadsheetml/2006/main" count="141" uniqueCount="105">
  <si>
    <t>ASSESSMENT YEAR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</si>
  <si>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</si>
  <si>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</si>
  <si>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</si>
  <si>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</si>
  <si>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</si>
  <si>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</si>
  <si>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</si>
  <si>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</si>
  <si>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</si>
  <si>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</si>
  <si>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</si>
  <si>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</si>
  <si>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</si>
  <si>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</si>
  <si>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</si>
  <si>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</si>
  <si>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</si>
  <si>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</si>
  <si>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</si>
  <si>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</si>
  <si>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</si>
  <si>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</si>
  <si>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</si>
  <si>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</si>
  <si>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</si>
  <si>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</si>
  <si>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</si>
  <si>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</si>
  <si>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</si>
  <si>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</si>
  <si>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</si>
  <si>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</si>
  <si>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</si>
  <si>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</si>
  <si>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</si>
  <si>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</si>
  <si>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</si>
  <si>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</si>
  <si>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</si>
  <si>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</si>
  <si>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</si>
  <si>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</si>
  <si>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</si>
  <si>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</si>
  <si>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</si>
  <si>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</si>
  <si>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</si>
  <si>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</si>
  <si>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</si>
  <si>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</si>
  <si>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Lap</t>
  </si>
  <si>
    <t>Payment Made u/s 40A(2)b</t>
  </si>
  <si>
    <t>n</t>
  </si>
  <si>
    <t>BL</t>
  </si>
  <si>
    <t xml:space="preserve">Date's </t>
  </si>
  <si>
    <t>July</t>
  </si>
  <si>
    <t>Aug</t>
  </si>
  <si>
    <t>Oct</t>
  </si>
  <si>
    <t>Nov</t>
  </si>
  <si>
    <t>7th</t>
  </si>
  <si>
    <t>14th</t>
  </si>
  <si>
    <t>21st</t>
  </si>
  <si>
    <t>28th</t>
  </si>
  <si>
    <t>Total</t>
  </si>
  <si>
    <t>Eligibilty In Lacs</t>
  </si>
  <si>
    <t xml:space="preserve">Max FOIR           </t>
  </si>
  <si>
    <t xml:space="preserve">Hind Scrap Store </t>
  </si>
  <si>
    <t xml:space="preserve">Interest On Capital </t>
  </si>
  <si>
    <t>Interest To Bank</t>
  </si>
  <si>
    <t>Interest to Others</t>
  </si>
  <si>
    <t>Anil Kumar Goyal</t>
  </si>
  <si>
    <t>Sheetal Goyal</t>
  </si>
  <si>
    <t>4260CDER165345</t>
  </si>
  <si>
    <t>Anil Goyal</t>
  </si>
  <si>
    <t>Bajaj Finserv</t>
  </si>
  <si>
    <t>CD Loan</t>
  </si>
  <si>
    <t>Repayment Banking</t>
  </si>
  <si>
    <t>32295 (City Union Bank)</t>
  </si>
  <si>
    <t>426BLFFN191710</t>
  </si>
  <si>
    <t>Hind Scrap Store</t>
  </si>
  <si>
    <t>LAP-18064790</t>
  </si>
  <si>
    <t>Kotak Mahindra</t>
  </si>
  <si>
    <t>45114 (Kotak Mahindra)</t>
  </si>
  <si>
    <t>Kotak Mahindra A/c No. 45114</t>
  </si>
  <si>
    <t>Sept</t>
  </si>
  <si>
    <t>Dec</t>
  </si>
  <si>
    <t xml:space="preserve">Sale </t>
  </si>
  <si>
    <t>GP</t>
  </si>
  <si>
    <t>NP</t>
  </si>
  <si>
    <t>31/3/19</t>
  </si>
  <si>
    <t>As on Dec</t>
  </si>
  <si>
    <t xml:space="preserve">Satish Kumar &amp; Sons /Harbans Lal / International Sheet &amp; Metal </t>
  </si>
  <si>
    <t>Salery to Partners</t>
  </si>
  <si>
    <t>Detail Pending</t>
  </si>
  <si>
    <t>Share In Partnership Firm ( Hind Scrap Store )</t>
  </si>
  <si>
    <t>In CC</t>
  </si>
  <si>
    <t>TO/CA 5114</t>
  </si>
  <si>
    <t xml:space="preserve">CC City Union Bank </t>
  </si>
  <si>
    <t xml:space="preserve">Address Property </t>
  </si>
  <si>
    <t>216 s.z. Village Gill No. 2</t>
  </si>
  <si>
    <t>Abadi Janta nagar</t>
  </si>
  <si>
    <t>Ludhiana ( Commercial )</t>
  </si>
  <si>
    <t>293 s.z. Village Gill No. 2</t>
  </si>
  <si>
    <t>971 s.z. Village Gill No. 2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</si>
</sst>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6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86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9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1" fillId="10" borderId="2" xfId="0" applyFont="1" applyFill="1" applyBorder="1" applyAlignment="1">
      <alignment horizontal="center" vertical="center"/>
    </xf>
    <xf numFmtId="164" fontId="12" fillId="6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vertical="top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0" fontId="12" fillId="0" borderId="2" xfId="1" applyNumberFormat="1" applyFont="1" applyFill="1" applyBorder="1" applyAlignment="1" applyProtection="1">
      <alignment horizontal="center" vertical="top"/>
    </xf>
    <xf numFmtId="164" fontId="12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horizontal="center" vertical="top"/>
    </xf>
    <xf numFmtId="2" fontId="12" fillId="8" borderId="2" xfId="5" applyNumberFormat="1" applyFont="1" applyFill="1" applyBorder="1" applyAlignment="1" applyProtection="1">
      <alignment horizontal="center" vertical="top"/>
    </xf>
    <xf numFmtId="165" fontId="12" fillId="8" borderId="2" xfId="5" applyNumberFormat="1" applyFont="1" applyFill="1" applyBorder="1" applyAlignment="1" applyProtection="1">
      <alignment horizontal="center" vertical="top"/>
    </xf>
    <xf numFmtId="0" fontId="5" fillId="6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6" borderId="2" xfId="3" applyFont="1" applyFill="1" applyBorder="1" applyAlignment="1">
      <alignment horizontal="left" vertical="top" wrapText="1"/>
    </xf>
    <xf numFmtId="166" fontId="12" fillId="12" borderId="2" xfId="1" applyNumberFormat="1" applyFont="1" applyFill="1" applyBorder="1" applyAlignment="1" applyProtection="1">
      <alignment horizontal="center" vertical="center"/>
    </xf>
    <xf numFmtId="166" fontId="12" fillId="13" borderId="2" xfId="1" applyNumberFormat="1" applyFont="1" applyFill="1" applyBorder="1" applyAlignment="1" applyProtection="1">
      <alignment horizontal="center" vertical="center"/>
    </xf>
    <xf numFmtId="164" fontId="12" fillId="12" borderId="2" xfId="1" applyNumberFormat="1" applyFont="1" applyFill="1" applyBorder="1" applyAlignment="1" applyProtection="1">
      <alignment horizontal="center" vertical="top"/>
    </xf>
    <xf numFmtId="9" fontId="12" fillId="12" borderId="2" xfId="1" applyNumberFormat="1" applyFont="1" applyFill="1" applyBorder="1" applyAlignment="1" applyProtection="1">
      <alignment horizontal="center" vertical="top"/>
    </xf>
    <xf numFmtId="164" fontId="12" fillId="5" borderId="2" xfId="1" applyNumberFormat="1" applyFont="1" applyFill="1" applyBorder="1" applyAlignment="1" applyProtection="1">
      <alignment horizontal="center" vertical="center" wrapText="1"/>
    </xf>
    <xf numFmtId="164" fontId="12" fillId="7" borderId="2" xfId="1" applyNumberFormat="1" applyFont="1" applyFill="1" applyBorder="1" applyAlignment="1" applyProtection="1">
      <alignment horizontal="left" vertical="center" wrapText="1"/>
    </xf>
    <xf numFmtId="164" fontId="12" fillId="8" borderId="2" xfId="1" applyNumberFormat="1" applyFont="1" applyFill="1" applyBorder="1" applyAlignment="1" applyProtection="1">
      <alignment horizontal="center" vertical="center" wrapText="1"/>
    </xf>
    <xf numFmtId="9" fontId="12" fillId="8" borderId="2" xfId="1" applyNumberFormat="1" applyFont="1" applyFill="1" applyBorder="1" applyAlignment="1" applyProtection="1">
      <alignment horizontal="center" vertical="center" wrapText="1"/>
    </xf>
    <xf numFmtId="165" fontId="12" fillId="8" borderId="2" xfId="1" applyFont="1" applyFill="1" applyBorder="1" applyAlignment="1" applyProtection="1">
      <alignment vertical="top" wrapText="1"/>
    </xf>
    <xf numFmtId="167" fontId="12" fillId="8" borderId="2" xfId="1" applyNumberFormat="1" applyFont="1" applyFill="1" applyBorder="1" applyAlignment="1" applyProtection="1">
      <alignment horizontal="center" vertical="top"/>
    </xf>
    <xf numFmtId="0" fontId="13" fillId="11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1" fontId="14" fillId="13" borderId="2" xfId="0" applyNumberFormat="1" applyFont="1" applyFill="1" applyBorder="1" applyAlignment="1">
      <alignment horizontal="center" vertical="center" wrapText="1"/>
    </xf>
    <xf numFmtId="2" fontId="12" fillId="12" borderId="2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164" fontId="12" fillId="12" borderId="2" xfId="1" applyNumberFormat="1" applyFont="1" applyFill="1" applyBorder="1" applyAlignment="1" applyProtection="1">
      <alignment horizontal="left" vertical="center" wrapText="1"/>
    </xf>
    <xf numFmtId="0" fontId="12" fillId="6" borderId="0" xfId="3" applyFont="1" applyFill="1" applyBorder="1" applyAlignment="1">
      <alignment vertical="top" wrapText="1"/>
    </xf>
    <xf numFmtId="0" fontId="5" fillId="14" borderId="0" xfId="3" applyFont="1" applyFill="1" applyBorder="1" applyAlignment="1">
      <alignment horizontal="left" vertical="top" wrapText="1"/>
    </xf>
    <xf numFmtId="0" fontId="12" fillId="0" borderId="2" xfId="0" applyNumberFormat="1" applyFont="1" applyFill="1" applyBorder="1"/>
    <xf numFmtId="164" fontId="12" fillId="5" borderId="2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164" fontId="12" fillId="0" borderId="2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6" fillId="9" borderId="3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47"/>
  <sheetViews>
    <sheetView tabSelected="1" zoomScale="107" zoomScaleNormal="107" workbookViewId="0">
      <selection activeCell="F24" sqref="F24"/>
    </sheetView>
  </sheetViews>
  <sheetFormatPr defaultColWidth="31.28515625" defaultRowHeight="13.5"/>
  <cols>
    <col min="1" max="1" width="37.7109375" style="21" customWidth="1"/>
    <col min="2" max="2" width="14.5703125" style="21" customWidth="1"/>
    <col min="3" max="3" width="14.7109375" style="21" customWidth="1"/>
    <col min="4" max="4" width="14" style="21" customWidth="1"/>
    <col min="5" max="5" width="11.140625" style="21" customWidth="1"/>
    <col min="6" max="6" width="14.85546875" style="21" customWidth="1"/>
    <col min="7" max="7" width="56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7">
      <c r="A1" s="63" t="s">
        <v>67</v>
      </c>
      <c r="B1" s="78" t="s">
        <v>0</v>
      </c>
      <c r="C1" s="78"/>
      <c r="D1" s="63"/>
      <c r="E1" s="63"/>
      <c r="F1" s="63"/>
    </row>
    <row r="2" spans="1:7">
      <c r="A2" s="64" t="s">
        <v>67</v>
      </c>
      <c r="B2" s="65" t="s">
        <v>47</v>
      </c>
      <c r="C2" s="65" t="s">
        <v>1</v>
      </c>
      <c r="D2" s="65" t="s">
        <v>2</v>
      </c>
      <c r="E2" s="66" t="s">
        <v>3</v>
      </c>
      <c r="F2" s="65" t="s">
        <v>4</v>
      </c>
    </row>
    <row r="3" spans="1:7">
      <c r="A3" s="74" t="s">
        <v>48</v>
      </c>
      <c r="B3" s="59">
        <v>166680.85</v>
      </c>
      <c r="C3" s="60">
        <v>127709.56</v>
      </c>
      <c r="D3" s="61">
        <f>AVERAGE(B3:C3)</f>
        <v>147195.20500000002</v>
      </c>
      <c r="E3" s="62">
        <v>1</v>
      </c>
      <c r="F3" s="61">
        <f t="shared" ref="F3:F11" si="0">E3*D3</f>
        <v>147195.20500000002</v>
      </c>
    </row>
    <row r="4" spans="1:7">
      <c r="A4" s="74" t="s">
        <v>49</v>
      </c>
      <c r="B4" s="59">
        <v>101403</v>
      </c>
      <c r="C4" s="60">
        <v>118699</v>
      </c>
      <c r="D4" s="61">
        <f t="shared" ref="D4:D11" si="1">AVERAGE(B4:C4)</f>
        <v>110051</v>
      </c>
      <c r="E4" s="62">
        <v>1</v>
      </c>
      <c r="F4" s="61">
        <f t="shared" si="0"/>
        <v>110051</v>
      </c>
    </row>
    <row r="5" spans="1:7" ht="15" customHeight="1">
      <c r="A5" s="74" t="s">
        <v>69</v>
      </c>
      <c r="B5" s="59">
        <v>638790</v>
      </c>
      <c r="C5" s="60">
        <v>757603</v>
      </c>
      <c r="D5" s="61">
        <f t="shared" si="1"/>
        <v>698196.5</v>
      </c>
      <c r="E5" s="62">
        <v>1</v>
      </c>
      <c r="F5" s="61">
        <f t="shared" ref="F5" si="2">E5*D5</f>
        <v>698196.5</v>
      </c>
      <c r="G5" s="75" t="s">
        <v>98</v>
      </c>
    </row>
    <row r="6" spans="1:7" ht="15" customHeight="1">
      <c r="A6" s="74" t="s">
        <v>68</v>
      </c>
      <c r="B6" s="59">
        <f>314247+468034+356819</f>
        <v>1139100</v>
      </c>
      <c r="C6" s="60">
        <f>313645+407884+347068</f>
        <v>1068597</v>
      </c>
      <c r="D6" s="61">
        <f t="shared" ref="D6:D8" si="3">AVERAGE(B6:C6)</f>
        <v>1103848.5</v>
      </c>
      <c r="E6" s="62">
        <v>1</v>
      </c>
      <c r="F6" s="61">
        <f t="shared" ref="F6:F8" si="4">E6*D6</f>
        <v>1103848.5</v>
      </c>
      <c r="G6" s="75"/>
    </row>
    <row r="7" spans="1:7" ht="15" customHeight="1">
      <c r="A7" s="74" t="s">
        <v>70</v>
      </c>
      <c r="B7" s="59">
        <v>357560</v>
      </c>
      <c r="C7" s="60">
        <v>424910</v>
      </c>
      <c r="D7" s="61">
        <f t="shared" si="3"/>
        <v>391235</v>
      </c>
      <c r="E7" s="62">
        <v>0</v>
      </c>
      <c r="F7" s="61">
        <f t="shared" si="4"/>
        <v>0</v>
      </c>
      <c r="G7" s="75" t="s">
        <v>94</v>
      </c>
    </row>
    <row r="8" spans="1:7" ht="15" customHeight="1">
      <c r="A8" s="74" t="s">
        <v>93</v>
      </c>
      <c r="B8" s="59">
        <f>60000+72000</f>
        <v>132000</v>
      </c>
      <c r="C8" s="60">
        <f>60000+72000</f>
        <v>132000</v>
      </c>
      <c r="D8" s="61">
        <f t="shared" si="3"/>
        <v>132000</v>
      </c>
      <c r="E8" s="62">
        <v>1</v>
      </c>
      <c r="F8" s="61">
        <f t="shared" si="4"/>
        <v>132000</v>
      </c>
      <c r="G8" s="75"/>
    </row>
    <row r="9" spans="1:7" ht="15" customHeight="1">
      <c r="A9" s="74" t="s">
        <v>52</v>
      </c>
      <c r="B9" s="59">
        <f>223690+137940</f>
        <v>361630</v>
      </c>
      <c r="C9" s="60">
        <f>226730+198180</f>
        <v>424910</v>
      </c>
      <c r="D9" s="61">
        <f t="shared" si="1"/>
        <v>393270</v>
      </c>
      <c r="E9" s="62">
        <v>0</v>
      </c>
      <c r="F9" s="61">
        <f t="shared" ref="F9" si="5">E9*D9</f>
        <v>0</v>
      </c>
      <c r="G9" s="75" t="s">
        <v>92</v>
      </c>
    </row>
    <row r="10" spans="1:7" ht="15" customHeight="1">
      <c r="A10" s="74" t="s">
        <v>50</v>
      </c>
      <c r="B10" s="59">
        <v>4073</v>
      </c>
      <c r="C10" s="60">
        <v>0</v>
      </c>
      <c r="D10" s="61">
        <f t="shared" ref="D10" si="6">AVERAGE(B10:C10)</f>
        <v>2036.5</v>
      </c>
      <c r="E10" s="62">
        <v>0.5</v>
      </c>
      <c r="F10" s="61">
        <f t="shared" ref="F10" si="7">E10*D10</f>
        <v>1018.25</v>
      </c>
    </row>
    <row r="11" spans="1:7">
      <c r="A11" s="74" t="s">
        <v>5</v>
      </c>
      <c r="B11" s="59">
        <v>-53274</v>
      </c>
      <c r="C11" s="59">
        <v>-41007</v>
      </c>
      <c r="D11" s="61">
        <f t="shared" si="1"/>
        <v>-47140.5</v>
      </c>
      <c r="E11" s="62">
        <v>1</v>
      </c>
      <c r="F11" s="61">
        <f t="shared" si="0"/>
        <v>-47140.5</v>
      </c>
    </row>
    <row r="12" spans="1:7">
      <c r="A12" s="64" t="s">
        <v>71</v>
      </c>
      <c r="B12" s="65" t="s">
        <v>47</v>
      </c>
      <c r="C12" s="65" t="s">
        <v>1</v>
      </c>
      <c r="D12" s="65" t="s">
        <v>2</v>
      </c>
      <c r="E12" s="66" t="s">
        <v>3</v>
      </c>
      <c r="F12" s="65" t="s">
        <v>4</v>
      </c>
    </row>
    <row r="13" spans="1:7" ht="17.25" customHeight="1">
      <c r="A13" s="74" t="s">
        <v>95</v>
      </c>
      <c r="B13" s="59">
        <f>72000+4680341</f>
        <v>4752341</v>
      </c>
      <c r="C13" s="60">
        <f>72000+407884</f>
        <v>479884</v>
      </c>
      <c r="D13" s="61">
        <f>AVERAGE(B13:C13)</f>
        <v>2616112.5</v>
      </c>
      <c r="E13" s="62">
        <v>0</v>
      </c>
      <c r="F13" s="61">
        <f t="shared" ref="F13:F15" si="8">E13*D13</f>
        <v>0</v>
      </c>
    </row>
    <row r="14" spans="1:7" ht="15" customHeight="1">
      <c r="A14" s="74" t="s">
        <v>50</v>
      </c>
      <c r="B14" s="59">
        <v>2300</v>
      </c>
      <c r="C14" s="60">
        <v>3023</v>
      </c>
      <c r="D14" s="61">
        <f t="shared" ref="D14:D15" si="9">AVERAGE(B14:C14)</f>
        <v>2661.5</v>
      </c>
      <c r="E14" s="62">
        <v>0</v>
      </c>
      <c r="F14" s="61">
        <f t="shared" si="8"/>
        <v>0</v>
      </c>
    </row>
    <row r="15" spans="1:7">
      <c r="A15" s="74" t="s">
        <v>5</v>
      </c>
      <c r="B15" s="59">
        <v>-2359</v>
      </c>
      <c r="C15" s="59">
        <v>-149858</v>
      </c>
      <c r="D15" s="61">
        <f t="shared" si="9"/>
        <v>-76108.5</v>
      </c>
      <c r="E15" s="62">
        <v>0</v>
      </c>
      <c r="F15" s="61">
        <f t="shared" si="8"/>
        <v>0</v>
      </c>
    </row>
    <row r="16" spans="1:7">
      <c r="A16" s="64" t="s">
        <v>72</v>
      </c>
      <c r="B16" s="65" t="s">
        <v>47</v>
      </c>
      <c r="C16" s="65" t="s">
        <v>1</v>
      </c>
      <c r="D16" s="65" t="s">
        <v>2</v>
      </c>
      <c r="E16" s="66" t="s">
        <v>3</v>
      </c>
      <c r="F16" s="65" t="s">
        <v>4</v>
      </c>
    </row>
    <row r="17" spans="1:254" ht="27">
      <c r="A17" s="74" t="s">
        <v>95</v>
      </c>
      <c r="B17" s="59">
        <f>60000+314247</f>
        <v>374247</v>
      </c>
      <c r="C17" s="60">
        <f>60000+3136451</f>
        <v>3196451</v>
      </c>
      <c r="D17" s="61">
        <f>AVERAGE(B17:C17)</f>
        <v>1785349</v>
      </c>
      <c r="E17" s="62">
        <v>0</v>
      </c>
      <c r="F17" s="61">
        <f t="shared" ref="F17:F19" si="10">E17*D17</f>
        <v>0</v>
      </c>
    </row>
    <row r="18" spans="1:254" ht="15" customHeight="1">
      <c r="A18" s="74" t="s">
        <v>50</v>
      </c>
      <c r="B18" s="59">
        <v>11905</v>
      </c>
      <c r="C18" s="60">
        <v>11952</v>
      </c>
      <c r="D18" s="61">
        <f t="shared" ref="D18:D19" si="11">AVERAGE(B18:C18)</f>
        <v>11928.5</v>
      </c>
      <c r="E18" s="62">
        <v>0</v>
      </c>
      <c r="F18" s="61">
        <f t="shared" si="10"/>
        <v>0</v>
      </c>
    </row>
    <row r="19" spans="1:254">
      <c r="A19" s="74" t="s">
        <v>5</v>
      </c>
      <c r="B19" s="59">
        <v>0</v>
      </c>
      <c r="C19" s="59">
        <v>0</v>
      </c>
      <c r="D19" s="61">
        <f t="shared" si="11"/>
        <v>0</v>
      </c>
      <c r="E19" s="62">
        <v>0</v>
      </c>
      <c r="F19" s="61">
        <f t="shared" si="10"/>
        <v>0</v>
      </c>
    </row>
    <row r="20" spans="1:254" ht="15.4" customHeight="1">
      <c r="A20" s="67" t="s">
        <v>6</v>
      </c>
      <c r="B20" s="79"/>
      <c r="C20" s="79"/>
      <c r="D20" s="79"/>
      <c r="E20" s="79"/>
      <c r="F20" s="68">
        <f>+SUM(F3:F19)</f>
        <v>2145168.9550000001</v>
      </c>
    </row>
    <row r="21" spans="1:254" ht="16.350000000000001" customHeight="1">
      <c r="A21" s="46" t="s">
        <v>7</v>
      </c>
      <c r="B21" s="77"/>
      <c r="C21" s="77"/>
      <c r="D21" s="77"/>
      <c r="E21" s="77"/>
      <c r="F21" s="68">
        <f>F20/12</f>
        <v>178764.07958333334</v>
      </c>
    </row>
    <row r="22" spans="1:254">
      <c r="A22" s="46" t="s">
        <v>8</v>
      </c>
      <c r="B22" s="77"/>
      <c r="C22" s="77"/>
      <c r="D22" s="77"/>
      <c r="E22" s="77"/>
      <c r="F22" s="45">
        <f ca="1">RTR!K9</f>
        <v>0</v>
      </c>
    </row>
    <row r="23" spans="1:254" ht="16.350000000000001" customHeight="1">
      <c r="A23" s="47" t="s">
        <v>66</v>
      </c>
      <c r="B23" s="80"/>
      <c r="C23" s="80"/>
      <c r="D23" s="80"/>
      <c r="E23" s="80"/>
      <c r="F23" s="48">
        <v>1.25</v>
      </c>
    </row>
    <row r="24" spans="1:254" ht="16.350000000000001" customHeight="1">
      <c r="A24" s="46" t="s">
        <v>9</v>
      </c>
      <c r="B24" s="77"/>
      <c r="C24" s="77"/>
      <c r="D24" s="77"/>
      <c r="E24" s="77"/>
      <c r="F24" s="49">
        <f ca="1">(F21*F23)-F22</f>
        <v>223455.09947916667</v>
      </c>
    </row>
    <row r="25" spans="1:254" ht="16.350000000000001" customHeight="1">
      <c r="A25" s="46" t="s">
        <v>10</v>
      </c>
      <c r="B25" s="77"/>
      <c r="C25" s="77"/>
      <c r="D25" s="77"/>
      <c r="E25" s="77"/>
      <c r="F25" s="50">
        <v>180</v>
      </c>
    </row>
    <row r="26" spans="1:254" ht="14.25" customHeight="1">
      <c r="A26" s="46" t="s">
        <v>11</v>
      </c>
      <c r="B26" s="77"/>
      <c r="C26" s="77"/>
      <c r="D26" s="77"/>
      <c r="E26" s="77"/>
      <c r="F26" s="48">
        <v>0.105</v>
      </c>
    </row>
    <row r="27" spans="1:254">
      <c r="A27" s="46" t="s">
        <v>12</v>
      </c>
      <c r="B27" s="77"/>
      <c r="C27" s="77"/>
      <c r="D27" s="77"/>
      <c r="E27" s="77"/>
      <c r="F27" s="51">
        <f>PMT(F26/12,F25,-100000)</f>
        <v>1105.3989236971659</v>
      </c>
    </row>
    <row r="28" spans="1:254">
      <c r="A28" s="46" t="s">
        <v>13</v>
      </c>
      <c r="B28" s="77"/>
      <c r="C28" s="77"/>
      <c r="D28" s="77"/>
      <c r="E28" s="77"/>
      <c r="F28" s="52">
        <f ca="1">F24/F27</f>
        <v>202.14883033519601</v>
      </c>
    </row>
    <row r="30" spans="1:254" s="57" customFormat="1">
      <c r="A30" s="53"/>
      <c r="B30" s="76" t="s">
        <v>90</v>
      </c>
      <c r="C30" s="76">
        <v>18</v>
      </c>
      <c r="D30" s="76" t="s">
        <v>91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4"/>
      <c r="IE30" s="54"/>
      <c r="IF30" s="54"/>
      <c r="IG30" s="54"/>
      <c r="IH30" s="54"/>
      <c r="II30" s="54"/>
      <c r="IJ30" s="54"/>
      <c r="IK30" s="54"/>
      <c r="IL30" s="55"/>
      <c r="IM30" s="55"/>
      <c r="IN30" s="56"/>
      <c r="IO30" s="56"/>
      <c r="IP30" s="56"/>
      <c r="IQ30" s="56"/>
      <c r="IR30" s="56"/>
      <c r="IS30" s="56"/>
      <c r="IT30" s="56"/>
    </row>
    <row r="31" spans="1:254" s="57" customFormat="1">
      <c r="A31" s="58"/>
      <c r="B31" s="58"/>
      <c r="C31" s="58"/>
      <c r="D31" s="58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/>
      <c r="FV31" s="53"/>
      <c r="FW31" s="53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/>
      <c r="HH31" s="53"/>
      <c r="HI31" s="53"/>
      <c r="HJ31" s="53"/>
      <c r="HK31" s="53"/>
      <c r="HL31" s="53"/>
      <c r="HM31" s="53"/>
      <c r="HN31" s="53"/>
      <c r="HO31" s="53"/>
      <c r="HP31" s="53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4"/>
      <c r="ID31" s="54"/>
      <c r="IE31" s="54"/>
      <c r="IF31" s="54"/>
      <c r="IG31" s="54"/>
      <c r="IH31" s="54"/>
      <c r="II31" s="54"/>
      <c r="IJ31" s="54"/>
      <c r="IK31" s="55"/>
      <c r="IL31" s="55"/>
      <c r="IM31" s="56"/>
      <c r="IN31" s="56"/>
      <c r="IO31" s="56"/>
      <c r="IP31" s="56"/>
      <c r="IQ31" s="56"/>
      <c r="IR31" s="56"/>
      <c r="IS31" s="56"/>
    </row>
    <row r="32" spans="1:254" s="57" customFormat="1">
      <c r="A32" s="58" t="s">
        <v>87</v>
      </c>
      <c r="B32" s="58">
        <v>50082519</v>
      </c>
      <c r="C32" s="58">
        <v>39626661</v>
      </c>
      <c r="D32" s="58">
        <f>1804766+1741654+1397638+3222012+5594974+4784059+2997502+5743568+2454388</f>
        <v>29740561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4"/>
      <c r="ID32" s="54"/>
      <c r="IE32" s="54"/>
      <c r="IF32" s="54"/>
      <c r="IG32" s="54"/>
      <c r="IH32" s="54"/>
      <c r="II32" s="54"/>
      <c r="IJ32" s="54"/>
      <c r="IK32" s="55"/>
      <c r="IL32" s="55"/>
      <c r="IM32" s="56"/>
      <c r="IN32" s="56"/>
      <c r="IO32" s="56"/>
      <c r="IP32" s="56"/>
      <c r="IQ32" s="56"/>
      <c r="IR32" s="56"/>
      <c r="IS32" s="56"/>
    </row>
    <row r="33" spans="1:253" s="57" customFormat="1">
      <c r="A33" s="58" t="s">
        <v>88</v>
      </c>
      <c r="B33" s="58">
        <v>3082986</v>
      </c>
      <c r="C33" s="58">
        <v>2573177</v>
      </c>
      <c r="D33" s="58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4"/>
      <c r="ID33" s="54"/>
      <c r="IE33" s="54"/>
      <c r="IF33" s="54"/>
      <c r="IG33" s="54"/>
      <c r="IH33" s="54"/>
      <c r="II33" s="54"/>
      <c r="IJ33" s="54"/>
      <c r="IK33" s="55"/>
      <c r="IL33" s="55"/>
      <c r="IM33" s="56"/>
      <c r="IN33" s="56"/>
      <c r="IO33" s="56"/>
      <c r="IP33" s="56"/>
      <c r="IQ33" s="56"/>
      <c r="IR33" s="56"/>
      <c r="IS33" s="56"/>
    </row>
    <row r="34" spans="1:253" s="57" customFormat="1">
      <c r="A34" s="58" t="s">
        <v>89</v>
      </c>
      <c r="B34" s="58">
        <v>166680</v>
      </c>
      <c r="C34" s="58">
        <v>127709</v>
      </c>
      <c r="D34" s="58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4"/>
      <c r="ID34" s="54"/>
      <c r="IE34" s="54"/>
      <c r="IF34" s="54"/>
      <c r="IG34" s="54"/>
      <c r="IH34" s="54"/>
      <c r="II34" s="54"/>
      <c r="IJ34" s="54"/>
      <c r="IK34" s="55"/>
      <c r="IL34" s="55"/>
      <c r="IM34" s="56"/>
      <c r="IN34" s="56"/>
      <c r="IO34" s="56"/>
      <c r="IP34" s="56"/>
      <c r="IQ34" s="56"/>
      <c r="IR34" s="56"/>
      <c r="IS34" s="56"/>
    </row>
    <row r="36" spans="1:253">
      <c r="A36" s="21" t="s">
        <v>99</v>
      </c>
    </row>
    <row r="37" spans="1:253">
      <c r="A37" s="21" t="s">
        <v>100</v>
      </c>
    </row>
    <row r="38" spans="1:253">
      <c r="A38" s="21" t="s">
        <v>101</v>
      </c>
    </row>
    <row r="39" spans="1:253">
      <c r="A39" s="21" t="s">
        <v>102</v>
      </c>
    </row>
    <row r="40" spans="1:253">
      <c r="A40" s="21" t="s">
        <v>99</v>
      </c>
    </row>
    <row r="41" spans="1:253">
      <c r="A41" s="21" t="s">
        <v>103</v>
      </c>
    </row>
    <row r="42" spans="1:253">
      <c r="A42" s="21" t="s">
        <v>101</v>
      </c>
    </row>
    <row r="43" spans="1:253">
      <c r="A43" s="21" t="s">
        <v>102</v>
      </c>
    </row>
    <row r="44" spans="1:253">
      <c r="A44" s="21" t="s">
        <v>99</v>
      </c>
    </row>
    <row r="45" spans="1:253">
      <c r="A45" s="21" t="s">
        <v>104</v>
      </c>
    </row>
    <row r="46" spans="1:253">
      <c r="A46" s="21" t="s">
        <v>101</v>
      </c>
    </row>
    <row r="47" spans="1:253">
      <c r="A47" s="21" t="s">
        <v>102</v>
      </c>
    </row>
  </sheetData>
  <sheetProtection selectLockedCells="1" selectUnlockedCells="1"/>
  <mergeCells count="10">
    <mergeCell ref="B1:C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9"/>
  <sheetViews>
    <sheetView zoomScale="89" zoomScaleNormal="89" workbookViewId="0">
      <selection activeCell="M5" sqref="M5"/>
    </sheetView>
  </sheetViews>
  <sheetFormatPr defaultColWidth="22.140625" defaultRowHeight="13.5"/>
  <cols>
    <col min="1" max="1" width="5.42578125" style="25" customWidth="1"/>
    <col min="2" max="2" width="19" style="25" customWidth="1"/>
    <col min="3" max="3" width="17.28515625" style="25" customWidth="1"/>
    <col min="4" max="4" width="17.42578125" style="25" customWidth="1"/>
    <col min="5" max="5" width="12" style="25" customWidth="1"/>
    <col min="6" max="6" width="10.28515625" style="25" bestFit="1" customWidth="1"/>
    <col min="7" max="7" width="10.140625" style="25" customWidth="1"/>
    <col min="8" max="8" width="6.5703125" style="25" customWidth="1"/>
    <col min="9" max="9" width="6.42578125" style="25" customWidth="1"/>
    <col min="10" max="10" width="8.7109375" style="25" bestFit="1" customWidth="1"/>
    <col min="11" max="11" width="12.140625" style="25" customWidth="1"/>
    <col min="12" max="248" width="22.140625" style="25"/>
    <col min="249" max="16384" width="22.140625" style="26"/>
  </cols>
  <sheetData>
    <row r="1" spans="1:13" ht="27">
      <c r="A1" s="69" t="s">
        <v>14</v>
      </c>
      <c r="B1" s="69" t="s">
        <v>15</v>
      </c>
      <c r="C1" s="69" t="s">
        <v>16</v>
      </c>
      <c r="D1" s="69" t="s">
        <v>17</v>
      </c>
      <c r="E1" s="69" t="s">
        <v>18</v>
      </c>
      <c r="F1" s="69" t="s">
        <v>19</v>
      </c>
      <c r="G1" s="69" t="s">
        <v>20</v>
      </c>
      <c r="H1" s="69" t="s">
        <v>21</v>
      </c>
      <c r="I1" s="69" t="s">
        <v>22</v>
      </c>
      <c r="J1" s="69" t="s">
        <v>23</v>
      </c>
      <c r="K1" s="69" t="s">
        <v>24</v>
      </c>
      <c r="L1" s="44" t="s">
        <v>77</v>
      </c>
    </row>
    <row r="2" spans="1:13">
      <c r="A2" s="27">
        <v>1</v>
      </c>
      <c r="B2" s="29" t="s">
        <v>73</v>
      </c>
      <c r="C2" s="42" t="s">
        <v>74</v>
      </c>
      <c r="D2" s="42" t="s">
        <v>75</v>
      </c>
      <c r="E2" s="29" t="s">
        <v>76</v>
      </c>
      <c r="F2" s="29">
        <v>53700</v>
      </c>
      <c r="G2" s="29">
        <v>12</v>
      </c>
      <c r="H2" s="29">
        <v>8</v>
      </c>
      <c r="I2" s="29">
        <f>12-8</f>
        <v>4</v>
      </c>
      <c r="J2" s="29">
        <v>4475</v>
      </c>
      <c r="K2" s="30" t="s">
        <v>53</v>
      </c>
      <c r="L2" s="43" t="s">
        <v>78</v>
      </c>
    </row>
    <row r="3" spans="1:13" ht="13.5" customHeight="1">
      <c r="A3" s="70">
        <v>2</v>
      </c>
      <c r="B3" s="71" t="s">
        <v>79</v>
      </c>
      <c r="C3" s="70" t="s">
        <v>80</v>
      </c>
      <c r="D3" s="70" t="s">
        <v>75</v>
      </c>
      <c r="E3" s="71" t="s">
        <v>54</v>
      </c>
      <c r="F3" s="71">
        <v>1506000</v>
      </c>
      <c r="G3" s="71">
        <v>24</v>
      </c>
      <c r="H3" s="71">
        <v>2</v>
      </c>
      <c r="I3" s="71">
        <v>22</v>
      </c>
      <c r="J3" s="71">
        <v>75186</v>
      </c>
      <c r="K3" s="72" t="s">
        <v>53</v>
      </c>
      <c r="L3" s="73" t="s">
        <v>78</v>
      </c>
      <c r="M3" s="25" t="s">
        <v>96</v>
      </c>
    </row>
    <row r="4" spans="1:13">
      <c r="A4" s="27">
        <v>3</v>
      </c>
      <c r="B4" s="29" t="s">
        <v>81</v>
      </c>
      <c r="C4" s="42" t="s">
        <v>80</v>
      </c>
      <c r="D4" s="42" t="s">
        <v>82</v>
      </c>
      <c r="E4" s="29" t="s">
        <v>51</v>
      </c>
      <c r="F4" s="29">
        <v>15100000</v>
      </c>
      <c r="G4" s="29">
        <v>120</v>
      </c>
      <c r="H4" s="29">
        <v>6</v>
      </c>
      <c r="I4" s="29">
        <f>120-6</f>
        <v>114</v>
      </c>
      <c r="J4" s="29">
        <v>200209</v>
      </c>
      <c r="K4" s="30" t="s">
        <v>53</v>
      </c>
      <c r="L4" s="43" t="s">
        <v>83</v>
      </c>
      <c r="M4" s="25" t="s">
        <v>97</v>
      </c>
    </row>
    <row r="5" spans="1:13" ht="14.25" customHeight="1">
      <c r="A5" s="27">
        <v>4</v>
      </c>
      <c r="B5" s="29"/>
      <c r="C5" s="42"/>
      <c r="D5" s="42"/>
      <c r="E5" s="29"/>
      <c r="F5" s="29"/>
      <c r="G5" s="29"/>
      <c r="H5" s="29"/>
      <c r="I5" s="29"/>
      <c r="J5" s="29">
        <v>9035</v>
      </c>
      <c r="K5" s="30" t="s">
        <v>53</v>
      </c>
      <c r="L5" s="43" t="s">
        <v>83</v>
      </c>
    </row>
    <row r="6" spans="1:13">
      <c r="A6" s="27">
        <v>5</v>
      </c>
      <c r="B6" s="29"/>
      <c r="C6" s="42"/>
      <c r="D6" s="42"/>
      <c r="E6" s="29"/>
      <c r="F6" s="29"/>
      <c r="G6" s="29"/>
      <c r="H6" s="29"/>
      <c r="I6" s="29"/>
      <c r="J6" s="29">
        <v>1334</v>
      </c>
      <c r="K6" s="30" t="s">
        <v>53</v>
      </c>
      <c r="L6" s="43"/>
    </row>
    <row r="7" spans="1:13">
      <c r="A7" s="27">
        <v>6</v>
      </c>
      <c r="B7" s="29"/>
      <c r="C7" s="42"/>
      <c r="D7" s="42"/>
      <c r="E7" s="29"/>
      <c r="F7" s="29"/>
      <c r="G7" s="29"/>
      <c r="H7" s="29"/>
      <c r="I7" s="29"/>
      <c r="J7" s="29">
        <v>2488</v>
      </c>
      <c r="K7" s="30" t="s">
        <v>53</v>
      </c>
      <c r="L7" s="43" t="s">
        <v>78</v>
      </c>
    </row>
    <row r="8" spans="1:13">
      <c r="A8" s="27">
        <v>6</v>
      </c>
      <c r="B8" s="29"/>
      <c r="C8" s="42"/>
      <c r="D8" s="42"/>
      <c r="E8" s="29"/>
      <c r="F8" s="29"/>
      <c r="G8" s="29"/>
      <c r="H8" s="29"/>
      <c r="I8" s="29"/>
      <c r="J8" s="29">
        <v>3749</v>
      </c>
      <c r="K8" s="30" t="s">
        <v>53</v>
      </c>
      <c r="L8" s="43" t="s">
        <v>78</v>
      </c>
    </row>
    <row r="9" spans="1:13">
      <c r="A9" s="31"/>
      <c r="B9" s="27"/>
      <c r="C9" s="27"/>
      <c r="D9" s="27"/>
      <c r="E9" s="28"/>
      <c r="F9" s="27"/>
      <c r="G9" s="27"/>
      <c r="H9" s="27"/>
      <c r="I9" s="27"/>
      <c r="J9" s="27"/>
      <c r="K9" s="32">
        <f ca="1">SUMIF(K2:K8,"Y",J2:J5)</f>
        <v>0</v>
      </c>
      <c r="L9" s="4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1" t="s">
        <v>25</v>
      </c>
      <c r="B1" s="81"/>
      <c r="C1" s="2"/>
    </row>
    <row r="2" spans="1:6" ht="14.25" customHeight="1">
      <c r="A2" s="81" t="s">
        <v>26</v>
      </c>
      <c r="B2" s="81"/>
      <c r="C2" s="2"/>
    </row>
    <row r="5" spans="1:6" ht="27">
      <c r="A5" s="3" t="s">
        <v>14</v>
      </c>
      <c r="B5" s="4" t="s">
        <v>27</v>
      </c>
      <c r="C5" s="4" t="s">
        <v>28</v>
      </c>
      <c r="D5" s="5" t="s">
        <v>29</v>
      </c>
      <c r="E5" s="1" t="s">
        <v>30</v>
      </c>
      <c r="F5" s="1" t="s">
        <v>31</v>
      </c>
    </row>
    <row r="6" spans="1:6" ht="40.5">
      <c r="A6" s="6">
        <v>1</v>
      </c>
      <c r="B6" s="7" t="s">
        <v>32</v>
      </c>
      <c r="C6" s="8" t="s">
        <v>33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34</v>
      </c>
      <c r="C7" s="8" t="s">
        <v>35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36</v>
      </c>
      <c r="C8" s="8" t="s">
        <v>37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38</v>
      </c>
      <c r="C9" s="12" t="s">
        <v>39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40</v>
      </c>
      <c r="C10" s="8" t="s">
        <v>41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42</v>
      </c>
      <c r="C11" s="14" t="s">
        <v>43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44</v>
      </c>
      <c r="C12" s="15" t="s">
        <v>45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2:I10"/>
  <sheetViews>
    <sheetView workbookViewId="0">
      <selection activeCell="C14" sqref="C14"/>
    </sheetView>
  </sheetViews>
  <sheetFormatPr defaultRowHeight="12.75"/>
  <cols>
    <col min="2" max="2" width="22.42578125" bestFit="1" customWidth="1"/>
    <col min="3" max="3" width="9" bestFit="1" customWidth="1"/>
    <col min="4" max="4" width="10.140625" customWidth="1"/>
    <col min="5" max="6" width="9.140625" customWidth="1"/>
    <col min="7" max="8" width="7" bestFit="1" customWidth="1"/>
  </cols>
  <sheetData>
    <row r="2" spans="2:9" ht="21">
      <c r="B2" s="33"/>
      <c r="C2" s="34"/>
      <c r="D2" s="82" t="s">
        <v>80</v>
      </c>
      <c r="E2" s="83"/>
      <c r="F2" s="84"/>
      <c r="G2" s="33"/>
      <c r="H2" s="33"/>
      <c r="I2" s="33"/>
    </row>
    <row r="3" spans="2:9" ht="30">
      <c r="B3" s="35" t="s">
        <v>84</v>
      </c>
      <c r="C3" s="34"/>
      <c r="D3" s="36"/>
      <c r="E3" s="36"/>
      <c r="F3" s="37"/>
      <c r="G3" s="33"/>
      <c r="H3" s="33"/>
      <c r="I3" s="33"/>
    </row>
    <row r="4" spans="2:9" ht="15">
      <c r="B4" s="38" t="s">
        <v>55</v>
      </c>
      <c r="C4" s="38" t="s">
        <v>56</v>
      </c>
      <c r="D4" s="38" t="s">
        <v>57</v>
      </c>
      <c r="E4" s="38" t="s">
        <v>85</v>
      </c>
      <c r="F4" s="38" t="s">
        <v>58</v>
      </c>
      <c r="G4" s="38" t="s">
        <v>59</v>
      </c>
      <c r="H4" s="38" t="s">
        <v>86</v>
      </c>
      <c r="I4" s="39"/>
    </row>
    <row r="5" spans="2:9" ht="15">
      <c r="B5" s="38" t="s">
        <v>60</v>
      </c>
      <c r="C5" s="40">
        <v>0</v>
      </c>
      <c r="D5" s="39">
        <v>1086213</v>
      </c>
      <c r="E5" s="40">
        <v>292672</v>
      </c>
      <c r="F5" s="40">
        <v>249593</v>
      </c>
      <c r="G5" s="40">
        <v>90079</v>
      </c>
      <c r="H5" s="40">
        <v>240917</v>
      </c>
      <c r="I5" s="39"/>
    </row>
    <row r="6" spans="2:9" ht="15">
      <c r="B6" s="38" t="s">
        <v>61</v>
      </c>
      <c r="C6" s="40">
        <v>0</v>
      </c>
      <c r="D6" s="40">
        <v>113591</v>
      </c>
      <c r="E6" s="40">
        <v>92463</v>
      </c>
      <c r="F6" s="40">
        <v>49384</v>
      </c>
      <c r="G6" s="39">
        <v>89870</v>
      </c>
      <c r="H6" s="39">
        <v>40708</v>
      </c>
      <c r="I6" s="39"/>
    </row>
    <row r="7" spans="2:9" ht="15">
      <c r="B7" s="38" t="s">
        <v>62</v>
      </c>
      <c r="C7" s="40">
        <v>5828900</v>
      </c>
      <c r="D7" s="40">
        <v>115749</v>
      </c>
      <c r="E7" s="40">
        <v>58898</v>
      </c>
      <c r="F7" s="40">
        <v>49384</v>
      </c>
      <c r="G7" s="39">
        <v>89870</v>
      </c>
      <c r="H7" s="39">
        <v>40590</v>
      </c>
      <c r="I7" s="39"/>
    </row>
    <row r="8" spans="2:9" ht="15">
      <c r="B8" s="38" t="s">
        <v>63</v>
      </c>
      <c r="C8" s="40">
        <v>4386950</v>
      </c>
      <c r="D8" s="40">
        <v>101977</v>
      </c>
      <c r="E8" s="40">
        <v>58898</v>
      </c>
      <c r="F8" s="40">
        <v>49384</v>
      </c>
      <c r="G8" s="39">
        <v>124870</v>
      </c>
      <c r="H8" s="39">
        <v>40590</v>
      </c>
      <c r="I8" s="39"/>
    </row>
    <row r="9" spans="2:9" ht="15">
      <c r="B9" s="38" t="s">
        <v>64</v>
      </c>
      <c r="C9" s="39">
        <f>SUM(C5:C8)</f>
        <v>10215850</v>
      </c>
      <c r="D9" s="39">
        <f t="shared" ref="D9:H9" si="0">SUM(D5:D8)</f>
        <v>1417530</v>
      </c>
      <c r="E9" s="39">
        <f>SUM(E5:E8)</f>
        <v>502931</v>
      </c>
      <c r="F9" s="39">
        <f>SUM(F5:F8)</f>
        <v>397745</v>
      </c>
      <c r="G9" s="39">
        <f t="shared" si="0"/>
        <v>394689</v>
      </c>
      <c r="H9" s="39">
        <f t="shared" si="0"/>
        <v>362805</v>
      </c>
      <c r="I9" s="38">
        <f>(SUM(C9:H9)/24)</f>
        <v>553814.58333333337</v>
      </c>
    </row>
    <row r="10" spans="2:9">
      <c r="B10" s="33"/>
      <c r="C10" s="33"/>
      <c r="D10" s="33"/>
      <c r="E10" s="33"/>
      <c r="F10" s="85" t="s">
        <v>65</v>
      </c>
      <c r="G10" s="85"/>
      <c r="H10" s="85"/>
      <c r="I10" s="41">
        <f>553814.6/1105.4</f>
        <v>501.00832277908444</v>
      </c>
    </row>
  </sheetData>
  <mergeCells count="2">
    <mergeCell ref="D2:F2"/>
    <mergeCell ref="F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2020-02-06T08:18:15Z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