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 activeTab="3"/>
  </bookViews>
  <sheets>
    <sheet name="Eligibility" sheetId="1" r:id="rId1"/>
    <sheet name="RTR" sheetId="2" r:id="rId2"/>
    <sheet name="Sheet1" sheetId="5" state="hidden" r:id="rId3"/>
    <sheet name="Banking" sheetId="7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7"/>
  <c r="H9"/>
  <c r="G9"/>
  <c r="F9"/>
  <c r="E9"/>
  <c r="D9"/>
  <c r="C9"/>
  <c r="I9" l="1"/>
  <c r="I4" i="2" l="1"/>
  <c r="I2"/>
  <c r="C17" i="1"/>
  <c r="B17"/>
  <c r="D17" s="1"/>
  <c r="F17" s="1"/>
  <c r="D19"/>
  <c r="F19" s="1"/>
  <c r="D18"/>
  <c r="F18" s="1"/>
  <c r="C13"/>
  <c r="B13"/>
  <c r="C8"/>
  <c r="C6"/>
  <c r="C9"/>
  <c r="D7"/>
  <c r="F7" s="1"/>
  <c r="B8"/>
  <c r="D8"/>
  <c r="F8" s="1"/>
  <c r="B6"/>
  <c r="B9"/>
  <c r="D6" l="1"/>
  <c r="F6" s="1"/>
  <c r="D15" l="1"/>
  <c r="F15" s="1"/>
  <c r="D14"/>
  <c r="F14" s="1"/>
  <c r="D13"/>
  <c r="F13" s="1"/>
  <c r="K9" i="2"/>
  <c r="D5" i="1"/>
  <c r="F5" s="1"/>
  <c r="D10"/>
  <c r="D3"/>
  <c r="D4"/>
  <c r="D9"/>
  <c r="D11"/>
  <c r="F10" l="1"/>
  <c r="F3" l="1"/>
  <c r="F4"/>
  <c r="F9"/>
  <c r="F11"/>
  <c r="E13" i="5"/>
  <c r="F12"/>
  <c r="F11"/>
  <c r="F10"/>
  <c r="F9"/>
  <c r="F8"/>
  <c r="F7"/>
  <c r="F6"/>
  <c r="F13"/>
  <c r="F22" i="1"/>
  <c r="F27"/>
  <c r="F20" l="1"/>
  <c r="F21" s="1"/>
  <c r="F24" s="1"/>
  <c r="F28" s="1"/>
</calcChain>
</file>

<file path=xl/sharedStrings.xml><?xml version="1.0" encoding="utf-8"?>
<sst xmlns="http://schemas.openxmlformats.org/spreadsheetml/2006/main" count="121" uniqueCount="92">
  <si>
    <t>ASSESSMENT YEAR</t>
  </si>
  <si>
    <t xml:space="preserve">Application No.    </t>
  </si>
  <si>
    <t xml:space="preserve">TOP UP 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</si>
  <si>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</si>
  <si>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</si>
  <si>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</si>
  <si>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</si>
  <si>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</si>
  <si>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</si>
  <si>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</si>
  <si>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</si>
  <si>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</si>
  <si>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</si>
  <si>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</si>
  <si>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</si>
  <si>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</si>
  <si>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</si>
  <si>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</si>
  <si>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</si>
  <si>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</si>
  <si>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</si>
  <si>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</si>
  <si>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</si>
  <si>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</si>
  <si>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</si>
  <si>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</si>
  <si>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</si>
  <si>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</si>
  <si>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</si>
  <si>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</si>
  <si>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</si>
  <si>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</si>
  <si>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</si>
  <si>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</si>
  <si>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</si>
  <si>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</si>
  <si>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</si>
  <si>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</si>
  <si>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</si>
  <si>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</si>
  <si>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</si>
  <si>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</si>
  <si>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</si>
  <si>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</si>
  <si>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</si>
  <si>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</si>
  <si>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</si>
  <si>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</si>
  <si>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</si>
  <si>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</si>
  <si>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</si>
  <si>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</si>
  <si>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</si>
  <si>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Income From Other Sources</t>
  </si>
  <si>
    <t>Lap</t>
  </si>
  <si>
    <t>Payment Made u/s 40A(2)b</t>
  </si>
  <si>
    <t>n</t>
  </si>
  <si>
    <t>BL</t>
  </si>
  <si>
    <t xml:space="preserve">Date's </t>
  </si>
  <si>
    <t>July</t>
  </si>
  <si>
    <t>Aug</t>
  </si>
  <si>
    <t>Oct</t>
  </si>
  <si>
    <t>Nov</t>
  </si>
  <si>
    <t>7th</t>
  </si>
  <si>
    <t>14th</t>
  </si>
  <si>
    <t>21st</t>
  </si>
  <si>
    <t>28th</t>
  </si>
  <si>
    <t>Total</t>
  </si>
  <si>
    <t>Eligibilty In Lacs</t>
  </si>
  <si>
    <t xml:space="preserve">Max FOIR           </t>
  </si>
  <si>
    <t xml:space="preserve">Hind Scrap Store </t>
  </si>
  <si>
    <t xml:space="preserve">Interest On Capital </t>
  </si>
  <si>
    <t>Interest To Bank</t>
  </si>
  <si>
    <t>Working Remuneration</t>
  </si>
  <si>
    <t>Interest to Others</t>
  </si>
  <si>
    <t>Anil Kumar Goyal</t>
  </si>
  <si>
    <t>Share In Partnership Firm</t>
  </si>
  <si>
    <t>Sheetal Goyal</t>
  </si>
  <si>
    <t>4260CDER165345</t>
  </si>
  <si>
    <t>Anil Goyal</t>
  </si>
  <si>
    <t>Bajaj Finserv</t>
  </si>
  <si>
    <t>CD Loan</t>
  </si>
  <si>
    <t>Repayment Banking</t>
  </si>
  <si>
    <t>32295 (City Union Bank)</t>
  </si>
  <si>
    <t>426BLFFN191710</t>
  </si>
  <si>
    <t>Hind Scrap Store</t>
  </si>
  <si>
    <t>LAP-18064790</t>
  </si>
  <si>
    <t>Kotak Mahindra</t>
  </si>
  <si>
    <t>45114 (Kotak Mahindra)</t>
  </si>
  <si>
    <t>Kotak Mahindra A/c No. 45114</t>
  </si>
  <si>
    <t>Sept</t>
  </si>
  <si>
    <t>Dec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</si>
</sst>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8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31"/>
      </patternFill>
    </fill>
  </fills>
  <borders count="11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</borders>
  <cellStyleXfs count="6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</cellStyleXfs>
  <cellXfs count="82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5" xfId="0" applyFont="1" applyFill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1" fontId="14" fillId="4" borderId="5" xfId="0" applyNumberFormat="1" applyFont="1" applyFill="1" applyBorder="1" applyAlignment="1">
      <alignment horizontal="center" vertical="center" wrapText="1"/>
    </xf>
    <xf numFmtId="2" fontId="12" fillId="6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9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7" fillId="9" borderId="5" xfId="0" applyFont="1" applyFill="1" applyBorder="1" applyAlignment="1">
      <alignment horizontal="center" vertical="center"/>
    </xf>
    <xf numFmtId="0" fontId="12" fillId="0" borderId="1" xfId="0" applyNumberFormat="1" applyFont="1" applyFill="1" applyBorder="1"/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6" fillId="9" borderId="7" xfId="0" applyFont="1" applyFill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9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/>
    </xf>
    <xf numFmtId="0" fontId="13" fillId="11" borderId="6" xfId="0" applyFont="1" applyFill="1" applyBorder="1" applyAlignment="1">
      <alignment horizontal="center" vertical="center" wrapText="1"/>
    </xf>
    <xf numFmtId="0" fontId="13" fillId="11" borderId="10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/>
    </xf>
  </cellXfs>
  <cellStyles count="6">
    <cellStyle name="Comma" xfId="1" builtinId="3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8"/>
  <sheetViews>
    <sheetView zoomScale="107" zoomScaleNormal="107" workbookViewId="0">
      <selection activeCell="F27" sqref="F27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0.42578125" style="21" bestFit="1" customWidth="1"/>
    <col min="6" max="6" width="19.5703125" style="21" customWidth="1"/>
    <col min="7" max="7" width="44.140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6" ht="27">
      <c r="A1" s="59" t="s">
        <v>70</v>
      </c>
      <c r="B1" s="62" t="s">
        <v>0</v>
      </c>
      <c r="C1" s="62"/>
      <c r="D1" s="25" t="s">
        <v>1</v>
      </c>
      <c r="E1" s="25"/>
      <c r="F1" s="25" t="s">
        <v>2</v>
      </c>
    </row>
    <row r="2" spans="1:6">
      <c r="A2" s="26" t="s">
        <v>70</v>
      </c>
      <c r="B2" s="27" t="s">
        <v>50</v>
      </c>
      <c r="C2" s="27" t="s">
        <v>3</v>
      </c>
      <c r="D2" s="27" t="s">
        <v>4</v>
      </c>
      <c r="E2" s="28" t="s">
        <v>5</v>
      </c>
      <c r="F2" s="27" t="s">
        <v>6</v>
      </c>
    </row>
    <row r="3" spans="1:6">
      <c r="A3" s="29" t="s">
        <v>51</v>
      </c>
      <c r="B3" s="30">
        <v>166680.85</v>
      </c>
      <c r="C3" s="31">
        <v>127709.56</v>
      </c>
      <c r="D3" s="32">
        <f>AVERAGE(B3:C3)</f>
        <v>147195.20500000002</v>
      </c>
      <c r="E3" s="33">
        <v>1</v>
      </c>
      <c r="F3" s="32">
        <f t="shared" ref="F3:F11" si="0">E3*D3</f>
        <v>147195.20500000002</v>
      </c>
    </row>
    <row r="4" spans="1:6">
      <c r="A4" s="29" t="s">
        <v>52</v>
      </c>
      <c r="B4" s="30">
        <v>101403</v>
      </c>
      <c r="C4" s="31">
        <v>118699</v>
      </c>
      <c r="D4" s="32">
        <f t="shared" ref="D4:D11" si="1">AVERAGE(B4:C4)</f>
        <v>110051</v>
      </c>
      <c r="E4" s="33">
        <v>1</v>
      </c>
      <c r="F4" s="32">
        <f t="shared" si="0"/>
        <v>110051</v>
      </c>
    </row>
    <row r="5" spans="1:6" ht="15" customHeight="1">
      <c r="A5" s="29" t="s">
        <v>72</v>
      </c>
      <c r="B5" s="30">
        <v>638790</v>
      </c>
      <c r="C5" s="31">
        <v>757603</v>
      </c>
      <c r="D5" s="32">
        <f t="shared" si="1"/>
        <v>698196.5</v>
      </c>
      <c r="E5" s="33">
        <v>1</v>
      </c>
      <c r="F5" s="32">
        <f t="shared" ref="F5" si="2">E5*D5</f>
        <v>698196.5</v>
      </c>
    </row>
    <row r="6" spans="1:6" ht="15" customHeight="1">
      <c r="A6" s="29" t="s">
        <v>71</v>
      </c>
      <c r="B6" s="30">
        <f>314247+468034+356819</f>
        <v>1139100</v>
      </c>
      <c r="C6" s="31">
        <f>313645+407884+347068</f>
        <v>1068597</v>
      </c>
      <c r="D6" s="32">
        <f t="shared" ref="D6:D8" si="3">AVERAGE(B6:C6)</f>
        <v>1103848.5</v>
      </c>
      <c r="E6" s="33">
        <v>1</v>
      </c>
      <c r="F6" s="32">
        <f t="shared" ref="F6:F8" si="4">E6*D6</f>
        <v>1103848.5</v>
      </c>
    </row>
    <row r="7" spans="1:6" ht="15" customHeight="1">
      <c r="A7" s="29" t="s">
        <v>74</v>
      </c>
      <c r="B7" s="30">
        <v>357560</v>
      </c>
      <c r="C7" s="31">
        <v>424910</v>
      </c>
      <c r="D7" s="32">
        <f t="shared" si="3"/>
        <v>391235</v>
      </c>
      <c r="E7" s="33">
        <v>0</v>
      </c>
      <c r="F7" s="32">
        <f t="shared" si="4"/>
        <v>0</v>
      </c>
    </row>
    <row r="8" spans="1:6" ht="15" customHeight="1">
      <c r="A8" s="29" t="s">
        <v>73</v>
      </c>
      <c r="B8" s="30">
        <f>60000+72000</f>
        <v>132000</v>
      </c>
      <c r="C8" s="31">
        <f>60000+72000</f>
        <v>132000</v>
      </c>
      <c r="D8" s="32">
        <f t="shared" si="3"/>
        <v>132000</v>
      </c>
      <c r="E8" s="33">
        <v>1</v>
      </c>
      <c r="F8" s="32">
        <f t="shared" si="4"/>
        <v>132000</v>
      </c>
    </row>
    <row r="9" spans="1:6" ht="15" customHeight="1">
      <c r="A9" s="29" t="s">
        <v>55</v>
      </c>
      <c r="B9" s="30">
        <f>223690+137940</f>
        <v>361630</v>
      </c>
      <c r="C9" s="31">
        <f>226730+198180</f>
        <v>424910</v>
      </c>
      <c r="D9" s="32">
        <f t="shared" si="1"/>
        <v>393270</v>
      </c>
      <c r="E9" s="33">
        <v>1</v>
      </c>
      <c r="F9" s="32">
        <f t="shared" ref="F9" si="5">E9*D9</f>
        <v>393270</v>
      </c>
    </row>
    <row r="10" spans="1:6" ht="15" customHeight="1">
      <c r="A10" s="29" t="s">
        <v>53</v>
      </c>
      <c r="B10" s="30">
        <v>4073</v>
      </c>
      <c r="C10" s="31">
        <v>0</v>
      </c>
      <c r="D10" s="32">
        <f t="shared" ref="D10" si="6">AVERAGE(B10:C10)</f>
        <v>2036.5</v>
      </c>
      <c r="E10" s="33">
        <v>0.5</v>
      </c>
      <c r="F10" s="32">
        <f t="shared" ref="F10" si="7">E10*D10</f>
        <v>1018.25</v>
      </c>
    </row>
    <row r="11" spans="1:6">
      <c r="A11" s="29" t="s">
        <v>7</v>
      </c>
      <c r="B11" s="30">
        <v>-53274</v>
      </c>
      <c r="C11" s="30">
        <v>-41007</v>
      </c>
      <c r="D11" s="32">
        <f t="shared" si="1"/>
        <v>-47140.5</v>
      </c>
      <c r="E11" s="33">
        <v>1</v>
      </c>
      <c r="F11" s="32">
        <f t="shared" si="0"/>
        <v>-47140.5</v>
      </c>
    </row>
    <row r="12" spans="1:6">
      <c r="A12" s="26" t="s">
        <v>75</v>
      </c>
      <c r="B12" s="27" t="s">
        <v>50</v>
      </c>
      <c r="C12" s="27" t="s">
        <v>3</v>
      </c>
      <c r="D12" s="27" t="s">
        <v>4</v>
      </c>
      <c r="E12" s="28" t="s">
        <v>5</v>
      </c>
      <c r="F12" s="27" t="s">
        <v>6</v>
      </c>
    </row>
    <row r="13" spans="1:6">
      <c r="A13" s="29" t="s">
        <v>76</v>
      </c>
      <c r="B13" s="30">
        <f>72000+4680341</f>
        <v>4752341</v>
      </c>
      <c r="C13" s="31">
        <f>72000+407884</f>
        <v>479884</v>
      </c>
      <c r="D13" s="32">
        <f>AVERAGE(B13:C13)</f>
        <v>2616112.5</v>
      </c>
      <c r="E13" s="33">
        <v>0</v>
      </c>
      <c r="F13" s="32">
        <f t="shared" ref="F13:F15" si="8">E13*D13</f>
        <v>0</v>
      </c>
    </row>
    <row r="14" spans="1:6" ht="15" customHeight="1">
      <c r="A14" s="29" t="s">
        <v>53</v>
      </c>
      <c r="B14" s="30">
        <v>2300</v>
      </c>
      <c r="C14" s="31">
        <v>3023</v>
      </c>
      <c r="D14" s="32">
        <f t="shared" ref="D14:D15" si="9">AVERAGE(B14:C14)</f>
        <v>2661.5</v>
      </c>
      <c r="E14" s="33">
        <v>0.5</v>
      </c>
      <c r="F14" s="32">
        <f t="shared" si="8"/>
        <v>1330.75</v>
      </c>
    </row>
    <row r="15" spans="1:6">
      <c r="A15" s="29" t="s">
        <v>7</v>
      </c>
      <c r="B15" s="30">
        <v>-2359</v>
      </c>
      <c r="C15" s="30">
        <v>-149858</v>
      </c>
      <c r="D15" s="32">
        <f t="shared" si="9"/>
        <v>-76108.5</v>
      </c>
      <c r="E15" s="33">
        <v>1</v>
      </c>
      <c r="F15" s="32">
        <f t="shared" si="8"/>
        <v>-76108.5</v>
      </c>
    </row>
    <row r="16" spans="1:6">
      <c r="A16" s="26" t="s">
        <v>77</v>
      </c>
      <c r="B16" s="27" t="s">
        <v>50</v>
      </c>
      <c r="C16" s="27" t="s">
        <v>3</v>
      </c>
      <c r="D16" s="27" t="s">
        <v>4</v>
      </c>
      <c r="E16" s="28" t="s">
        <v>5</v>
      </c>
      <c r="F16" s="27" t="s">
        <v>6</v>
      </c>
    </row>
    <row r="17" spans="1:6">
      <c r="A17" s="29" t="s">
        <v>76</v>
      </c>
      <c r="B17" s="30">
        <f>60000+314247</f>
        <v>374247</v>
      </c>
      <c r="C17" s="31">
        <f>60000+3136451</f>
        <v>3196451</v>
      </c>
      <c r="D17" s="32">
        <f>AVERAGE(B17:C17)</f>
        <v>1785349</v>
      </c>
      <c r="E17" s="33">
        <v>0</v>
      </c>
      <c r="F17" s="32">
        <f t="shared" ref="F17:F19" si="10">E17*D17</f>
        <v>0</v>
      </c>
    </row>
    <row r="18" spans="1:6" ht="15" customHeight="1">
      <c r="A18" s="29" t="s">
        <v>53</v>
      </c>
      <c r="B18" s="30">
        <v>11905</v>
      </c>
      <c r="C18" s="31">
        <v>11952</v>
      </c>
      <c r="D18" s="32">
        <f t="shared" ref="D18:D19" si="11">AVERAGE(B18:C18)</f>
        <v>11928.5</v>
      </c>
      <c r="E18" s="33">
        <v>0.5</v>
      </c>
      <c r="F18" s="32">
        <f t="shared" si="10"/>
        <v>5964.25</v>
      </c>
    </row>
    <row r="19" spans="1:6">
      <c r="A19" s="29" t="s">
        <v>7</v>
      </c>
      <c r="B19" s="30">
        <v>0</v>
      </c>
      <c r="C19" s="30">
        <v>0</v>
      </c>
      <c r="D19" s="32">
        <f t="shared" si="11"/>
        <v>0</v>
      </c>
      <c r="E19" s="33">
        <v>1</v>
      </c>
      <c r="F19" s="32">
        <f t="shared" si="10"/>
        <v>0</v>
      </c>
    </row>
    <row r="20" spans="1:6" ht="15.4" customHeight="1">
      <c r="A20" s="34" t="s">
        <v>8</v>
      </c>
      <c r="B20" s="63"/>
      <c r="C20" s="64"/>
      <c r="D20" s="64"/>
      <c r="E20" s="65"/>
      <c r="F20" s="35">
        <f>+SUM(F3:F19)</f>
        <v>2469625.4550000001</v>
      </c>
    </row>
    <row r="21" spans="1:6" ht="16.350000000000001" customHeight="1">
      <c r="A21" s="36" t="s">
        <v>9</v>
      </c>
      <c r="B21" s="66"/>
      <c r="C21" s="67"/>
      <c r="D21" s="67"/>
      <c r="E21" s="68"/>
      <c r="F21" s="35">
        <f>F20/12</f>
        <v>205802.12125</v>
      </c>
    </row>
    <row r="22" spans="1:6">
      <c r="A22" s="36" t="s">
        <v>10</v>
      </c>
      <c r="B22" s="66"/>
      <c r="C22" s="67"/>
      <c r="D22" s="67"/>
      <c r="E22" s="68"/>
      <c r="F22" s="32">
        <f ca="1">RTR!K9</f>
        <v>91792</v>
      </c>
    </row>
    <row r="23" spans="1:6" ht="16.350000000000001" customHeight="1">
      <c r="A23" s="37" t="s">
        <v>69</v>
      </c>
      <c r="B23" s="69"/>
      <c r="C23" s="70"/>
      <c r="D23" s="70"/>
      <c r="E23" s="71"/>
      <c r="F23" s="38">
        <v>1</v>
      </c>
    </row>
    <row r="24" spans="1:6" ht="16.350000000000001" customHeight="1">
      <c r="A24" s="36" t="s">
        <v>11</v>
      </c>
      <c r="B24" s="61"/>
      <c r="C24" s="61"/>
      <c r="D24" s="61"/>
      <c r="E24" s="61"/>
      <c r="F24" s="39">
        <f ca="1">(F21*F23)-F22</f>
        <v>114010.12125</v>
      </c>
    </row>
    <row r="25" spans="1:6" ht="16.350000000000001" customHeight="1">
      <c r="A25" s="36" t="s">
        <v>12</v>
      </c>
      <c r="B25" s="61"/>
      <c r="C25" s="61"/>
      <c r="D25" s="61"/>
      <c r="E25" s="61"/>
      <c r="F25" s="40">
        <v>180</v>
      </c>
    </row>
    <row r="26" spans="1:6" ht="14.25" customHeight="1">
      <c r="A26" s="36" t="s">
        <v>13</v>
      </c>
      <c r="B26" s="61"/>
      <c r="C26" s="61"/>
      <c r="D26" s="61"/>
      <c r="E26" s="61"/>
      <c r="F26" s="38">
        <v>0.105</v>
      </c>
    </row>
    <row r="27" spans="1:6">
      <c r="A27" s="36" t="s">
        <v>14</v>
      </c>
      <c r="B27" s="61"/>
      <c r="C27" s="61"/>
      <c r="D27" s="61"/>
      <c r="E27" s="61"/>
      <c r="F27" s="41">
        <f>PMT(F26/12,F25,-100000)</f>
        <v>1105.3989236971659</v>
      </c>
    </row>
    <row r="28" spans="1:6">
      <c r="A28" s="36" t="s">
        <v>15</v>
      </c>
      <c r="B28" s="61"/>
      <c r="C28" s="61"/>
      <c r="D28" s="61"/>
      <c r="E28" s="61"/>
      <c r="F28" s="42">
        <f ca="1">F24/F27</f>
        <v>103.13934526792981</v>
      </c>
    </row>
  </sheetData>
  <sheetProtection selectLockedCells="1" selectUnlockedCells="1"/>
  <mergeCells count="10">
    <mergeCell ref="B1:C1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9"/>
  <sheetViews>
    <sheetView zoomScale="89" zoomScaleNormal="89" workbookViewId="0">
      <selection activeCell="J11" sqref="J11"/>
    </sheetView>
  </sheetViews>
  <sheetFormatPr defaultColWidth="22.140625" defaultRowHeight="13.5"/>
  <cols>
    <col min="1" max="1" width="5.42578125" style="43" customWidth="1"/>
    <col min="2" max="2" width="21.28515625" style="43" customWidth="1"/>
    <col min="3" max="3" width="18.5703125" style="43" customWidth="1"/>
    <col min="4" max="4" width="20" style="43" bestFit="1" customWidth="1"/>
    <col min="5" max="5" width="13.28515625" style="43" customWidth="1"/>
    <col min="6" max="6" width="10.28515625" style="43" bestFit="1" customWidth="1"/>
    <col min="7" max="7" width="10.140625" style="43" customWidth="1"/>
    <col min="8" max="8" width="6.5703125" style="43" customWidth="1"/>
    <col min="9" max="9" width="6.42578125" style="43" customWidth="1"/>
    <col min="10" max="10" width="8.7109375" style="43" bestFit="1" customWidth="1"/>
    <col min="11" max="11" width="13.140625" style="43" customWidth="1"/>
    <col min="12" max="248" width="22.140625" style="43"/>
    <col min="249" max="16384" width="22.140625" style="44"/>
  </cols>
  <sheetData>
    <row r="1" spans="1:12" ht="27">
      <c r="A1" s="79" t="s">
        <v>16</v>
      </c>
      <c r="B1" s="79" t="s">
        <v>17</v>
      </c>
      <c r="C1" s="79" t="s">
        <v>18</v>
      </c>
      <c r="D1" s="79" t="s">
        <v>19</v>
      </c>
      <c r="E1" s="79" t="s">
        <v>20</v>
      </c>
      <c r="F1" s="79" t="s">
        <v>21</v>
      </c>
      <c r="G1" s="79" t="s">
        <v>22</v>
      </c>
      <c r="H1" s="79" t="s">
        <v>23</v>
      </c>
      <c r="I1" s="79" t="s">
        <v>24</v>
      </c>
      <c r="J1" s="79" t="s">
        <v>25</v>
      </c>
      <c r="K1" s="80" t="s">
        <v>26</v>
      </c>
      <c r="L1" s="81" t="s">
        <v>82</v>
      </c>
    </row>
    <row r="2" spans="1:12">
      <c r="A2" s="45">
        <v>1</v>
      </c>
      <c r="B2" s="47" t="s">
        <v>78</v>
      </c>
      <c r="C2" s="77" t="s">
        <v>79</v>
      </c>
      <c r="D2" s="77" t="s">
        <v>80</v>
      </c>
      <c r="E2" s="47" t="s">
        <v>81</v>
      </c>
      <c r="F2" s="47">
        <v>53700</v>
      </c>
      <c r="G2" s="47">
        <v>12</v>
      </c>
      <c r="H2" s="47">
        <v>8</v>
      </c>
      <c r="I2" s="47">
        <f>12-8</f>
        <v>4</v>
      </c>
      <c r="J2" s="47">
        <v>4475</v>
      </c>
      <c r="K2" s="48" t="s">
        <v>56</v>
      </c>
      <c r="L2" s="78" t="s">
        <v>83</v>
      </c>
    </row>
    <row r="3" spans="1:12" ht="13.5" customHeight="1">
      <c r="A3" s="45">
        <v>2</v>
      </c>
      <c r="B3" s="47" t="s">
        <v>84</v>
      </c>
      <c r="C3" s="77" t="s">
        <v>85</v>
      </c>
      <c r="D3" s="77" t="s">
        <v>80</v>
      </c>
      <c r="E3" s="47" t="s">
        <v>57</v>
      </c>
      <c r="F3" s="47">
        <v>1506000</v>
      </c>
      <c r="G3" s="47">
        <v>24</v>
      </c>
      <c r="H3" s="47">
        <v>2</v>
      </c>
      <c r="I3" s="47">
        <v>22</v>
      </c>
      <c r="J3" s="47">
        <v>75186</v>
      </c>
      <c r="K3" s="48" t="s">
        <v>27</v>
      </c>
      <c r="L3" s="78" t="s">
        <v>83</v>
      </c>
    </row>
    <row r="4" spans="1:12">
      <c r="A4" s="45">
        <v>3</v>
      </c>
      <c r="B4" s="47" t="s">
        <v>86</v>
      </c>
      <c r="C4" s="77" t="s">
        <v>85</v>
      </c>
      <c r="D4" s="77" t="s">
        <v>87</v>
      </c>
      <c r="E4" s="47" t="s">
        <v>54</v>
      </c>
      <c r="F4" s="47">
        <v>15100000</v>
      </c>
      <c r="G4" s="47">
        <v>120</v>
      </c>
      <c r="H4" s="47">
        <v>6</v>
      </c>
      <c r="I4" s="47">
        <f>120-6</f>
        <v>114</v>
      </c>
      <c r="J4" s="47">
        <v>200209</v>
      </c>
      <c r="K4" s="48" t="s">
        <v>56</v>
      </c>
      <c r="L4" s="78" t="s">
        <v>88</v>
      </c>
    </row>
    <row r="5" spans="1:12" ht="14.25" customHeight="1">
      <c r="A5" s="45">
        <v>4</v>
      </c>
      <c r="B5" s="47"/>
      <c r="C5" s="77"/>
      <c r="D5" s="77"/>
      <c r="E5" s="47"/>
      <c r="F5" s="47"/>
      <c r="G5" s="47"/>
      <c r="H5" s="47"/>
      <c r="I5" s="47"/>
      <c r="J5" s="47">
        <v>9035</v>
      </c>
      <c r="K5" s="48" t="s">
        <v>27</v>
      </c>
      <c r="L5" s="78" t="s">
        <v>88</v>
      </c>
    </row>
    <row r="6" spans="1:12">
      <c r="A6" s="45">
        <v>5</v>
      </c>
      <c r="B6" s="47"/>
      <c r="C6" s="77"/>
      <c r="D6" s="77"/>
      <c r="E6" s="47"/>
      <c r="F6" s="47"/>
      <c r="G6" s="47"/>
      <c r="H6" s="47"/>
      <c r="I6" s="47"/>
      <c r="J6" s="47">
        <v>1334</v>
      </c>
      <c r="K6" s="48" t="s">
        <v>27</v>
      </c>
      <c r="L6" s="78"/>
    </row>
    <row r="7" spans="1:12">
      <c r="A7" s="45">
        <v>6</v>
      </c>
      <c r="B7" s="47"/>
      <c r="C7" s="77"/>
      <c r="D7" s="77"/>
      <c r="E7" s="47"/>
      <c r="F7" s="47"/>
      <c r="G7" s="47"/>
      <c r="H7" s="47"/>
      <c r="I7" s="47"/>
      <c r="J7" s="47">
        <v>2488</v>
      </c>
      <c r="K7" s="48" t="s">
        <v>27</v>
      </c>
      <c r="L7" s="78" t="s">
        <v>83</v>
      </c>
    </row>
    <row r="8" spans="1:12">
      <c r="A8" s="45">
        <v>6</v>
      </c>
      <c r="B8" s="47"/>
      <c r="C8" s="77"/>
      <c r="D8" s="77"/>
      <c r="E8" s="47"/>
      <c r="F8" s="47"/>
      <c r="G8" s="47"/>
      <c r="H8" s="47"/>
      <c r="I8" s="47"/>
      <c r="J8" s="47">
        <v>3749</v>
      </c>
      <c r="K8" s="48" t="s">
        <v>27</v>
      </c>
      <c r="L8" s="78" t="s">
        <v>83</v>
      </c>
    </row>
    <row r="9" spans="1:12">
      <c r="A9" s="49"/>
      <c r="B9" s="45"/>
      <c r="C9" s="45"/>
      <c r="D9" s="45"/>
      <c r="E9" s="46"/>
      <c r="F9" s="45"/>
      <c r="G9" s="45"/>
      <c r="H9" s="45"/>
      <c r="I9" s="45"/>
      <c r="J9" s="45"/>
      <c r="K9" s="50">
        <f ca="1">SUMIF(K2:K8,"Y",J2:J5)</f>
        <v>91792</v>
      </c>
      <c r="L9" s="78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2" t="s">
        <v>28</v>
      </c>
      <c r="B1" s="72"/>
      <c r="C1" s="2"/>
    </row>
    <row r="2" spans="1:6" ht="14.25" customHeight="1">
      <c r="A2" s="72" t="s">
        <v>29</v>
      </c>
      <c r="B2" s="72"/>
      <c r="C2" s="2"/>
    </row>
    <row r="5" spans="1:6" ht="27">
      <c r="A5" s="3" t="s">
        <v>16</v>
      </c>
      <c r="B5" s="4" t="s">
        <v>30</v>
      </c>
      <c r="C5" s="4" t="s">
        <v>31</v>
      </c>
      <c r="D5" s="5" t="s">
        <v>32</v>
      </c>
      <c r="E5" s="1" t="s">
        <v>33</v>
      </c>
      <c r="F5" s="1" t="s">
        <v>34</v>
      </c>
    </row>
    <row r="6" spans="1:6" ht="40.5">
      <c r="A6" s="6">
        <v>1</v>
      </c>
      <c r="B6" s="7" t="s">
        <v>35</v>
      </c>
      <c r="C6" s="8" t="s">
        <v>36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37</v>
      </c>
      <c r="C7" s="8" t="s">
        <v>38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39</v>
      </c>
      <c r="C8" s="8" t="s">
        <v>40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41</v>
      </c>
      <c r="C9" s="12" t="s">
        <v>42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43</v>
      </c>
      <c r="C10" s="8" t="s">
        <v>44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45</v>
      </c>
      <c r="C11" s="14" t="s">
        <v>46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47</v>
      </c>
      <c r="C12" s="15" t="s">
        <v>48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49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2:I10"/>
  <sheetViews>
    <sheetView tabSelected="1" workbookViewId="0">
      <selection activeCell="F15" sqref="F15"/>
    </sheetView>
  </sheetViews>
  <sheetFormatPr defaultRowHeight="12.75"/>
  <cols>
    <col min="2" max="2" width="22.42578125" bestFit="1" customWidth="1"/>
    <col min="3" max="3" width="9" bestFit="1" customWidth="1"/>
    <col min="4" max="4" width="10.140625" customWidth="1"/>
    <col min="5" max="6" width="9.140625" customWidth="1"/>
    <col min="7" max="8" width="7" bestFit="1" customWidth="1"/>
  </cols>
  <sheetData>
    <row r="2" spans="2:9" ht="21">
      <c r="B2" s="51"/>
      <c r="C2" s="52"/>
      <c r="D2" s="73" t="s">
        <v>85</v>
      </c>
      <c r="E2" s="74"/>
      <c r="F2" s="75"/>
      <c r="G2" s="51"/>
      <c r="H2" s="51"/>
      <c r="I2" s="51"/>
    </row>
    <row r="3" spans="2:9" ht="30">
      <c r="B3" s="53" t="s">
        <v>89</v>
      </c>
      <c r="C3" s="52"/>
      <c r="D3" s="54"/>
      <c r="E3" s="54"/>
      <c r="F3" s="55"/>
      <c r="G3" s="51"/>
      <c r="H3" s="51"/>
      <c r="I3" s="51"/>
    </row>
    <row r="4" spans="2:9" ht="15">
      <c r="B4" s="56" t="s">
        <v>58</v>
      </c>
      <c r="C4" s="56" t="s">
        <v>59</v>
      </c>
      <c r="D4" s="56" t="s">
        <v>60</v>
      </c>
      <c r="E4" s="56" t="s">
        <v>90</v>
      </c>
      <c r="F4" s="56" t="s">
        <v>61</v>
      </c>
      <c r="G4" s="56" t="s">
        <v>62</v>
      </c>
      <c r="H4" s="56" t="s">
        <v>91</v>
      </c>
      <c r="I4" s="57"/>
    </row>
    <row r="5" spans="2:9" ht="15">
      <c r="B5" s="56" t="s">
        <v>63</v>
      </c>
      <c r="C5" s="58">
        <v>0</v>
      </c>
      <c r="D5" s="57">
        <v>1086213</v>
      </c>
      <c r="E5" s="58">
        <v>292672</v>
      </c>
      <c r="F5" s="58">
        <v>249593</v>
      </c>
      <c r="G5" s="58">
        <v>90079</v>
      </c>
      <c r="H5" s="58">
        <v>240917</v>
      </c>
      <c r="I5" s="57"/>
    </row>
    <row r="6" spans="2:9" ht="15">
      <c r="B6" s="56" t="s">
        <v>64</v>
      </c>
      <c r="C6" s="58">
        <v>0</v>
      </c>
      <c r="D6" s="58">
        <v>113591</v>
      </c>
      <c r="E6" s="58">
        <v>92463</v>
      </c>
      <c r="F6" s="58">
        <v>49384</v>
      </c>
      <c r="G6" s="57">
        <v>89870</v>
      </c>
      <c r="H6" s="57">
        <v>40708</v>
      </c>
      <c r="I6" s="57"/>
    </row>
    <row r="7" spans="2:9" ht="15">
      <c r="B7" s="56" t="s">
        <v>65</v>
      </c>
      <c r="C7" s="58">
        <v>5828900</v>
      </c>
      <c r="D7" s="58">
        <v>115749</v>
      </c>
      <c r="E7" s="58">
        <v>58898</v>
      </c>
      <c r="F7" s="58">
        <v>49384</v>
      </c>
      <c r="G7" s="57">
        <v>89870</v>
      </c>
      <c r="H7" s="57">
        <v>40590</v>
      </c>
      <c r="I7" s="57"/>
    </row>
    <row r="8" spans="2:9" ht="15">
      <c r="B8" s="56" t="s">
        <v>66</v>
      </c>
      <c r="C8" s="58">
        <v>4386950</v>
      </c>
      <c r="D8" s="58">
        <v>101977</v>
      </c>
      <c r="E8" s="58">
        <v>58898</v>
      </c>
      <c r="F8" s="58">
        <v>49384</v>
      </c>
      <c r="G8" s="57">
        <v>124870</v>
      </c>
      <c r="H8" s="57">
        <v>40590</v>
      </c>
      <c r="I8" s="57"/>
    </row>
    <row r="9" spans="2:9" ht="15">
      <c r="B9" s="56" t="s">
        <v>67</v>
      </c>
      <c r="C9" s="57">
        <f>SUM(C5:C8)</f>
        <v>10215850</v>
      </c>
      <c r="D9" s="57">
        <f t="shared" ref="D9:H9" si="0">SUM(D5:D8)</f>
        <v>1417530</v>
      </c>
      <c r="E9" s="57">
        <f>SUM(E5:E8)</f>
        <v>502931</v>
      </c>
      <c r="F9" s="57">
        <f>SUM(F5:F8)</f>
        <v>397745</v>
      </c>
      <c r="G9" s="57">
        <f t="shared" si="0"/>
        <v>394689</v>
      </c>
      <c r="H9" s="57">
        <f t="shared" si="0"/>
        <v>362805</v>
      </c>
      <c r="I9" s="56">
        <f>(SUM(C9:H9)/24)</f>
        <v>553814.58333333337</v>
      </c>
    </row>
    <row r="10" spans="2:9">
      <c r="B10" s="51"/>
      <c r="C10" s="51"/>
      <c r="D10" s="51"/>
      <c r="E10" s="51"/>
      <c r="F10" s="76" t="s">
        <v>68</v>
      </c>
      <c r="G10" s="76"/>
      <c r="H10" s="76"/>
      <c r="I10" s="60">
        <f>553814.6/1105.4</f>
        <v>501.00832277908444</v>
      </c>
    </row>
  </sheetData>
  <mergeCells count="2">
    <mergeCell ref="D2:F2"/>
    <mergeCell ref="F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2020-02-04T07:05:26Z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