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Eligibility" sheetId="1" r:id="rId1"/>
    <sheet name="RTR" sheetId="2" r:id="rId2"/>
    <sheet name="Sheet1" sheetId="5" state="hidden" r:id="rId3"/>
    <sheet name="Banking" sheetId="6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H20" i="6"/>
  <c r="G19"/>
  <c r="F19"/>
  <c r="E19"/>
  <c r="D19"/>
  <c r="C19"/>
  <c r="B19"/>
  <c r="G9"/>
  <c r="F9"/>
  <c r="E9"/>
  <c r="D9"/>
  <c r="C9"/>
  <c r="B9"/>
  <c r="H19" l="1"/>
  <c r="H9"/>
  <c r="F17" i="1"/>
  <c r="D14"/>
  <c r="F14" s="1"/>
  <c r="D15"/>
  <c r="F15" s="1"/>
  <c r="D16"/>
  <c r="M4" i="2"/>
  <c r="G4"/>
  <c r="G3"/>
  <c r="M3"/>
  <c r="G2"/>
  <c r="M2"/>
  <c r="F16" i="1"/>
  <c r="D10"/>
  <c r="F10" s="1"/>
  <c r="D11"/>
  <c r="D12"/>
  <c r="F12" s="1"/>
  <c r="F11"/>
  <c r="D3"/>
  <c r="F3" s="1"/>
  <c r="D4"/>
  <c r="D7"/>
  <c r="F7" s="1"/>
  <c r="D8"/>
  <c r="F8" s="1"/>
  <c r="C5"/>
  <c r="C6"/>
  <c r="B5"/>
  <c r="D5" s="1"/>
  <c r="B6"/>
  <c r="F4"/>
  <c r="F24"/>
  <c r="O7" i="2"/>
  <c r="F19" i="1" s="1"/>
  <c r="F6" i="5"/>
  <c r="F7"/>
  <c r="F13" s="1"/>
  <c r="F8"/>
  <c r="F9"/>
  <c r="F10"/>
  <c r="F11"/>
  <c r="F12"/>
  <c r="E13"/>
  <c r="D6" i="1" l="1"/>
  <c r="F6" s="1"/>
  <c r="F5"/>
  <c r="F18" l="1"/>
  <c r="F21" l="1"/>
  <c r="F25" s="1"/>
</calcChain>
</file>

<file path=xl/sharedStrings.xml><?xml version="1.0" encoding="utf-8"?>
<sst xmlns="http://schemas.openxmlformats.org/spreadsheetml/2006/main" count="123" uniqueCount="85">
  <si>
    <t xml:space="preserve">Application No.    </t>
  </si>
  <si>
    <t xml:space="preserve">TOP UP </t>
  </si>
  <si>
    <t>Eligibility</t>
  </si>
  <si>
    <t>Sr. No.</t>
  </si>
  <si>
    <t>LAN</t>
  </si>
  <si>
    <t>Customer Name</t>
  </si>
  <si>
    <t>Bank Name</t>
  </si>
  <si>
    <t>Type</t>
  </si>
  <si>
    <t>Loan Amt.</t>
  </si>
  <si>
    <t>Principal Paid</t>
  </si>
  <si>
    <t>POS</t>
  </si>
  <si>
    <t>Loan Start Date</t>
  </si>
  <si>
    <t>Last Payment/Reported date (CIBIL)</t>
  </si>
  <si>
    <t>Tenure</t>
  </si>
  <si>
    <t>Instal. Paid</t>
  </si>
  <si>
    <t>Instal. Bal.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</si>
  <si>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</si>
  <si>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</si>
  <si>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</si>
  <si>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</si>
  <si>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</si>
  <si>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</si>
  <si>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</si>
  <si>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</si>
  <si>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</si>
  <si>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</si>
  <si>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</si>
  <si>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</si>
  <si>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</si>
  <si>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</si>
  <si>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</si>
  <si>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</si>
  <si>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</si>
  <si>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</si>
  <si>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</si>
  <si>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</si>
  <si>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</si>
  <si>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</si>
  <si>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</si>
  <si>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</si>
  <si>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</si>
  <si>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</si>
  <si>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Payment made u/s 40A(2)(b) added back.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</si>
  <si>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</si>
  <si>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</si>
  <si>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</si>
  <si>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</si>
  <si>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</si>
  <si>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</si>
  <si>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</si>
  <si>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</si>
  <si>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</si>
  <si>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Net Profit </t>
  </si>
  <si>
    <t xml:space="preserve">Depreciation </t>
  </si>
  <si>
    <t xml:space="preserve">Int. on Loan </t>
  </si>
  <si>
    <t>y</t>
  </si>
  <si>
    <t>EMI Considered</t>
  </si>
  <si>
    <t>Income From Other Sources</t>
  </si>
  <si>
    <t>2017-18</t>
  </si>
  <si>
    <t>HDFC Bank</t>
  </si>
  <si>
    <t>Car Loan</t>
  </si>
  <si>
    <t>Indra Values</t>
  </si>
  <si>
    <t>Assessment Year</t>
  </si>
  <si>
    <t>2018-19</t>
  </si>
  <si>
    <t>Income From Capital Gains</t>
  </si>
  <si>
    <t>Rohit Jain</t>
  </si>
  <si>
    <t>Income From Business &amp; Profession</t>
  </si>
  <si>
    <t>Kamal Kumar Jain</t>
  </si>
  <si>
    <t>Lap</t>
  </si>
  <si>
    <t>Term Loan</t>
  </si>
  <si>
    <t>Limit</t>
  </si>
  <si>
    <t>April</t>
  </si>
  <si>
    <t>June</t>
  </si>
  <si>
    <t>July</t>
  </si>
  <si>
    <t>7th</t>
  </si>
  <si>
    <t>14th</t>
  </si>
  <si>
    <t>21st</t>
  </si>
  <si>
    <t>28th</t>
  </si>
  <si>
    <t>Eligibilty In Lacs</t>
  </si>
  <si>
    <t>Aug</t>
  </si>
  <si>
    <t>May</t>
  </si>
  <si>
    <t>Mar</t>
  </si>
  <si>
    <t>n</t>
  </si>
  <si>
    <t>HDFC Bank (A/C No. 50200002802374)</t>
  </si>
  <si>
    <t xml:space="preserve"> PNB  (A/C No. 0764002100049881)</t>
  </si>
</sst>
</file>

<file path=xl/styles.xml><?xml version="1.0" encoding="utf-8"?>
<styleSheet xmlns="http://schemas.openxmlformats.org/spreadsheetml/2006/main">
  <numFmts count="6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mmm\ d&quot;, &quot;yy"/>
    <numFmt numFmtId="169" formatCode="dd\ mmm\ yy"/>
  </numFmts>
  <fonts count="19">
    <font>
      <sz val="10"/>
      <name val="Arial"/>
      <family val="2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sz val="10.5"/>
      <color indexed="8"/>
      <name val="Zurich BT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2" fillId="0" borderId="0" applyFill="0" applyAlignment="0" applyProtection="0"/>
    <xf numFmtId="9" fontId="12" fillId="0" borderId="0" applyFill="0" applyBorder="0" applyAlignment="0" applyProtection="0"/>
    <xf numFmtId="0" fontId="12" fillId="0" borderId="0"/>
    <xf numFmtId="164" fontId="1" fillId="0" borderId="0" applyBorder="0" applyProtection="0"/>
  </cellStyleXfs>
  <cellXfs count="96">
    <xf numFmtId="0" fontId="0" fillId="0" borderId="0" xfId="0"/>
    <xf numFmtId="0" fontId="2" fillId="2" borderId="0" xfId="3" applyFont="1" applyFill="1" applyBorder="1" applyAlignment="1">
      <alignment vertical="top"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165" fontId="4" fillId="3" borderId="1" xfId="1" applyNumberFormat="1" applyFont="1" applyFill="1" applyBorder="1" applyAlignment="1" applyProtection="1">
      <alignment horizontal="center" vertical="center" wrapText="1"/>
    </xf>
    <xf numFmtId="165" fontId="4" fillId="4" borderId="1" xfId="1" applyNumberFormat="1" applyFont="1" applyFill="1" applyBorder="1" applyAlignment="1" applyProtection="1">
      <alignment horizontal="left" vertical="center" wrapText="1"/>
    </xf>
    <xf numFmtId="165" fontId="4" fillId="4" borderId="1" xfId="1" applyNumberFormat="1" applyFont="1" applyFill="1" applyBorder="1" applyAlignment="1" applyProtection="1">
      <alignment horizontal="center" vertical="center" wrapText="1"/>
    </xf>
    <xf numFmtId="9" fontId="4" fillId="4" borderId="1" xfId="1" applyNumberFormat="1" applyFont="1" applyFill="1" applyBorder="1" applyAlignment="1" applyProtection="1">
      <alignment horizontal="center" vertical="center" wrapText="1"/>
    </xf>
    <xf numFmtId="165" fontId="2" fillId="2" borderId="1" xfId="1" applyNumberFormat="1" applyFont="1" applyFill="1" applyBorder="1" applyAlignment="1" applyProtection="1">
      <alignment horizontal="left" vertical="center" wrapText="1"/>
    </xf>
    <xf numFmtId="165" fontId="2" fillId="2" borderId="1" xfId="1" applyNumberFormat="1" applyFont="1" applyFill="1" applyBorder="1" applyAlignment="1" applyProtection="1">
      <alignment horizontal="center" vertical="top"/>
    </xf>
    <xf numFmtId="9" fontId="2" fillId="2" borderId="1" xfId="1" applyNumberFormat="1" applyFont="1" applyFill="1" applyBorder="1" applyAlignment="1" applyProtection="1">
      <alignment horizontal="center" vertical="top"/>
    </xf>
    <xf numFmtId="167" fontId="4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vertical="top" wrapText="1"/>
    </xf>
    <xf numFmtId="165" fontId="2" fillId="0" borderId="1" xfId="1" applyNumberFormat="1" applyFont="1" applyFill="1" applyBorder="1" applyAlignment="1" applyProtection="1">
      <alignment horizontal="left" vertical="top" wrapText="1"/>
    </xf>
    <xf numFmtId="10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horizontal="center" vertical="top"/>
    </xf>
    <xf numFmtId="2" fontId="2" fillId="4" borderId="1" xfId="4" applyNumberFormat="1" applyFont="1" applyFill="1" applyBorder="1" applyAlignment="1" applyProtection="1">
      <alignment horizontal="center" vertical="top"/>
    </xf>
    <xf numFmtId="164" fontId="2" fillId="4" borderId="1" xfId="4" applyNumberFormat="1" applyFont="1" applyFill="1" applyBorder="1" applyAlignment="1" applyProtection="1">
      <alignment horizontal="center" vertical="top"/>
    </xf>
    <xf numFmtId="0" fontId="2" fillId="0" borderId="0" xfId="0" applyFont="1" applyBorder="1" applyAlignment="1">
      <alignment horizontal="center"/>
    </xf>
    <xf numFmtId="168" fontId="2" fillId="0" borderId="0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168" fontId="6" fillId="3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169" fontId="2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68" fontId="7" fillId="0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9" fillId="5" borderId="1" xfId="0" applyFont="1" applyFill="1" applyBorder="1" applyAlignment="1" applyProtection="1">
      <alignment vertical="top" wrapText="1"/>
      <protection hidden="1"/>
    </xf>
    <xf numFmtId="0" fontId="8" fillId="5" borderId="1" xfId="0" applyFont="1" applyFill="1" applyBorder="1" applyAlignment="1" applyProtection="1">
      <alignment vertical="top" wrapText="1"/>
      <protection hidden="1"/>
    </xf>
    <xf numFmtId="0" fontId="8" fillId="5" borderId="1" xfId="0" applyFont="1" applyFill="1" applyBorder="1" applyAlignment="1" applyProtection="1">
      <alignment horizontal="center" vertical="top" wrapText="1"/>
      <protection locked="0" hidden="1"/>
    </xf>
    <xf numFmtId="0" fontId="5" fillId="0" borderId="1" xfId="0" applyFont="1" applyBorder="1" applyAlignment="1" applyProtection="1">
      <alignment vertical="top" wrapText="1"/>
      <protection hidden="1"/>
    </xf>
    <xf numFmtId="0" fontId="5" fillId="0" borderId="1" xfId="0" applyFont="1" applyBorder="1" applyAlignment="1">
      <alignment horizontal="justify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 wrapText="1"/>
      <protection locked="0"/>
    </xf>
    <xf numFmtId="10" fontId="5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/>
      <protection locked="0"/>
    </xf>
    <xf numFmtId="0" fontId="5" fillId="0" borderId="1" xfId="0" applyFont="1" applyBorder="1" applyAlignment="1">
      <alignment horizontal="justify" vertical="top" wrapText="1"/>
    </xf>
    <xf numFmtId="0" fontId="5" fillId="0" borderId="1" xfId="0" applyFont="1" applyFill="1" applyBorder="1" applyAlignment="1" applyProtection="1">
      <alignment vertical="top" wrapText="1"/>
      <protection hidden="1"/>
    </xf>
    <xf numFmtId="0" fontId="11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9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vertical="top" wrapText="1"/>
      <protection hidden="1"/>
    </xf>
    <xf numFmtId="0" fontId="8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8" fillId="6" borderId="1" xfId="2" applyNumberFormat="1" applyFont="1" applyFill="1" applyBorder="1" applyAlignment="1" applyProtection="1">
      <alignment horizontal="left" vertical="top" wrapText="1"/>
      <protection hidden="1"/>
    </xf>
    <xf numFmtId="164" fontId="4" fillId="4" borderId="1" xfId="1" applyFont="1" applyFill="1" applyBorder="1" applyAlignment="1" applyProtection="1">
      <alignment vertical="top" wrapText="1"/>
    </xf>
    <xf numFmtId="166" fontId="2" fillId="2" borderId="1" xfId="1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Border="1" applyAlignment="1">
      <alignment horizontal="center"/>
    </xf>
    <xf numFmtId="166" fontId="2" fillId="0" borderId="1" xfId="1" applyNumberFormat="1" applyFont="1" applyFill="1" applyBorder="1" applyAlignment="1" applyProtection="1">
      <alignment horizontal="center" vertical="center"/>
    </xf>
    <xf numFmtId="166" fontId="13" fillId="2" borderId="1" xfId="1" applyNumberFormat="1" applyFont="1" applyFill="1" applyBorder="1" applyAlignment="1" applyProtection="1">
      <alignment horizontal="center" vertical="center"/>
    </xf>
    <xf numFmtId="0" fontId="13" fillId="2" borderId="0" xfId="3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2" fontId="7" fillId="7" borderId="1" xfId="0" applyNumberFormat="1" applyFont="1" applyFill="1" applyBorder="1" applyAlignment="1">
      <alignment horizontal="center" vertical="center" wrapText="1"/>
    </xf>
    <xf numFmtId="169" fontId="2" fillId="7" borderId="1" xfId="0" applyNumberFormat="1" applyFont="1" applyFill="1" applyBorder="1" applyAlignment="1">
      <alignment horizontal="center" vertical="center" wrapText="1"/>
    </xf>
    <xf numFmtId="1" fontId="7" fillId="7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5" fillId="7" borderId="5" xfId="0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5" fillId="7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8" fillId="8" borderId="5" xfId="0" applyFont="1" applyFill="1" applyBorder="1" applyAlignment="1">
      <alignment horizontal="center" vertical="center"/>
    </xf>
    <xf numFmtId="0" fontId="18" fillId="8" borderId="10" xfId="0" applyFont="1" applyFill="1" applyBorder="1" applyAlignment="1">
      <alignment horizontal="center" vertical="center"/>
    </xf>
    <xf numFmtId="0" fontId="2" fillId="0" borderId="1" xfId="0" applyNumberFormat="1" applyFont="1" applyFill="1" applyBorder="1"/>
    <xf numFmtId="165" fontId="4" fillId="3" borderId="1" xfId="1" applyNumberFormat="1" applyFont="1" applyFill="1" applyBorder="1" applyAlignment="1" applyProtection="1">
      <alignment horizontal="center" vertical="center" wrapText="1"/>
    </xf>
    <xf numFmtId="166" fontId="2" fillId="4" borderId="2" xfId="0" applyNumberFormat="1" applyFont="1" applyFill="1" applyBorder="1"/>
    <xf numFmtId="0" fontId="2" fillId="4" borderId="3" xfId="0" applyNumberFormat="1" applyFont="1" applyFill="1" applyBorder="1"/>
    <xf numFmtId="0" fontId="2" fillId="4" borderId="4" xfId="0" applyNumberFormat="1" applyFont="1" applyFill="1" applyBorder="1"/>
    <xf numFmtId="0" fontId="2" fillId="0" borderId="2" xfId="0" applyNumberFormat="1" applyFont="1" applyFill="1" applyBorder="1"/>
    <xf numFmtId="0" fontId="2" fillId="0" borderId="3" xfId="0" applyNumberFormat="1" applyFont="1" applyFill="1" applyBorder="1"/>
    <xf numFmtId="0" fontId="2" fillId="0" borderId="4" xfId="0" applyNumberFormat="1" applyFont="1" applyFill="1" applyBorder="1"/>
    <xf numFmtId="165" fontId="4" fillId="0" borderId="2" xfId="1" applyNumberFormat="1" applyFont="1" applyFill="1" applyBorder="1" applyAlignment="1" applyProtection="1">
      <alignment horizontal="center" vertical="center"/>
    </xf>
    <xf numFmtId="165" fontId="4" fillId="0" borderId="3" xfId="1" applyNumberFormat="1" applyFont="1" applyFill="1" applyBorder="1" applyAlignment="1" applyProtection="1">
      <alignment horizontal="center" vertical="center"/>
    </xf>
    <xf numFmtId="165" fontId="4" fillId="0" borderId="4" xfId="1" applyNumberFormat="1" applyFont="1" applyFill="1" applyBorder="1" applyAlignment="1" applyProtection="1">
      <alignment horizontal="center" vertical="center"/>
    </xf>
    <xf numFmtId="0" fontId="8" fillId="5" borderId="1" xfId="0" applyFont="1" applyFill="1" applyBorder="1" applyAlignment="1" applyProtection="1">
      <alignment horizontal="center" vertical="top" wrapText="1"/>
      <protection hidden="1"/>
    </xf>
    <xf numFmtId="0" fontId="16" fillId="7" borderId="11" xfId="0" applyFont="1" applyFill="1" applyBorder="1" applyAlignment="1">
      <alignment horizontal="center" vertical="center"/>
    </xf>
    <xf numFmtId="0" fontId="16" fillId="7" borderId="12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8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25"/>
  <sheetViews>
    <sheetView tabSelected="1" zoomScale="130" zoomScaleNormal="130" workbookViewId="0">
      <selection activeCell="B23" sqref="B23:E23"/>
    </sheetView>
  </sheetViews>
  <sheetFormatPr defaultColWidth="31.28515625" defaultRowHeight="13.5"/>
  <cols>
    <col min="1" max="1" width="46.7109375" style="1" customWidth="1"/>
    <col min="2" max="2" width="12.42578125" style="1" customWidth="1"/>
    <col min="3" max="3" width="12" style="1" customWidth="1"/>
    <col min="4" max="4" width="14.140625" style="1" customWidth="1"/>
    <col min="5" max="5" width="14.7109375" style="1" customWidth="1"/>
    <col min="6" max="6" width="19.5703125" style="1" customWidth="1"/>
    <col min="7" max="7" width="16.28515625" style="1" customWidth="1"/>
    <col min="8" max="8" width="14.7109375" style="1" customWidth="1"/>
    <col min="9" max="9" width="11.85546875" style="1" customWidth="1"/>
    <col min="10" max="10" width="14.5703125" style="1" customWidth="1"/>
    <col min="11" max="12" width="13.140625" style="1" customWidth="1"/>
    <col min="13" max="13" width="13.7109375" style="1" customWidth="1"/>
    <col min="14" max="14" width="14.140625" style="1" customWidth="1"/>
    <col min="15" max="15" width="11.85546875" style="1" customWidth="1"/>
    <col min="16" max="16" width="12" style="1" customWidth="1"/>
    <col min="17" max="17" width="11" style="1" customWidth="1"/>
    <col min="18" max="18" width="11.5703125" style="1" customWidth="1"/>
    <col min="19" max="19" width="12" style="1" customWidth="1"/>
    <col min="20" max="237" width="31.28515625" style="1"/>
    <col min="238" max="245" width="31.28515625" style="2"/>
    <col min="246" max="247" width="31.28515625" style="3"/>
    <col min="248" max="254" width="31.28515625" style="4"/>
    <col min="255" max="16384" width="31.28515625" style="5"/>
  </cols>
  <sheetData>
    <row r="1" spans="1:6" ht="26.85" customHeight="1">
      <c r="A1" s="62" t="s">
        <v>61</v>
      </c>
      <c r="B1" s="80" t="s">
        <v>62</v>
      </c>
      <c r="C1" s="80"/>
      <c r="D1" s="6" t="s">
        <v>0</v>
      </c>
      <c r="E1" s="6">
        <v>7720208401</v>
      </c>
      <c r="F1" s="6" t="s">
        <v>1</v>
      </c>
    </row>
    <row r="2" spans="1:6">
      <c r="A2" s="7" t="s">
        <v>61</v>
      </c>
      <c r="B2" s="8" t="s">
        <v>63</v>
      </c>
      <c r="C2" s="8" t="s">
        <v>58</v>
      </c>
      <c r="D2" s="8" t="s">
        <v>39</v>
      </c>
      <c r="E2" s="9" t="s">
        <v>2</v>
      </c>
      <c r="F2" s="8" t="s">
        <v>40</v>
      </c>
    </row>
    <row r="3" spans="1:6">
      <c r="A3" s="10" t="s">
        <v>52</v>
      </c>
      <c r="B3" s="59">
        <v>5347861.5999999996</v>
      </c>
      <c r="C3" s="58">
        <v>3261519.38</v>
      </c>
      <c r="D3" s="11">
        <f t="shared" ref="D3:D8" si="0">AVERAGE(B3:C3)</f>
        <v>4304690.49</v>
      </c>
      <c r="E3" s="12">
        <v>1</v>
      </c>
      <c r="F3" s="11">
        <f t="shared" ref="F3:F8" si="1">E3*D3</f>
        <v>4304690.49</v>
      </c>
    </row>
    <row r="4" spans="1:6">
      <c r="A4" s="10" t="s">
        <v>53</v>
      </c>
      <c r="B4" s="59">
        <v>3732411</v>
      </c>
      <c r="C4" s="58">
        <v>2892340</v>
      </c>
      <c r="D4" s="11">
        <f t="shared" si="0"/>
        <v>3312375.5</v>
      </c>
      <c r="E4" s="12">
        <v>1</v>
      </c>
      <c r="F4" s="11">
        <f t="shared" si="1"/>
        <v>3312375.5</v>
      </c>
    </row>
    <row r="5" spans="1:6">
      <c r="A5" s="10" t="s">
        <v>54</v>
      </c>
      <c r="B5" s="59">
        <f>607090.55+3974897.6</f>
        <v>4581988.1500000004</v>
      </c>
      <c r="C5" s="58">
        <f>243882.32+3548881</f>
        <v>3792763.32</v>
      </c>
      <c r="D5" s="11">
        <f t="shared" si="0"/>
        <v>4187375.7350000003</v>
      </c>
      <c r="E5" s="12">
        <v>0.5</v>
      </c>
      <c r="F5" s="11">
        <f t="shared" si="1"/>
        <v>2093687.8675000002</v>
      </c>
    </row>
    <row r="6" spans="1:6">
      <c r="A6" s="10" t="s">
        <v>42</v>
      </c>
      <c r="B6" s="56">
        <f>1425000+1425000+2296771+1223644+12358+224297.62+210742.2+108567.24+287335+430000+440000+440000</f>
        <v>8523715.0600000005</v>
      </c>
      <c r="C6" s="56">
        <f>1800000+2340988+422563+615000</f>
        <v>5178551</v>
      </c>
      <c r="D6" s="11">
        <f t="shared" si="0"/>
        <v>6851133.0300000003</v>
      </c>
      <c r="E6" s="12">
        <v>1</v>
      </c>
      <c r="F6" s="11">
        <f t="shared" si="1"/>
        <v>6851133.0300000003</v>
      </c>
    </row>
    <row r="7" spans="1:6">
      <c r="A7" s="10" t="s">
        <v>64</v>
      </c>
      <c r="B7" s="60">
        <v>31950</v>
      </c>
      <c r="C7" s="56">
        <v>0</v>
      </c>
      <c r="D7" s="11">
        <f t="shared" si="0"/>
        <v>15975</v>
      </c>
      <c r="E7" s="12">
        <v>0</v>
      </c>
      <c r="F7" s="11">
        <f t="shared" ref="F7" si="2">E7*D7</f>
        <v>0</v>
      </c>
    </row>
    <row r="8" spans="1:6">
      <c r="A8" s="10" t="s">
        <v>41</v>
      </c>
      <c r="B8" s="59">
        <v>-1667347</v>
      </c>
      <c r="C8" s="56">
        <v>-1007881</v>
      </c>
      <c r="D8" s="11">
        <f t="shared" si="0"/>
        <v>-1337614</v>
      </c>
      <c r="E8" s="12">
        <v>1</v>
      </c>
      <c r="F8" s="11">
        <f t="shared" si="1"/>
        <v>-1337614</v>
      </c>
    </row>
    <row r="9" spans="1:6">
      <c r="A9" s="7" t="s">
        <v>65</v>
      </c>
      <c r="B9" s="8" t="s">
        <v>63</v>
      </c>
      <c r="C9" s="8" t="s">
        <v>58</v>
      </c>
      <c r="D9" s="8" t="s">
        <v>39</v>
      </c>
      <c r="E9" s="9" t="s">
        <v>2</v>
      </c>
      <c r="F9" s="8" t="s">
        <v>40</v>
      </c>
    </row>
    <row r="10" spans="1:6">
      <c r="A10" s="10" t="s">
        <v>66</v>
      </c>
      <c r="B10" s="59">
        <v>2648644</v>
      </c>
      <c r="C10" s="58">
        <v>1672515</v>
      </c>
      <c r="D10" s="11">
        <f>AVERAGE(B10:C10)</f>
        <v>2160579.5</v>
      </c>
      <c r="E10" s="12">
        <v>0</v>
      </c>
      <c r="F10" s="11">
        <f t="shared" ref="F10:F12" si="3">E10*D10</f>
        <v>0</v>
      </c>
    </row>
    <row r="11" spans="1:6">
      <c r="A11" s="10" t="s">
        <v>57</v>
      </c>
      <c r="B11" s="60">
        <v>19453</v>
      </c>
      <c r="C11" s="56">
        <v>6457</v>
      </c>
      <c r="D11" s="11">
        <f>AVERAGE(B11:C11)</f>
        <v>12955</v>
      </c>
      <c r="E11" s="12">
        <v>0.5</v>
      </c>
      <c r="F11" s="11">
        <f t="shared" si="3"/>
        <v>6477.5</v>
      </c>
    </row>
    <row r="12" spans="1:6">
      <c r="A12" s="10" t="s">
        <v>41</v>
      </c>
      <c r="B12" s="59">
        <v>-580225</v>
      </c>
      <c r="C12" s="56">
        <v>-303649</v>
      </c>
      <c r="D12" s="11">
        <f>AVERAGE(B12:C12)</f>
        <v>-441937</v>
      </c>
      <c r="E12" s="12">
        <v>1</v>
      </c>
      <c r="F12" s="11">
        <f t="shared" si="3"/>
        <v>-441937</v>
      </c>
    </row>
    <row r="13" spans="1:6">
      <c r="A13" s="7" t="s">
        <v>67</v>
      </c>
      <c r="B13" s="8" t="s">
        <v>63</v>
      </c>
      <c r="C13" s="8" t="s">
        <v>58</v>
      </c>
      <c r="D13" s="8" t="s">
        <v>39</v>
      </c>
      <c r="E13" s="9" t="s">
        <v>2</v>
      </c>
      <c r="F13" s="8" t="s">
        <v>40</v>
      </c>
    </row>
    <row r="14" spans="1:6">
      <c r="A14" s="10" t="s">
        <v>66</v>
      </c>
      <c r="B14" s="59">
        <v>3721771</v>
      </c>
      <c r="C14" s="58">
        <v>2468473</v>
      </c>
      <c r="D14" s="11">
        <f>AVERAGE(B14:C14)</f>
        <v>3095122</v>
      </c>
      <c r="E14" s="12">
        <v>0</v>
      </c>
      <c r="F14" s="11">
        <f t="shared" ref="F14:F16" si="4">E14*D14</f>
        <v>0</v>
      </c>
    </row>
    <row r="15" spans="1:6">
      <c r="A15" s="10" t="s">
        <v>57</v>
      </c>
      <c r="B15" s="60">
        <v>22075</v>
      </c>
      <c r="C15" s="56">
        <v>7180</v>
      </c>
      <c r="D15" s="11">
        <f>AVERAGE(B15:C15)</f>
        <v>14627.5</v>
      </c>
      <c r="E15" s="12">
        <v>0.5</v>
      </c>
      <c r="F15" s="11">
        <f t="shared" si="4"/>
        <v>7313.75</v>
      </c>
    </row>
    <row r="16" spans="1:6">
      <c r="A16" s="10" t="s">
        <v>41</v>
      </c>
      <c r="B16" s="59">
        <v>-931859</v>
      </c>
      <c r="C16" s="56">
        <v>-550737</v>
      </c>
      <c r="D16" s="11">
        <f>AVERAGE(B16:C16)</f>
        <v>-741298</v>
      </c>
      <c r="E16" s="12">
        <v>1</v>
      </c>
      <c r="F16" s="11">
        <f t="shared" si="4"/>
        <v>-741298</v>
      </c>
    </row>
    <row r="17" spans="1:6" ht="15.4" customHeight="1">
      <c r="A17" s="55" t="s">
        <v>43</v>
      </c>
      <c r="B17" s="81"/>
      <c r="C17" s="82"/>
      <c r="D17" s="82"/>
      <c r="E17" s="83"/>
      <c r="F17" s="13">
        <f>+SUM(F3:F16)</f>
        <v>14054829.137499999</v>
      </c>
    </row>
    <row r="18" spans="1:6" ht="16.350000000000001" customHeight="1">
      <c r="A18" s="14" t="s">
        <v>44</v>
      </c>
      <c r="B18" s="84"/>
      <c r="C18" s="85"/>
      <c r="D18" s="85"/>
      <c r="E18" s="86"/>
      <c r="F18" s="13">
        <f>F17/12</f>
        <v>1171235.7614583333</v>
      </c>
    </row>
    <row r="19" spans="1:6">
      <c r="A19" s="14" t="s">
        <v>45</v>
      </c>
      <c r="B19" s="84"/>
      <c r="C19" s="85"/>
      <c r="D19" s="85"/>
      <c r="E19" s="86"/>
      <c r="F19" s="11">
        <f>RTR!O7</f>
        <v>655931</v>
      </c>
    </row>
    <row r="20" spans="1:6" ht="16.350000000000001" customHeight="1">
      <c r="A20" s="15" t="s">
        <v>46</v>
      </c>
      <c r="B20" s="87"/>
      <c r="C20" s="88"/>
      <c r="D20" s="88"/>
      <c r="E20" s="89"/>
      <c r="F20" s="16">
        <v>1.5</v>
      </c>
    </row>
    <row r="21" spans="1:6" ht="16.350000000000001" customHeight="1">
      <c r="A21" s="14" t="s">
        <v>47</v>
      </c>
      <c r="B21" s="79"/>
      <c r="C21" s="79"/>
      <c r="D21" s="79"/>
      <c r="E21" s="79"/>
      <c r="F21" s="17">
        <f>(F18*F20)-F19</f>
        <v>1100922.6421874999</v>
      </c>
    </row>
    <row r="22" spans="1:6" ht="16.350000000000001" customHeight="1">
      <c r="A22" s="14" t="s">
        <v>48</v>
      </c>
      <c r="B22" s="79"/>
      <c r="C22" s="79"/>
      <c r="D22" s="79"/>
      <c r="E22" s="79"/>
      <c r="F22" s="18">
        <v>180</v>
      </c>
    </row>
    <row r="23" spans="1:6" ht="16.5" customHeight="1">
      <c r="A23" s="14" t="s">
        <v>49</v>
      </c>
      <c r="B23" s="79"/>
      <c r="C23" s="79"/>
      <c r="D23" s="79"/>
      <c r="E23" s="79"/>
      <c r="F23" s="16">
        <v>0.105</v>
      </c>
    </row>
    <row r="24" spans="1:6">
      <c r="A24" s="14" t="s">
        <v>50</v>
      </c>
      <c r="B24" s="79"/>
      <c r="C24" s="79"/>
      <c r="D24" s="79"/>
      <c r="E24" s="79"/>
      <c r="F24" s="19">
        <f>PMT(F23/12,F22,-100000)</f>
        <v>1105.3989236971659</v>
      </c>
    </row>
    <row r="25" spans="1:6">
      <c r="A25" s="14" t="s">
        <v>51</v>
      </c>
      <c r="B25" s="79"/>
      <c r="C25" s="79"/>
      <c r="D25" s="79"/>
      <c r="E25" s="79"/>
      <c r="F25" s="20">
        <f>F21/F24</f>
        <v>995.95052843484382</v>
      </c>
    </row>
  </sheetData>
  <sheetProtection selectLockedCells="1" selectUnlockedCells="1"/>
  <mergeCells count="10">
    <mergeCell ref="B1:C1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R11"/>
  <sheetViews>
    <sheetView zoomScale="136" zoomScaleNormal="136" workbookViewId="0">
      <selection activeCell="B5" sqref="B5"/>
    </sheetView>
  </sheetViews>
  <sheetFormatPr defaultColWidth="22.140625" defaultRowHeight="13.5"/>
  <cols>
    <col min="1" max="1" width="5.42578125" style="21" customWidth="1"/>
    <col min="2" max="2" width="17.28515625" style="21" bestFit="1" customWidth="1"/>
    <col min="3" max="3" width="12.140625" style="21" bestFit="1" customWidth="1"/>
    <col min="4" max="4" width="11.85546875" style="21" bestFit="1" customWidth="1"/>
    <col min="5" max="5" width="7.42578125" style="21" customWidth="1"/>
    <col min="6" max="6" width="13.140625" style="21" bestFit="1" customWidth="1"/>
    <col min="7" max="7" width="11.85546875" style="21" bestFit="1" customWidth="1"/>
    <col min="8" max="8" width="13.140625" style="21" bestFit="1" customWidth="1"/>
    <col min="9" max="9" width="11.42578125" style="22" customWidth="1"/>
    <col min="10" max="10" width="14.140625" style="22" customWidth="1"/>
    <col min="11" max="11" width="9" style="21" customWidth="1"/>
    <col min="12" max="12" width="7.7109375" style="21" customWidth="1"/>
    <col min="13" max="13" width="8.42578125" style="21" customWidth="1"/>
    <col min="14" max="14" width="10.140625" style="21" customWidth="1"/>
    <col min="15" max="15" width="13.140625" style="21" customWidth="1"/>
    <col min="16" max="252" width="22.140625" style="21"/>
    <col min="253" max="16384" width="22.140625" style="4"/>
  </cols>
  <sheetData>
    <row r="1" spans="1:252" ht="54">
      <c r="A1" s="23" t="s">
        <v>3</v>
      </c>
      <c r="B1" s="23" t="s">
        <v>4</v>
      </c>
      <c r="C1" s="23" t="s">
        <v>5</v>
      </c>
      <c r="D1" s="23" t="s">
        <v>6</v>
      </c>
      <c r="E1" s="23" t="s">
        <v>7</v>
      </c>
      <c r="F1" s="23" t="s">
        <v>8</v>
      </c>
      <c r="G1" s="23" t="s">
        <v>9</v>
      </c>
      <c r="H1" s="23" t="s">
        <v>10</v>
      </c>
      <c r="I1" s="24" t="s">
        <v>11</v>
      </c>
      <c r="J1" s="24" t="s">
        <v>12</v>
      </c>
      <c r="K1" s="23" t="s">
        <v>13</v>
      </c>
      <c r="L1" s="23" t="s">
        <v>14</v>
      </c>
      <c r="M1" s="23" t="s">
        <v>15</v>
      </c>
      <c r="N1" s="23" t="s">
        <v>16</v>
      </c>
      <c r="O1" s="23" t="s">
        <v>56</v>
      </c>
    </row>
    <row r="2" spans="1:252" ht="27">
      <c r="A2" s="25">
        <v>1</v>
      </c>
      <c r="B2" s="26">
        <v>83347157</v>
      </c>
      <c r="C2" s="25" t="s">
        <v>61</v>
      </c>
      <c r="D2" s="25" t="s">
        <v>59</v>
      </c>
      <c r="E2" s="26" t="s">
        <v>68</v>
      </c>
      <c r="F2" s="27">
        <v>24100000</v>
      </c>
      <c r="G2" s="27">
        <f>24100000-22550374.07</f>
        <v>1549625.9299999997</v>
      </c>
      <c r="H2" s="27">
        <v>22550374.07</v>
      </c>
      <c r="I2" s="28">
        <v>43380</v>
      </c>
      <c r="J2" s="28">
        <v>47003</v>
      </c>
      <c r="K2" s="26">
        <v>120</v>
      </c>
      <c r="L2" s="26">
        <v>12</v>
      </c>
      <c r="M2" s="26">
        <f>120-12</f>
        <v>108</v>
      </c>
      <c r="N2" s="26">
        <v>306534</v>
      </c>
      <c r="O2" s="26" t="s">
        <v>55</v>
      </c>
    </row>
    <row r="3" spans="1:252" ht="27">
      <c r="A3" s="25">
        <v>2</v>
      </c>
      <c r="B3" s="26">
        <v>83250744</v>
      </c>
      <c r="C3" s="25" t="s">
        <v>61</v>
      </c>
      <c r="D3" s="25" t="s">
        <v>59</v>
      </c>
      <c r="E3" s="26" t="s">
        <v>69</v>
      </c>
      <c r="F3" s="27">
        <v>10000000</v>
      </c>
      <c r="G3" s="27">
        <f>10000000-8343483.46</f>
        <v>1656516.54</v>
      </c>
      <c r="H3" s="27">
        <v>8343483.46</v>
      </c>
      <c r="I3" s="28">
        <v>43380</v>
      </c>
      <c r="J3" s="28">
        <v>45176</v>
      </c>
      <c r="K3" s="26">
        <v>60</v>
      </c>
      <c r="L3" s="26">
        <v>12</v>
      </c>
      <c r="M3" s="26">
        <f>60-12</f>
        <v>48</v>
      </c>
      <c r="N3" s="26">
        <v>207827</v>
      </c>
      <c r="O3" s="26" t="s">
        <v>55</v>
      </c>
    </row>
    <row r="4" spans="1:252" ht="27">
      <c r="A4" s="25">
        <v>3</v>
      </c>
      <c r="B4" s="26">
        <v>48085124</v>
      </c>
      <c r="C4" s="25" t="s">
        <v>61</v>
      </c>
      <c r="D4" s="61" t="s">
        <v>59</v>
      </c>
      <c r="E4" s="26" t="s">
        <v>60</v>
      </c>
      <c r="F4" s="27">
        <v>8937000</v>
      </c>
      <c r="G4" s="63">
        <f>8937000-6618943.1</f>
        <v>2318056.9000000004</v>
      </c>
      <c r="H4" s="27">
        <v>6618943.0999999996</v>
      </c>
      <c r="I4" s="28">
        <v>42921</v>
      </c>
      <c r="J4" s="28">
        <v>45448</v>
      </c>
      <c r="K4" s="26">
        <v>84</v>
      </c>
      <c r="L4" s="26">
        <v>27</v>
      </c>
      <c r="M4" s="26">
        <f>84-27</f>
        <v>57</v>
      </c>
      <c r="N4" s="26">
        <v>141570</v>
      </c>
      <c r="O4" s="26" t="s">
        <v>55</v>
      </c>
    </row>
    <row r="5" spans="1:252" ht="27">
      <c r="A5" s="25">
        <v>4</v>
      </c>
      <c r="B5" s="26">
        <v>50200032447792</v>
      </c>
      <c r="C5" s="25" t="s">
        <v>61</v>
      </c>
      <c r="D5" s="61" t="s">
        <v>59</v>
      </c>
      <c r="E5" s="26" t="s">
        <v>70</v>
      </c>
      <c r="F5" s="27">
        <v>95000000</v>
      </c>
      <c r="G5" s="64"/>
      <c r="H5" s="64"/>
      <c r="I5" s="65"/>
      <c r="J5" s="65"/>
      <c r="K5" s="66"/>
      <c r="L5" s="66"/>
      <c r="M5" s="66"/>
      <c r="N5" s="66"/>
      <c r="O5" s="26" t="s">
        <v>82</v>
      </c>
      <c r="IR5" s="4"/>
    </row>
    <row r="6" spans="1:252">
      <c r="A6" s="25"/>
      <c r="B6" s="29"/>
      <c r="C6" s="25"/>
      <c r="D6" s="30"/>
      <c r="E6" s="30"/>
      <c r="F6" s="30"/>
      <c r="G6" s="30"/>
      <c r="H6" s="30"/>
      <c r="I6" s="28"/>
      <c r="J6" s="28"/>
      <c r="K6" s="31"/>
      <c r="L6" s="31"/>
      <c r="M6" s="31"/>
      <c r="N6" s="32"/>
      <c r="O6" s="26" t="s">
        <v>55</v>
      </c>
    </row>
    <row r="7" spans="1:252">
      <c r="A7" s="33"/>
      <c r="B7" s="25"/>
      <c r="C7" s="25"/>
      <c r="D7" s="25"/>
      <c r="E7" s="25"/>
      <c r="F7" s="25"/>
      <c r="G7" s="25"/>
      <c r="H7" s="25"/>
      <c r="I7" s="34"/>
      <c r="J7" s="34"/>
      <c r="K7" s="25"/>
      <c r="L7" s="25"/>
      <c r="M7" s="25"/>
      <c r="N7" s="25"/>
      <c r="O7" s="35">
        <f>SUMIF(O2:O6,"Y",N2:N6)</f>
        <v>655931</v>
      </c>
    </row>
    <row r="11" spans="1:252">
      <c r="I11" s="5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90" t="s">
        <v>17</v>
      </c>
      <c r="B1" s="90"/>
      <c r="C1" s="37"/>
    </row>
    <row r="2" spans="1:6" ht="14.25" customHeight="1">
      <c r="A2" s="90" t="s">
        <v>18</v>
      </c>
      <c r="B2" s="90"/>
      <c r="C2" s="37"/>
    </row>
    <row r="5" spans="1:6" ht="30">
      <c r="A5" s="38" t="s">
        <v>3</v>
      </c>
      <c r="B5" s="39" t="s">
        <v>19</v>
      </c>
      <c r="C5" s="39" t="s">
        <v>20</v>
      </c>
      <c r="D5" s="40" t="s">
        <v>21</v>
      </c>
      <c r="E5" s="36" t="s">
        <v>22</v>
      </c>
      <c r="F5" s="36" t="s">
        <v>23</v>
      </c>
    </row>
    <row r="6" spans="1:6" ht="42.75">
      <c r="A6" s="41">
        <v>1</v>
      </c>
      <c r="B6" s="42" t="s">
        <v>24</v>
      </c>
      <c r="C6" s="43" t="s">
        <v>25</v>
      </c>
      <c r="D6" s="44"/>
      <c r="E6" s="45">
        <v>0.2</v>
      </c>
      <c r="F6" s="45">
        <f t="shared" ref="F6:F12" si="0">E6/10*D6</f>
        <v>0</v>
      </c>
    </row>
    <row r="7" spans="1:6" ht="42.75">
      <c r="A7" s="41">
        <v>2</v>
      </c>
      <c r="B7" s="42" t="s">
        <v>26</v>
      </c>
      <c r="C7" s="43" t="s">
        <v>27</v>
      </c>
      <c r="D7" s="46"/>
      <c r="E7" s="45">
        <v>0.15</v>
      </c>
      <c r="F7" s="45">
        <f t="shared" si="0"/>
        <v>0</v>
      </c>
    </row>
    <row r="8" spans="1:6" ht="42.75">
      <c r="A8" s="41">
        <v>3</v>
      </c>
      <c r="B8" s="42" t="s">
        <v>28</v>
      </c>
      <c r="C8" s="43" t="s">
        <v>29</v>
      </c>
      <c r="D8" s="46"/>
      <c r="E8" s="45">
        <v>0.1</v>
      </c>
      <c r="F8" s="45">
        <f t="shared" si="0"/>
        <v>0</v>
      </c>
    </row>
    <row r="9" spans="1:6" ht="57">
      <c r="A9" s="41">
        <v>4</v>
      </c>
      <c r="B9" s="42" t="s">
        <v>30</v>
      </c>
      <c r="C9" s="47" t="s">
        <v>31</v>
      </c>
      <c r="D9" s="46"/>
      <c r="E9" s="45">
        <v>0.1</v>
      </c>
      <c r="F9" s="45">
        <f t="shared" si="0"/>
        <v>0</v>
      </c>
    </row>
    <row r="10" spans="1:6" ht="85.5">
      <c r="A10" s="41">
        <v>5</v>
      </c>
      <c r="B10" s="42" t="s">
        <v>32</v>
      </c>
      <c r="C10" s="43" t="s">
        <v>33</v>
      </c>
      <c r="D10" s="46"/>
      <c r="E10" s="45">
        <v>0.1</v>
      </c>
      <c r="F10" s="45">
        <f t="shared" si="0"/>
        <v>0</v>
      </c>
    </row>
    <row r="11" spans="1:6" ht="128.25">
      <c r="A11" s="41">
        <v>6</v>
      </c>
      <c r="B11" s="48" t="s">
        <v>34</v>
      </c>
      <c r="C11" s="49" t="s">
        <v>35</v>
      </c>
      <c r="D11" s="46"/>
      <c r="E11" s="45">
        <v>0.1</v>
      </c>
      <c r="F11" s="45">
        <f t="shared" si="0"/>
        <v>0</v>
      </c>
    </row>
    <row r="12" spans="1:6" ht="28.5">
      <c r="A12" s="41">
        <v>7</v>
      </c>
      <c r="B12" s="41" t="s">
        <v>36</v>
      </c>
      <c r="C12" s="50" t="s">
        <v>37</v>
      </c>
      <c r="D12" s="46"/>
      <c r="E12" s="45">
        <v>0.25</v>
      </c>
      <c r="F12" s="45">
        <f t="shared" si="0"/>
        <v>0</v>
      </c>
    </row>
    <row r="13" spans="1:6" ht="15">
      <c r="A13" s="51"/>
      <c r="B13" s="52" t="s">
        <v>38</v>
      </c>
      <c r="C13" s="52"/>
      <c r="D13" s="53"/>
      <c r="E13" s="54">
        <f>SUM(E6:E12)</f>
        <v>0.99999999999999989</v>
      </c>
      <c r="F13" s="54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2:H20"/>
  <sheetViews>
    <sheetView topLeftCell="A4" workbookViewId="0">
      <selection activeCell="L17" sqref="L17"/>
    </sheetView>
  </sheetViews>
  <sheetFormatPr defaultRowHeight="12.75"/>
  <cols>
    <col min="1" max="1" width="19.28515625" customWidth="1"/>
  </cols>
  <sheetData>
    <row r="2" spans="1:8" ht="21">
      <c r="A2" s="67"/>
      <c r="B2" s="68"/>
      <c r="C2" s="91" t="s">
        <v>61</v>
      </c>
      <c r="D2" s="92"/>
      <c r="E2" s="67"/>
      <c r="F2" s="67"/>
      <c r="G2" s="67"/>
      <c r="H2" s="67"/>
    </row>
    <row r="3" spans="1:8" ht="30">
      <c r="A3" s="69" t="s">
        <v>83</v>
      </c>
      <c r="B3" s="68"/>
      <c r="C3" s="70"/>
      <c r="D3" s="70"/>
      <c r="E3" s="71"/>
      <c r="F3" s="67"/>
      <c r="G3" s="67"/>
      <c r="H3" s="67"/>
    </row>
    <row r="4" spans="1:8" ht="15">
      <c r="A4" s="72"/>
      <c r="B4" s="73" t="s">
        <v>81</v>
      </c>
      <c r="C4" s="73" t="s">
        <v>71</v>
      </c>
      <c r="D4" s="73" t="s">
        <v>80</v>
      </c>
      <c r="E4" s="73" t="s">
        <v>72</v>
      </c>
      <c r="F4" s="73" t="s">
        <v>73</v>
      </c>
      <c r="G4" s="73" t="s">
        <v>79</v>
      </c>
      <c r="H4" s="74"/>
    </row>
    <row r="5" spans="1:8" ht="15">
      <c r="A5" s="73" t="s">
        <v>74</v>
      </c>
      <c r="B5" s="75">
        <v>7096228.4299999997</v>
      </c>
      <c r="C5" s="75">
        <v>4541073.45</v>
      </c>
      <c r="D5" s="74">
        <v>1494172.65</v>
      </c>
      <c r="E5" s="75">
        <v>1693370.69</v>
      </c>
      <c r="F5" s="75">
        <v>2227151.75</v>
      </c>
      <c r="G5" s="75">
        <v>1992618.98</v>
      </c>
      <c r="H5" s="74"/>
    </row>
    <row r="6" spans="1:8" ht="15">
      <c r="A6" s="73" t="s">
        <v>75</v>
      </c>
      <c r="B6" s="75">
        <v>1150611.1599999999</v>
      </c>
      <c r="C6" s="75">
        <v>4982165.51</v>
      </c>
      <c r="D6" s="75">
        <v>497804.78</v>
      </c>
      <c r="E6" s="75">
        <v>1098241.32</v>
      </c>
      <c r="F6" s="75">
        <v>3390207.59</v>
      </c>
      <c r="G6" s="75">
        <v>212311.27</v>
      </c>
      <c r="H6" s="74"/>
    </row>
    <row r="7" spans="1:8" ht="15">
      <c r="A7" s="73" t="s">
        <v>76</v>
      </c>
      <c r="B7" s="75">
        <v>3890957.93</v>
      </c>
      <c r="C7" s="75">
        <v>2209655.6800000002</v>
      </c>
      <c r="D7" s="75">
        <v>2179824.0299999998</v>
      </c>
      <c r="E7" s="75">
        <v>633187.67000000004</v>
      </c>
      <c r="F7" s="75">
        <v>1259024.8400000001</v>
      </c>
      <c r="G7" s="74">
        <v>2390949.31</v>
      </c>
      <c r="H7" s="74"/>
    </row>
    <row r="8" spans="1:8" ht="15">
      <c r="A8" s="73" t="s">
        <v>77</v>
      </c>
      <c r="B8" s="75">
        <v>3105886.39</v>
      </c>
      <c r="C8" s="75">
        <v>3421268.61</v>
      </c>
      <c r="D8" s="74">
        <v>1424563.25</v>
      </c>
      <c r="E8" s="75">
        <v>1203453.54</v>
      </c>
      <c r="F8" s="75">
        <v>589453.41</v>
      </c>
      <c r="G8" s="75">
        <v>1003401.4</v>
      </c>
      <c r="H8" s="74"/>
    </row>
    <row r="9" spans="1:8">
      <c r="A9" s="76"/>
      <c r="B9" s="74">
        <f>SUM(B5:B8)</f>
        <v>15243683.91</v>
      </c>
      <c r="C9" s="74">
        <f>SUM(C5:C8)</f>
        <v>15154163.25</v>
      </c>
      <c r="D9" s="74">
        <f>SUM(D5:D8)</f>
        <v>5596364.71</v>
      </c>
      <c r="E9" s="74">
        <f t="shared" ref="E9:G9" si="0">SUM(E5:E8)</f>
        <v>4628253.22</v>
      </c>
      <c r="F9" s="74">
        <f t="shared" si="0"/>
        <v>7465837.5899999999</v>
      </c>
      <c r="G9" s="74">
        <f t="shared" si="0"/>
        <v>5599280.9600000009</v>
      </c>
      <c r="H9" s="77">
        <f>(SUM(B9:G9)/24)</f>
        <v>2236982.6516666664</v>
      </c>
    </row>
    <row r="12" spans="1:8" ht="21">
      <c r="A12" s="67"/>
      <c r="B12" s="68"/>
      <c r="C12" s="91" t="s">
        <v>61</v>
      </c>
      <c r="D12" s="92"/>
      <c r="E12" s="67"/>
      <c r="F12" s="67"/>
      <c r="G12" s="67"/>
      <c r="H12" s="67"/>
    </row>
    <row r="13" spans="1:8" ht="30">
      <c r="A13" s="69" t="s">
        <v>84</v>
      </c>
      <c r="B13" s="68"/>
      <c r="C13" s="70"/>
      <c r="D13" s="70"/>
      <c r="E13" s="71"/>
      <c r="F13" s="67"/>
      <c r="G13" s="67"/>
      <c r="H13" s="67"/>
    </row>
    <row r="14" spans="1:8" ht="15">
      <c r="A14" s="72"/>
      <c r="B14" s="73" t="s">
        <v>81</v>
      </c>
      <c r="C14" s="73" t="s">
        <v>71</v>
      </c>
      <c r="D14" s="73" t="s">
        <v>80</v>
      </c>
      <c r="E14" s="73" t="s">
        <v>72</v>
      </c>
      <c r="F14" s="73" t="s">
        <v>73</v>
      </c>
      <c r="G14" s="73" t="s">
        <v>79</v>
      </c>
      <c r="H14" s="74"/>
    </row>
    <row r="15" spans="1:8" ht="15">
      <c r="A15" s="73" t="s">
        <v>74</v>
      </c>
      <c r="B15" s="75">
        <v>806521.1</v>
      </c>
      <c r="C15" s="75">
        <v>11134.94</v>
      </c>
      <c r="D15" s="74">
        <v>46015.33</v>
      </c>
      <c r="E15" s="75">
        <v>123804.61</v>
      </c>
      <c r="F15" s="75">
        <v>487787.57</v>
      </c>
      <c r="G15" s="75">
        <v>48628.63</v>
      </c>
      <c r="H15" s="74"/>
    </row>
    <row r="16" spans="1:8" ht="15">
      <c r="A16" s="73" t="s">
        <v>75</v>
      </c>
      <c r="B16" s="75">
        <v>6472.72</v>
      </c>
      <c r="C16" s="75">
        <v>48854.94</v>
      </c>
      <c r="D16" s="75">
        <v>387851.34</v>
      </c>
      <c r="E16" s="75">
        <v>471827.61</v>
      </c>
      <c r="F16" s="75">
        <v>655877.56999999995</v>
      </c>
      <c r="G16" s="75">
        <v>505864.07</v>
      </c>
      <c r="H16" s="74"/>
    </row>
    <row r="17" spans="1:8" ht="15">
      <c r="A17" s="73" t="s">
        <v>76</v>
      </c>
      <c r="B17" s="75">
        <v>605897.81999999995</v>
      </c>
      <c r="C17" s="75">
        <v>323854.94</v>
      </c>
      <c r="D17" s="75">
        <v>915154.34</v>
      </c>
      <c r="E17" s="75">
        <v>802087.93</v>
      </c>
      <c r="F17" s="75">
        <v>442604.17</v>
      </c>
      <c r="G17" s="74">
        <v>201316.37</v>
      </c>
      <c r="H17" s="74"/>
    </row>
    <row r="18" spans="1:8" ht="15">
      <c r="A18" s="73" t="s">
        <v>77</v>
      </c>
      <c r="B18" s="75">
        <v>1841454.44</v>
      </c>
      <c r="C18" s="75">
        <v>109742.56</v>
      </c>
      <c r="D18" s="74">
        <v>399016.89</v>
      </c>
      <c r="E18" s="75">
        <v>77329.509999999995</v>
      </c>
      <c r="F18" s="75">
        <v>540502.17000000004</v>
      </c>
      <c r="G18" s="75">
        <v>233815.37</v>
      </c>
      <c r="H18" s="74"/>
    </row>
    <row r="19" spans="1:8">
      <c r="A19" s="76"/>
      <c r="B19" s="74">
        <f>SUM(B15:B18)</f>
        <v>3260346.08</v>
      </c>
      <c r="C19" s="74">
        <f>SUM(C15:C18)</f>
        <v>493587.38</v>
      </c>
      <c r="D19" s="74">
        <f>SUM(D15:D18)</f>
        <v>1748037.9</v>
      </c>
      <c r="E19" s="74">
        <f t="shared" ref="E19:G19" si="1">SUM(E15:E18)</f>
        <v>1475049.66</v>
      </c>
      <c r="F19" s="74">
        <f t="shared" si="1"/>
        <v>2126771.48</v>
      </c>
      <c r="G19" s="74">
        <f t="shared" si="1"/>
        <v>989624.44</v>
      </c>
      <c r="H19" s="77">
        <f>(SUM(B19:G19)/24)</f>
        <v>420559.03916666663</v>
      </c>
    </row>
    <row r="20" spans="1:8" ht="15">
      <c r="A20" s="67"/>
      <c r="B20" s="67"/>
      <c r="C20" s="67"/>
      <c r="D20" s="67"/>
      <c r="E20" s="93" t="s">
        <v>78</v>
      </c>
      <c r="F20" s="94"/>
      <c r="G20" s="95"/>
      <c r="H20" s="78">
        <f>(2236983+420559)/1105.4</f>
        <v>2404.145105844038</v>
      </c>
    </row>
  </sheetData>
  <mergeCells count="3">
    <mergeCell ref="C2:D2"/>
    <mergeCell ref="C12:D12"/>
    <mergeCell ref="E20:G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Sheet1</vt:lpstr>
      <vt:lpstr>Banking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2018-07-06T06:53:54Z</cp:lastPrinted>
  <dcterms:created xsi:type="dcterms:W3CDTF">2015-09-25T09:25:31Z</dcterms:created>
  <dcterms:modified xsi:type="dcterms:W3CDTF">2019-09-23T09:35:52Z</dcterms:modified>
</cp:coreProperties>
</file>