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K6" i="2"/>
  <c r="M9"/>
  <c r="F8"/>
  <c r="K5"/>
  <c r="K4"/>
  <c r="K3"/>
  <c r="K2"/>
  <c r="C20" i="1"/>
  <c r="B21"/>
  <c r="B20"/>
  <c r="D22"/>
  <c r="F22" s="1"/>
  <c r="D21"/>
  <c r="F21" s="1"/>
  <c r="D20"/>
  <c r="F20" s="1"/>
  <c r="C17"/>
  <c r="C16"/>
  <c r="B16"/>
  <c r="B17"/>
  <c r="D17" s="1"/>
  <c r="F17" s="1"/>
  <c r="I5"/>
  <c r="C12"/>
  <c r="D9"/>
  <c r="F9" s="1"/>
  <c r="D8"/>
  <c r="F8" s="1"/>
  <c r="D7"/>
  <c r="F7" s="1"/>
  <c r="B12"/>
  <c r="D6"/>
  <c r="F6" s="1"/>
  <c r="D5"/>
  <c r="F5" s="1"/>
  <c r="D13"/>
  <c r="F13" s="1"/>
  <c r="D18"/>
  <c r="F18" s="1"/>
  <c r="D10"/>
  <c r="F10" s="1"/>
  <c r="D16" l="1"/>
  <c r="F16" s="1"/>
  <c r="D12"/>
  <c r="F12" s="1"/>
  <c r="D4"/>
  <c r="F4" s="1"/>
  <c r="F25" l="1"/>
  <c r="D14" l="1"/>
  <c r="D2"/>
  <c r="F14" l="1"/>
  <c r="F2"/>
  <c r="D3"/>
  <c r="D11" l="1"/>
  <c r="F11" s="1"/>
  <c r="F3"/>
  <c r="F23" l="1"/>
  <c r="F30"/>
  <c r="F6" i="5" l="1"/>
  <c r="F7"/>
  <c r="F8"/>
  <c r="F9"/>
  <c r="F10"/>
  <c r="F11"/>
  <c r="F12"/>
  <c r="E13"/>
  <c r="F24" i="1" l="1"/>
  <c r="F13" i="5"/>
  <c r="F27" i="1" l="1"/>
  <c r="F31" s="1"/>
</calcChain>
</file>

<file path=xl/comments1.xml><?xml version="1.0" encoding="utf-8"?>
<comments xmlns="http://schemas.openxmlformats.org/spreadsheetml/2006/main">
  <authors>
    <author>Samsung</author>
  </authors>
  <commentList>
    <comment ref="G12" authorId="0">
      <text>
        <r>
          <rPr>
            <sz val="9"/>
            <color indexed="81"/>
            <rFont val="Tahoma"/>
            <charset val="1"/>
          </rPr>
          <t xml:space="preserve">40A(2)(b) includes kamal kumar jain , rohit jain , kamal kumar jain HUF , Lalima Jain , Madhu jain , malika jain
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 xml:space="preserve">Detail pending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 xml:space="preserve">This includes limit for Rs 6.50 Cr + Adhoc limit of Rs 3 Cr
</t>
        </r>
      </text>
    </comment>
  </commentList>
</comments>
</file>

<file path=xl/sharedStrings.xml><?xml version="1.0" encoding="utf-8"?>
<sst xmlns="http://schemas.openxmlformats.org/spreadsheetml/2006/main" count="129" uniqueCount="84">
  <si>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</si>
  <si>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</si>
  <si>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</si>
  <si>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</si>
  <si>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</si>
  <si>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</si>
  <si>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</si>
  <si>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</si>
  <si>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</si>
  <si>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</si>
  <si>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</si>
  <si>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</si>
  <si>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</si>
  <si>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</si>
  <si>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</si>
  <si>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</si>
  <si>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</si>
  <si>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</si>
  <si>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</si>
  <si>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</si>
  <si>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</si>
  <si>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</si>
  <si>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</si>
  <si>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</si>
  <si>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</si>
  <si>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</si>
  <si>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</si>
  <si>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</si>
  <si>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</si>
  <si>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</si>
  <si>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</si>
  <si>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</si>
  <si>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</si>
  <si>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</si>
  <si>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</si>
  <si>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</si>
  <si>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</si>
  <si>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</si>
  <si>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</si>
  <si>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</si>
  <si>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</si>
  <si>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</si>
  <si>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</si>
  <si>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</si>
  <si>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</si>
  <si>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</si>
  <si>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POS</t>
  </si>
  <si>
    <t>Depreciation</t>
  </si>
  <si>
    <t>2020-21</t>
  </si>
  <si>
    <t>Income from other sources</t>
  </si>
  <si>
    <t xml:space="preserve">Net Profit </t>
  </si>
  <si>
    <t>Payment made u/s 40(A)2ab</t>
  </si>
  <si>
    <t>y</t>
  </si>
  <si>
    <t>Bank Interest on CC</t>
  </si>
  <si>
    <t>Interest on car loan</t>
  </si>
  <si>
    <t>HDFC Bank</t>
  </si>
  <si>
    <t>Auto Loan</t>
  </si>
  <si>
    <t>Limit</t>
  </si>
  <si>
    <t>Repayment Account no'</t>
  </si>
  <si>
    <t>Firm</t>
  </si>
  <si>
    <t>Indra Values</t>
  </si>
  <si>
    <t>Income from house property</t>
  </si>
  <si>
    <t>Salary to partners</t>
  </si>
  <si>
    <t>Interest to partners</t>
  </si>
  <si>
    <t>Interest on lap (IDFC Bank Ltd)</t>
  </si>
  <si>
    <t>Interest on HDFC's lap</t>
  </si>
  <si>
    <t>Interest on HDFC's term loan</t>
  </si>
  <si>
    <t>Interest on unsecured loans</t>
  </si>
  <si>
    <t>Sale as on 31 march 19</t>
  </si>
  <si>
    <t>Sale as on 31 march 20</t>
  </si>
  <si>
    <t>Sale as on 31 march 21</t>
  </si>
  <si>
    <t>Kamal Kumar Jain</t>
  </si>
  <si>
    <t>Rohit Jain</t>
  </si>
  <si>
    <t>Partner</t>
  </si>
  <si>
    <t>Share in partnership firm</t>
  </si>
  <si>
    <t>Loan Start Date</t>
  </si>
  <si>
    <t>2374 (CA of HDFC Bank)</t>
  </si>
  <si>
    <t>Lap</t>
  </si>
  <si>
    <t>Term Loan</t>
  </si>
  <si>
    <t>IDFC First Bank</t>
  </si>
  <si>
    <t>ECL</t>
  </si>
  <si>
    <t>LAN</t>
  </si>
  <si>
    <t>detail required to consider</t>
  </si>
  <si>
    <t>Main ITR Page pending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</si>
</sst>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21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mbria"/>
      <family val="1"/>
      <scheme val="major"/>
    </font>
    <font>
      <sz val="9"/>
      <color indexed="81"/>
      <name val="Tahoma"/>
      <charset val="1"/>
    </font>
    <font>
      <sz val="9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9" tint="-0.249977111117893"/>
      <name val="Cambria"/>
      <family val="1"/>
      <scheme val="major"/>
    </font>
    <font>
      <sz val="8"/>
      <name val="Cambria"/>
      <family val="1"/>
      <scheme val="maj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0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2" fillId="5" borderId="2" xfId="0" applyFont="1" applyFill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1" fontId="10" fillId="2" borderId="2" xfId="0" applyNumberFormat="1" applyFont="1" applyFill="1" applyBorder="1" applyAlignment="1">
      <alignment horizontal="left" vertical="center"/>
    </xf>
    <xf numFmtId="0" fontId="13" fillId="2" borderId="0" xfId="3" applyFont="1" applyFill="1" applyBorder="1" applyAlignment="1">
      <alignment horizontal="left" vertical="center" wrapText="1"/>
    </xf>
    <xf numFmtId="2" fontId="11" fillId="6" borderId="2" xfId="0" applyNumberFormat="1" applyFont="1" applyFill="1" applyBorder="1" applyAlignment="1">
      <alignment horizontal="left" vertical="center"/>
    </xf>
    <xf numFmtId="1" fontId="11" fillId="6" borderId="2" xfId="0" applyNumberFormat="1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1" fontId="12" fillId="5" borderId="2" xfId="0" applyNumberFormat="1" applyFont="1" applyFill="1" applyBorder="1" applyAlignment="1">
      <alignment horizontal="left" vertical="center" wrapText="1"/>
    </xf>
    <xf numFmtId="165" fontId="10" fillId="8" borderId="2" xfId="1" applyNumberFormat="1" applyFont="1" applyFill="1" applyBorder="1" applyAlignment="1" applyProtection="1">
      <alignment horizontal="left" vertical="center" wrapText="1"/>
    </xf>
    <xf numFmtId="9" fontId="10" fillId="8" borderId="2" xfId="1" applyNumberFormat="1" applyFont="1" applyFill="1" applyBorder="1" applyAlignment="1" applyProtection="1">
      <alignment horizontal="left" vertical="center" wrapText="1"/>
    </xf>
    <xf numFmtId="165" fontId="11" fillId="6" borderId="2" xfId="1" applyNumberFormat="1" applyFont="1" applyFill="1" applyBorder="1" applyAlignment="1" applyProtection="1">
      <alignment horizontal="left" vertical="center" wrapText="1"/>
    </xf>
    <xf numFmtId="166" fontId="11" fillId="6" borderId="2" xfId="1" applyNumberFormat="1" applyFont="1" applyFill="1" applyBorder="1" applyAlignment="1" applyProtection="1">
      <alignment horizontal="left" vertical="center"/>
    </xf>
    <xf numFmtId="166" fontId="11" fillId="5" borderId="2" xfId="1" applyNumberFormat="1" applyFont="1" applyFill="1" applyBorder="1" applyAlignment="1" applyProtection="1">
      <alignment horizontal="left" vertical="center"/>
    </xf>
    <xf numFmtId="165" fontId="11" fillId="6" borderId="2" xfId="1" applyNumberFormat="1" applyFont="1" applyFill="1" applyBorder="1" applyAlignment="1" applyProtection="1">
      <alignment horizontal="left" vertical="center"/>
    </xf>
    <xf numFmtId="9" fontId="11" fillId="6" borderId="2" xfId="1" applyNumberFormat="1" applyFont="1" applyFill="1" applyBorder="1" applyAlignment="1" applyProtection="1">
      <alignment horizontal="left" vertical="center"/>
    </xf>
    <xf numFmtId="164" fontId="10" fillId="8" borderId="2" xfId="1" applyFont="1" applyFill="1" applyBorder="1" applyAlignment="1" applyProtection="1">
      <alignment horizontal="left" vertical="center" wrapText="1"/>
    </xf>
    <xf numFmtId="0" fontId="11" fillId="8" borderId="2" xfId="0" applyNumberFormat="1" applyFont="1" applyFill="1" applyBorder="1" applyAlignment="1">
      <alignment horizontal="left" vertical="center"/>
    </xf>
    <xf numFmtId="167" fontId="10" fillId="8" borderId="2" xfId="1" applyNumberFormat="1" applyFont="1" applyFill="1" applyBorder="1" applyAlignment="1" applyProtection="1">
      <alignment horizontal="left" vertical="center"/>
    </xf>
    <xf numFmtId="165" fontId="11" fillId="0" borderId="2" xfId="1" applyNumberFormat="1" applyFont="1" applyFill="1" applyBorder="1" applyAlignment="1" applyProtection="1">
      <alignment horizontal="left" vertical="center" wrapText="1"/>
    </xf>
    <xf numFmtId="0" fontId="11" fillId="0" borderId="2" xfId="0" applyNumberFormat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 applyProtection="1">
      <alignment horizontal="left" vertical="center"/>
    </xf>
    <xf numFmtId="165" fontId="11" fillId="0" borderId="2" xfId="1" applyNumberFormat="1" applyFont="1" applyFill="1" applyBorder="1" applyAlignment="1" applyProtection="1">
      <alignment horizontal="left" vertical="center"/>
    </xf>
    <xf numFmtId="10" fontId="11" fillId="0" borderId="2" xfId="1" applyNumberFormat="1" applyFont="1" applyFill="1" applyBorder="1" applyAlignment="1" applyProtection="1">
      <alignment horizontal="left" vertical="center"/>
    </xf>
    <xf numFmtId="165" fontId="10" fillId="8" borderId="2" xfId="1" applyNumberFormat="1" applyFont="1" applyFill="1" applyBorder="1" applyAlignment="1" applyProtection="1">
      <alignment horizontal="left" vertical="center"/>
    </xf>
    <xf numFmtId="2" fontId="10" fillId="8" borderId="2" xfId="4" applyNumberFormat="1" applyFont="1" applyFill="1" applyBorder="1" applyAlignment="1" applyProtection="1">
      <alignment horizontal="left" vertical="center"/>
    </xf>
    <xf numFmtId="164" fontId="10" fillId="8" borderId="2" xfId="4" applyNumberFormat="1" applyFont="1" applyFill="1" applyBorder="1" applyAlignment="1" applyProtection="1">
      <alignment horizontal="left" vertical="center"/>
    </xf>
    <xf numFmtId="0" fontId="9" fillId="2" borderId="0" xfId="3" applyFont="1" applyFill="1" applyBorder="1" applyAlignment="1">
      <alignment horizontal="left" vertical="center" wrapText="1"/>
    </xf>
    <xf numFmtId="166" fontId="16" fillId="6" borderId="2" xfId="1" applyNumberFormat="1" applyFont="1" applyFill="1" applyBorder="1" applyAlignment="1" applyProtection="1">
      <alignment horizontal="left" vertical="center"/>
    </xf>
    <xf numFmtId="0" fontId="10" fillId="7" borderId="2" xfId="0" applyFont="1" applyFill="1" applyBorder="1" applyAlignment="1">
      <alignment horizontal="left" vertical="center" wrapText="1"/>
    </xf>
    <xf numFmtId="0" fontId="18" fillId="5" borderId="0" xfId="0" applyFont="1" applyFill="1" applyBorder="1" applyAlignment="1">
      <alignment horizontal="center"/>
    </xf>
    <xf numFmtId="0" fontId="18" fillId="5" borderId="0" xfId="0" applyFont="1" applyFill="1"/>
    <xf numFmtId="0" fontId="19" fillId="0" borderId="0" xfId="0" applyFont="1" applyBorder="1" applyAlignment="1">
      <alignment horizontal="center"/>
    </xf>
    <xf numFmtId="0" fontId="19" fillId="0" borderId="0" xfId="0" applyFont="1"/>
    <xf numFmtId="168" fontId="11" fillId="6" borderId="2" xfId="0" applyNumberFormat="1" applyFont="1" applyFill="1" applyBorder="1" applyAlignment="1">
      <alignment horizontal="left" vertical="center"/>
    </xf>
    <xf numFmtId="168" fontId="9" fillId="5" borderId="2" xfId="0" applyNumberFormat="1" applyFont="1" applyFill="1" applyBorder="1" applyAlignment="1">
      <alignment horizontal="left"/>
    </xf>
    <xf numFmtId="9" fontId="16" fillId="6" borderId="2" xfId="1" applyNumberFormat="1" applyFont="1" applyFill="1" applyBorder="1" applyAlignment="1" applyProtection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11" fillId="9" borderId="2" xfId="3" applyFont="1" applyFill="1" applyBorder="1" applyAlignment="1">
      <alignment horizontal="left" vertical="center" wrapText="1"/>
    </xf>
    <xf numFmtId="0" fontId="9" fillId="9" borderId="2" xfId="3" applyFont="1" applyFill="1" applyBorder="1" applyAlignment="1">
      <alignment horizontal="left" vertical="center" wrapText="1"/>
    </xf>
    <xf numFmtId="9" fontId="9" fillId="9" borderId="2" xfId="3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Y31"/>
  <sheetViews>
    <sheetView topLeftCell="A7" zoomScale="142" zoomScaleNormal="142" zoomScaleSheetLayoutView="136" workbookViewId="0">
      <selection activeCell="A28" sqref="A28"/>
    </sheetView>
  </sheetViews>
  <sheetFormatPr defaultColWidth="31.28515625" defaultRowHeight="12.75"/>
  <cols>
    <col min="1" max="1" width="27" style="20" bestFit="1" customWidth="1"/>
    <col min="2" max="3" width="8.5703125" style="20" bestFit="1" customWidth="1"/>
    <col min="4" max="4" width="8.7109375" style="20" bestFit="1" customWidth="1"/>
    <col min="5" max="5" width="7.5703125" style="20" bestFit="1" customWidth="1"/>
    <col min="6" max="6" width="11.7109375" style="20" bestFit="1" customWidth="1"/>
    <col min="7" max="7" width="22.140625" style="20" customWidth="1"/>
    <col min="8" max="8" width="18.5703125" style="20" bestFit="1" customWidth="1"/>
    <col min="9" max="9" width="11.85546875" style="20" customWidth="1"/>
    <col min="10" max="10" width="4.85546875" style="20" bestFit="1" customWidth="1"/>
    <col min="11" max="223" width="31.28515625" style="20"/>
    <col min="224" max="231" width="31.28515625" style="21"/>
    <col min="232" max="233" width="31.28515625" style="22"/>
    <col min="234" max="16384" width="31.28515625" style="23"/>
  </cols>
  <sheetData>
    <row r="1" spans="1:233">
      <c r="A1" s="37" t="s">
        <v>60</v>
      </c>
      <c r="B1" s="37" t="s">
        <v>48</v>
      </c>
      <c r="C1" s="37" t="s">
        <v>43</v>
      </c>
      <c r="D1" s="37" t="s">
        <v>32</v>
      </c>
      <c r="E1" s="38" t="s">
        <v>0</v>
      </c>
      <c r="F1" s="37" t="s">
        <v>33</v>
      </c>
      <c r="G1" s="28"/>
      <c r="HK1" s="21"/>
      <c r="HL1" s="21"/>
      <c r="HM1" s="21"/>
      <c r="HN1" s="21"/>
      <c r="HO1" s="21"/>
      <c r="HS1" s="22"/>
      <c r="HT1" s="22"/>
      <c r="HU1" s="23"/>
      <c r="HV1" s="23"/>
      <c r="HW1" s="23"/>
      <c r="HX1" s="23"/>
      <c r="HY1" s="23"/>
    </row>
    <row r="2" spans="1:233">
      <c r="A2" s="39" t="s">
        <v>50</v>
      </c>
      <c r="B2" s="40">
        <v>9158810.1199999992</v>
      </c>
      <c r="C2" s="41">
        <v>7202160.3399999999</v>
      </c>
      <c r="D2" s="42">
        <f>AVERAGE(B2:C2)</f>
        <v>8180485.2299999995</v>
      </c>
      <c r="E2" s="43">
        <v>1</v>
      </c>
      <c r="F2" s="42">
        <f>E2*D2</f>
        <v>8180485.2299999995</v>
      </c>
      <c r="G2" s="28"/>
      <c r="HK2" s="21"/>
      <c r="HL2" s="21"/>
      <c r="HM2" s="21"/>
      <c r="HN2" s="21"/>
      <c r="HO2" s="21"/>
      <c r="HS2" s="22"/>
      <c r="HT2" s="22"/>
      <c r="HU2" s="23"/>
      <c r="HV2" s="23"/>
      <c r="HW2" s="23"/>
      <c r="HX2" s="23"/>
      <c r="HY2" s="23"/>
    </row>
    <row r="3" spans="1:233" ht="24">
      <c r="A3" s="39" t="s">
        <v>47</v>
      </c>
      <c r="B3" s="40">
        <v>4962986</v>
      </c>
      <c r="C3" s="41">
        <v>3724156</v>
      </c>
      <c r="D3" s="42">
        <f t="shared" ref="D3:D14" si="0">AVERAGE(B3:C3)</f>
        <v>4343571</v>
      </c>
      <c r="E3" s="43">
        <v>1</v>
      </c>
      <c r="F3" s="42">
        <f t="shared" ref="F3:F14" si="1">E3*D3</f>
        <v>4343571</v>
      </c>
      <c r="G3" s="28"/>
      <c r="H3" s="66" t="s">
        <v>68</v>
      </c>
      <c r="I3" s="66">
        <v>431171706.22000003</v>
      </c>
      <c r="HK3" s="21"/>
      <c r="HL3" s="21"/>
      <c r="HM3" s="21"/>
      <c r="HN3" s="21"/>
      <c r="HO3" s="21"/>
      <c r="HS3" s="22"/>
      <c r="HT3" s="22"/>
      <c r="HU3" s="23"/>
      <c r="HV3" s="23"/>
      <c r="HW3" s="23"/>
      <c r="HX3" s="23"/>
      <c r="HY3" s="23"/>
    </row>
    <row r="4" spans="1:233" ht="24">
      <c r="A4" s="39" t="s">
        <v>53</v>
      </c>
      <c r="B4" s="40">
        <v>4813735</v>
      </c>
      <c r="C4" s="40">
        <v>2396662</v>
      </c>
      <c r="D4" s="42">
        <f t="shared" ref="D4:D10" si="2">AVERAGE(B4:C4)</f>
        <v>3605198.5</v>
      </c>
      <c r="E4" s="43">
        <v>0</v>
      </c>
      <c r="F4" s="42">
        <f t="shared" ref="F4:F10" si="3">E4*D4</f>
        <v>0</v>
      </c>
      <c r="G4" s="28"/>
      <c r="H4" s="66" t="s">
        <v>69</v>
      </c>
      <c r="I4" s="66">
        <v>661951069.95000005</v>
      </c>
      <c r="HK4" s="21"/>
      <c r="HL4" s="21"/>
      <c r="HM4" s="21"/>
      <c r="HN4" s="21"/>
      <c r="HO4" s="21"/>
      <c r="HS4" s="22"/>
      <c r="HT4" s="22"/>
      <c r="HU4" s="23"/>
      <c r="HV4" s="23"/>
      <c r="HW4" s="23"/>
      <c r="HX4" s="23"/>
      <c r="HY4" s="23"/>
    </row>
    <row r="5" spans="1:233" ht="12" customHeight="1">
      <c r="A5" s="39" t="s">
        <v>54</v>
      </c>
      <c r="B5" s="40">
        <v>614345</v>
      </c>
      <c r="C5" s="40">
        <v>689631</v>
      </c>
      <c r="D5" s="42">
        <f t="shared" ref="D5:D7" si="4">AVERAGE(B5:C5)</f>
        <v>651988</v>
      </c>
      <c r="E5" s="43">
        <v>1</v>
      </c>
      <c r="F5" s="42">
        <f t="shared" ref="F5:F7" si="5">E5*D5</f>
        <v>651988</v>
      </c>
      <c r="G5" s="28"/>
      <c r="H5" s="66" t="s">
        <v>70</v>
      </c>
      <c r="I5" s="66">
        <f>0+8096371+21437037+23314346+25476594+31301092+111484737+113697331+81494865+27981063+13741253+31599632+29368573</f>
        <v>518992894</v>
      </c>
      <c r="HK5" s="21"/>
      <c r="HL5" s="21"/>
      <c r="HM5" s="21"/>
      <c r="HN5" s="21"/>
      <c r="HO5" s="21"/>
      <c r="HS5" s="22"/>
      <c r="HT5" s="22"/>
      <c r="HU5" s="23"/>
      <c r="HV5" s="23"/>
      <c r="HW5" s="23"/>
      <c r="HX5" s="23"/>
      <c r="HY5" s="23"/>
    </row>
    <row r="6" spans="1:233" ht="12" customHeight="1">
      <c r="A6" s="39" t="s">
        <v>64</v>
      </c>
      <c r="B6" s="40">
        <v>618356</v>
      </c>
      <c r="C6" s="40">
        <v>0</v>
      </c>
      <c r="D6" s="42">
        <f t="shared" si="4"/>
        <v>309178</v>
      </c>
      <c r="E6" s="43">
        <v>1</v>
      </c>
      <c r="F6" s="42">
        <f t="shared" si="5"/>
        <v>309178</v>
      </c>
      <c r="G6" s="28"/>
      <c r="HK6" s="21"/>
      <c r="HL6" s="21"/>
      <c r="HM6" s="21"/>
      <c r="HN6" s="21"/>
      <c r="HO6" s="21"/>
      <c r="HS6" s="22"/>
      <c r="HT6" s="22"/>
      <c r="HU6" s="23"/>
      <c r="HV6" s="23"/>
      <c r="HW6" s="23"/>
      <c r="HX6" s="23"/>
      <c r="HY6" s="23"/>
    </row>
    <row r="7" spans="1:233" ht="12" customHeight="1">
      <c r="A7" s="39" t="s">
        <v>65</v>
      </c>
      <c r="B7" s="40">
        <v>2057644</v>
      </c>
      <c r="C7" s="40">
        <v>1146797</v>
      </c>
      <c r="D7" s="42">
        <f t="shared" si="4"/>
        <v>1602220.5</v>
      </c>
      <c r="E7" s="43">
        <v>1</v>
      </c>
      <c r="F7" s="42">
        <f t="shared" si="5"/>
        <v>1602220.5</v>
      </c>
      <c r="G7" s="28"/>
      <c r="H7" s="67" t="s">
        <v>60</v>
      </c>
      <c r="I7" s="67" t="s">
        <v>59</v>
      </c>
      <c r="J7" s="55"/>
      <c r="HK7" s="21"/>
      <c r="HL7" s="21"/>
      <c r="HM7" s="21"/>
      <c r="HN7" s="21"/>
      <c r="HO7" s="21"/>
      <c r="HS7" s="22"/>
      <c r="HT7" s="22"/>
      <c r="HU7" s="23"/>
      <c r="HV7" s="23"/>
      <c r="HW7" s="23"/>
      <c r="HX7" s="23"/>
      <c r="HY7" s="23"/>
    </row>
    <row r="8" spans="1:233" ht="12" customHeight="1">
      <c r="A8" s="39" t="s">
        <v>66</v>
      </c>
      <c r="B8" s="40">
        <v>761022</v>
      </c>
      <c r="C8" s="40">
        <v>472082</v>
      </c>
      <c r="D8" s="42">
        <f t="shared" ref="D8:D9" si="6">AVERAGE(B8:C8)</f>
        <v>616552</v>
      </c>
      <c r="E8" s="43">
        <v>1</v>
      </c>
      <c r="F8" s="42">
        <f t="shared" ref="F8:F9" si="7">E8*D8</f>
        <v>616552</v>
      </c>
      <c r="G8" s="28"/>
      <c r="H8" s="67" t="s">
        <v>71</v>
      </c>
      <c r="I8" s="67" t="s">
        <v>73</v>
      </c>
      <c r="J8" s="68">
        <v>0.5</v>
      </c>
      <c r="HK8" s="21"/>
      <c r="HL8" s="21"/>
      <c r="HM8" s="21"/>
      <c r="HN8" s="21"/>
      <c r="HO8" s="21"/>
      <c r="HS8" s="22"/>
      <c r="HT8" s="22"/>
      <c r="HU8" s="23"/>
      <c r="HV8" s="23"/>
      <c r="HW8" s="23"/>
      <c r="HX8" s="23"/>
      <c r="HY8" s="23"/>
    </row>
    <row r="9" spans="1:233" ht="12" customHeight="1">
      <c r="A9" s="39" t="s">
        <v>67</v>
      </c>
      <c r="B9" s="40">
        <v>6407210</v>
      </c>
      <c r="C9" s="40">
        <v>6280325</v>
      </c>
      <c r="D9" s="42">
        <f t="shared" si="6"/>
        <v>6343767.5</v>
      </c>
      <c r="E9" s="43">
        <v>0</v>
      </c>
      <c r="F9" s="42">
        <f t="shared" si="7"/>
        <v>0</v>
      </c>
      <c r="G9" s="28"/>
      <c r="H9" s="67" t="s">
        <v>72</v>
      </c>
      <c r="I9" s="67" t="s">
        <v>73</v>
      </c>
      <c r="J9" s="68">
        <v>0.5</v>
      </c>
      <c r="HK9" s="21"/>
      <c r="HL9" s="21"/>
      <c r="HM9" s="21"/>
      <c r="HN9" s="21"/>
      <c r="HO9" s="21"/>
      <c r="HS9" s="22"/>
      <c r="HT9" s="22"/>
      <c r="HU9" s="23"/>
      <c r="HV9" s="23"/>
      <c r="HW9" s="23"/>
      <c r="HX9" s="23"/>
      <c r="HY9" s="23"/>
    </row>
    <row r="10" spans="1:233" ht="12" customHeight="1">
      <c r="A10" s="39" t="s">
        <v>63</v>
      </c>
      <c r="B10" s="40">
        <v>4861390</v>
      </c>
      <c r="C10" s="40">
        <v>4237631</v>
      </c>
      <c r="D10" s="42">
        <f t="shared" si="2"/>
        <v>4549510.5</v>
      </c>
      <c r="E10" s="43">
        <v>1</v>
      </c>
      <c r="F10" s="42">
        <f t="shared" si="3"/>
        <v>4549510.5</v>
      </c>
      <c r="G10" s="28"/>
      <c r="HK10" s="21"/>
      <c r="HL10" s="21"/>
      <c r="HM10" s="21"/>
      <c r="HN10" s="21"/>
      <c r="HO10" s="21"/>
      <c r="HS10" s="22"/>
      <c r="HT10" s="22"/>
      <c r="HU10" s="23"/>
      <c r="HV10" s="23"/>
      <c r="HW10" s="23"/>
      <c r="HX10" s="23"/>
      <c r="HY10" s="23"/>
    </row>
    <row r="11" spans="1:233" ht="12" customHeight="1">
      <c r="A11" s="39" t="s">
        <v>62</v>
      </c>
      <c r="B11" s="40">
        <v>3600000</v>
      </c>
      <c r="C11" s="40">
        <v>3600000</v>
      </c>
      <c r="D11" s="42">
        <f t="shared" si="0"/>
        <v>3600000</v>
      </c>
      <c r="E11" s="43">
        <v>1</v>
      </c>
      <c r="F11" s="42">
        <f t="shared" si="1"/>
        <v>3600000</v>
      </c>
      <c r="G11" s="28"/>
      <c r="HK11" s="21"/>
      <c r="HL11" s="21"/>
      <c r="HM11" s="21"/>
      <c r="HN11" s="21"/>
      <c r="HO11" s="21"/>
      <c r="HS11" s="22"/>
      <c r="HT11" s="22"/>
      <c r="HU11" s="23"/>
      <c r="HV11" s="23"/>
      <c r="HW11" s="23"/>
      <c r="HX11" s="23"/>
      <c r="HY11" s="23"/>
    </row>
    <row r="12" spans="1:233" ht="12" customHeight="1">
      <c r="A12" s="39" t="s">
        <v>51</v>
      </c>
      <c r="B12" s="40">
        <f>1800000+1800000+3076610+1784780+269025+335429+647692+152434+720000+720000+720000</f>
        <v>12025970</v>
      </c>
      <c r="C12" s="40">
        <f>1800000+1800000+2486498+1248939+12323+218522+248386+117849+529640+600000+600000+600000</f>
        <v>10262157</v>
      </c>
      <c r="D12" s="42">
        <f t="shared" ref="D12:D13" si="8">AVERAGE(B12:C12)</f>
        <v>11144063.5</v>
      </c>
      <c r="E12" s="43">
        <v>0</v>
      </c>
      <c r="F12" s="42">
        <f t="shared" ref="F12:F13" si="9">E12*D12</f>
        <v>0</v>
      </c>
      <c r="G12" s="28"/>
      <c r="HK12" s="21"/>
      <c r="HL12" s="21"/>
      <c r="HM12" s="21"/>
      <c r="HN12" s="21"/>
      <c r="HO12" s="21"/>
      <c r="HS12" s="22"/>
      <c r="HT12" s="22"/>
      <c r="HU12" s="23"/>
      <c r="HV12" s="23"/>
      <c r="HW12" s="23"/>
      <c r="HX12" s="23"/>
      <c r="HY12" s="23"/>
    </row>
    <row r="13" spans="1:233" ht="12" customHeight="1">
      <c r="A13" s="39" t="s">
        <v>61</v>
      </c>
      <c r="B13" s="40">
        <v>300000</v>
      </c>
      <c r="C13" s="40">
        <v>50000</v>
      </c>
      <c r="D13" s="42">
        <f t="shared" si="8"/>
        <v>175000</v>
      </c>
      <c r="E13" s="64">
        <v>0</v>
      </c>
      <c r="F13" s="42">
        <f t="shared" si="9"/>
        <v>0</v>
      </c>
      <c r="G13" s="65" t="s">
        <v>82</v>
      </c>
      <c r="HK13" s="21"/>
      <c r="HL13" s="21"/>
      <c r="HM13" s="21"/>
      <c r="HN13" s="21"/>
      <c r="HO13" s="21"/>
      <c r="HS13" s="22"/>
      <c r="HT13" s="22"/>
      <c r="HU13" s="23"/>
      <c r="HV13" s="23"/>
      <c r="HW13" s="23"/>
      <c r="HX13" s="23"/>
      <c r="HY13" s="23"/>
    </row>
    <row r="14" spans="1:233">
      <c r="A14" s="39" t="s">
        <v>44</v>
      </c>
      <c r="B14" s="40">
        <v>-2873066</v>
      </c>
      <c r="C14" s="40">
        <v>-2235233</v>
      </c>
      <c r="D14" s="42">
        <f t="shared" si="0"/>
        <v>-2554149.5</v>
      </c>
      <c r="E14" s="43">
        <v>1</v>
      </c>
      <c r="F14" s="42">
        <f t="shared" si="1"/>
        <v>-2554149.5</v>
      </c>
      <c r="G14" s="28"/>
      <c r="HK14" s="21"/>
      <c r="HL14" s="21"/>
      <c r="HM14" s="21"/>
      <c r="HN14" s="21"/>
      <c r="HO14" s="21"/>
      <c r="HS14" s="22"/>
      <c r="HT14" s="22"/>
      <c r="HU14" s="23"/>
      <c r="HV14" s="23"/>
      <c r="HW14" s="23"/>
      <c r="HX14" s="23"/>
      <c r="HY14" s="23"/>
    </row>
    <row r="15" spans="1:233">
      <c r="A15" s="37" t="s">
        <v>71</v>
      </c>
      <c r="B15" s="37" t="s">
        <v>48</v>
      </c>
      <c r="C15" s="37" t="s">
        <v>43</v>
      </c>
      <c r="D15" s="37" t="s">
        <v>32</v>
      </c>
      <c r="E15" s="38" t="s">
        <v>0</v>
      </c>
      <c r="F15" s="37" t="s">
        <v>33</v>
      </c>
      <c r="G15" s="28"/>
      <c r="HK15" s="21"/>
      <c r="HL15" s="21"/>
      <c r="HM15" s="21"/>
      <c r="HN15" s="21"/>
      <c r="HO15" s="21"/>
      <c r="HS15" s="22"/>
      <c r="HT15" s="22"/>
      <c r="HU15" s="23"/>
      <c r="HV15" s="23"/>
      <c r="HW15" s="23"/>
      <c r="HX15" s="23"/>
      <c r="HY15" s="23"/>
    </row>
    <row r="16" spans="1:233">
      <c r="A16" s="39" t="s">
        <v>74</v>
      </c>
      <c r="B16" s="40">
        <f>1800000+3076610</f>
        <v>4876610</v>
      </c>
      <c r="C16" s="41">
        <f>1800000+2706610</f>
        <v>4506610</v>
      </c>
      <c r="D16" s="42">
        <f>AVERAGE(B16:C16)</f>
        <v>4691610</v>
      </c>
      <c r="E16" s="43">
        <v>0</v>
      </c>
      <c r="F16" s="42">
        <f>E16*D16</f>
        <v>0</v>
      </c>
      <c r="G16" s="28"/>
      <c r="HK16" s="21"/>
      <c r="HL16" s="21"/>
      <c r="HM16" s="21"/>
      <c r="HN16" s="21"/>
      <c r="HO16" s="21"/>
      <c r="HS16" s="22"/>
      <c r="HT16" s="22"/>
      <c r="HU16" s="23"/>
      <c r="HV16" s="23"/>
      <c r="HW16" s="23"/>
      <c r="HX16" s="23"/>
      <c r="HY16" s="23"/>
    </row>
    <row r="17" spans="1:233">
      <c r="A17" s="39" t="s">
        <v>49</v>
      </c>
      <c r="B17" s="40">
        <f>13363+10163+6120+182+5440+276793</f>
        <v>312061</v>
      </c>
      <c r="C17" s="41">
        <f>39744+3060+2546+7652</f>
        <v>53002</v>
      </c>
      <c r="D17" s="42">
        <f t="shared" ref="D17:D18" si="10">AVERAGE(B17:C17)</f>
        <v>182531.5</v>
      </c>
      <c r="E17" s="43">
        <v>0.25</v>
      </c>
      <c r="F17" s="42">
        <f t="shared" ref="F17:F18" si="11">E17*D17</f>
        <v>45632.875</v>
      </c>
      <c r="G17" s="28"/>
      <c r="HK17" s="21"/>
      <c r="HL17" s="21"/>
      <c r="HM17" s="21"/>
      <c r="HN17" s="21"/>
      <c r="HO17" s="21"/>
      <c r="HS17" s="22"/>
      <c r="HT17" s="22"/>
      <c r="HU17" s="23"/>
      <c r="HV17" s="23"/>
      <c r="HW17" s="23"/>
      <c r="HX17" s="23"/>
      <c r="HY17" s="23"/>
    </row>
    <row r="18" spans="1:233">
      <c r="A18" s="39" t="s">
        <v>44</v>
      </c>
      <c r="B18" s="56">
        <v>-1359093</v>
      </c>
      <c r="C18" s="40">
        <v>-1172183</v>
      </c>
      <c r="D18" s="42">
        <f t="shared" si="10"/>
        <v>-1265638</v>
      </c>
      <c r="E18" s="43">
        <v>1</v>
      </c>
      <c r="F18" s="42">
        <f t="shared" si="11"/>
        <v>-1265638</v>
      </c>
      <c r="G18" s="65" t="s">
        <v>83</v>
      </c>
      <c r="HK18" s="21"/>
      <c r="HL18" s="21"/>
      <c r="HM18" s="21"/>
      <c r="HN18" s="21"/>
      <c r="HO18" s="21"/>
      <c r="HS18" s="22"/>
      <c r="HT18" s="22"/>
      <c r="HU18" s="23"/>
      <c r="HV18" s="23"/>
      <c r="HW18" s="23"/>
      <c r="HX18" s="23"/>
      <c r="HY18" s="23"/>
    </row>
    <row r="19" spans="1:233">
      <c r="A19" s="37" t="s">
        <v>72</v>
      </c>
      <c r="B19" s="37" t="s">
        <v>48</v>
      </c>
      <c r="C19" s="37" t="s">
        <v>43</v>
      </c>
      <c r="D19" s="37" t="s">
        <v>32</v>
      </c>
      <c r="E19" s="38" t="s">
        <v>0</v>
      </c>
      <c r="F19" s="37" t="s">
        <v>33</v>
      </c>
      <c r="G19" s="28"/>
      <c r="HK19" s="21"/>
      <c r="HL19" s="21"/>
      <c r="HM19" s="21"/>
      <c r="HN19" s="21"/>
      <c r="HO19" s="21"/>
      <c r="HS19" s="22"/>
      <c r="HT19" s="22"/>
      <c r="HU19" s="23"/>
      <c r="HV19" s="23"/>
      <c r="HW19" s="23"/>
      <c r="HX19" s="23"/>
      <c r="HY19" s="23"/>
    </row>
    <row r="20" spans="1:233">
      <c r="A20" s="39" t="s">
        <v>74</v>
      </c>
      <c r="B20" s="40">
        <f>1800000+1784780</f>
        <v>3584780</v>
      </c>
      <c r="C20" s="41">
        <f>1800000+1531021</f>
        <v>3331021</v>
      </c>
      <c r="D20" s="42">
        <f>AVERAGE(B20:C20)</f>
        <v>3457900.5</v>
      </c>
      <c r="E20" s="43">
        <v>0</v>
      </c>
      <c r="F20" s="42">
        <f>E20*D20</f>
        <v>0</v>
      </c>
      <c r="G20" s="28"/>
      <c r="HK20" s="21"/>
      <c r="HL20" s="21"/>
      <c r="HM20" s="21"/>
      <c r="HN20" s="21"/>
      <c r="HO20" s="21"/>
      <c r="HS20" s="22"/>
      <c r="HT20" s="22"/>
      <c r="HU20" s="23"/>
      <c r="HV20" s="23"/>
      <c r="HW20" s="23"/>
      <c r="HX20" s="23"/>
      <c r="HY20" s="23"/>
    </row>
    <row r="21" spans="1:233">
      <c r="A21" s="39" t="s">
        <v>49</v>
      </c>
      <c r="B21" s="40">
        <f>14280+12266</f>
        <v>26546</v>
      </c>
      <c r="C21" s="41">
        <v>32642</v>
      </c>
      <c r="D21" s="42">
        <f t="shared" ref="D21:D22" si="12">AVERAGE(B21:C21)</f>
        <v>29594</v>
      </c>
      <c r="E21" s="43">
        <v>0.25</v>
      </c>
      <c r="F21" s="42">
        <f t="shared" ref="F21:F22" si="13">E21*D21</f>
        <v>7398.5</v>
      </c>
      <c r="G21" s="28"/>
      <c r="HK21" s="21"/>
      <c r="HL21" s="21"/>
      <c r="HM21" s="21"/>
      <c r="HN21" s="21"/>
      <c r="HO21" s="21"/>
      <c r="HS21" s="22"/>
      <c r="HT21" s="22"/>
      <c r="HU21" s="23"/>
      <c r="HV21" s="23"/>
      <c r="HW21" s="23"/>
      <c r="HX21" s="23"/>
      <c r="HY21" s="23"/>
    </row>
    <row r="22" spans="1:233">
      <c r="A22" s="39" t="s">
        <v>44</v>
      </c>
      <c r="B22" s="56">
        <v>-874015</v>
      </c>
      <c r="C22" s="40">
        <v>-809485</v>
      </c>
      <c r="D22" s="42">
        <f t="shared" si="12"/>
        <v>-841750</v>
      </c>
      <c r="E22" s="43">
        <v>1</v>
      </c>
      <c r="F22" s="42">
        <f t="shared" si="13"/>
        <v>-841750</v>
      </c>
      <c r="G22" s="65" t="s">
        <v>83</v>
      </c>
      <c r="HK22" s="21"/>
      <c r="HL22" s="21"/>
      <c r="HM22" s="21"/>
      <c r="HN22" s="21"/>
      <c r="HO22" s="21"/>
      <c r="HS22" s="22"/>
      <c r="HT22" s="22"/>
      <c r="HU22" s="23"/>
      <c r="HV22" s="23"/>
      <c r="HW22" s="23"/>
      <c r="HX22" s="23"/>
      <c r="HY22" s="23"/>
    </row>
    <row r="23" spans="1:233">
      <c r="A23" s="44" t="s">
        <v>34</v>
      </c>
      <c r="B23" s="45"/>
      <c r="C23" s="45"/>
      <c r="D23" s="45"/>
      <c r="E23" s="45"/>
      <c r="F23" s="46">
        <f>+SUM(F2:F18)</f>
        <v>20079350.605</v>
      </c>
      <c r="G23" s="28"/>
    </row>
    <row r="24" spans="1:233" ht="16.350000000000001" customHeight="1">
      <c r="A24" s="47" t="s">
        <v>35</v>
      </c>
      <c r="B24" s="48"/>
      <c r="C24" s="48"/>
      <c r="D24" s="48"/>
      <c r="E24" s="48"/>
      <c r="F24" s="46">
        <f>F23/12</f>
        <v>1673279.2170833333</v>
      </c>
      <c r="G24" s="28"/>
    </row>
    <row r="25" spans="1:233">
      <c r="A25" s="47" t="s">
        <v>36</v>
      </c>
      <c r="B25" s="48"/>
      <c r="C25" s="48"/>
      <c r="D25" s="48"/>
      <c r="E25" s="48"/>
      <c r="F25" s="49">
        <f>RTR!M9</f>
        <v>1853597</v>
      </c>
      <c r="G25" s="28"/>
    </row>
    <row r="26" spans="1:233" ht="14.25" customHeight="1">
      <c r="A26" s="50" t="s">
        <v>45</v>
      </c>
      <c r="B26" s="50"/>
      <c r="C26" s="50"/>
      <c r="D26" s="50"/>
      <c r="E26" s="50"/>
      <c r="F26" s="51">
        <v>1</v>
      </c>
      <c r="G26" s="28"/>
    </row>
    <row r="27" spans="1:233" ht="16.350000000000001" customHeight="1">
      <c r="A27" s="47" t="s">
        <v>37</v>
      </c>
      <c r="B27" s="48"/>
      <c r="C27" s="48"/>
      <c r="D27" s="48"/>
      <c r="E27" s="48"/>
      <c r="F27" s="52">
        <f>(F24*F26)-F25</f>
        <v>-180317.78291666671</v>
      </c>
      <c r="G27" s="28"/>
    </row>
    <row r="28" spans="1:233">
      <c r="A28" s="47" t="s">
        <v>38</v>
      </c>
      <c r="B28" s="48"/>
      <c r="C28" s="48"/>
      <c r="D28" s="48"/>
      <c r="E28" s="48"/>
      <c r="F28" s="50">
        <v>180</v>
      </c>
      <c r="G28" s="28"/>
    </row>
    <row r="29" spans="1:233" ht="15" customHeight="1">
      <c r="A29" s="47" t="s">
        <v>39</v>
      </c>
      <c r="B29" s="48"/>
      <c r="C29" s="48"/>
      <c r="D29" s="48"/>
      <c r="E29" s="48"/>
      <c r="F29" s="51">
        <v>9.7500000000000003E-2</v>
      </c>
      <c r="G29" s="28"/>
    </row>
    <row r="30" spans="1:233">
      <c r="A30" s="47" t="s">
        <v>40</v>
      </c>
      <c r="B30" s="48"/>
      <c r="C30" s="48"/>
      <c r="D30" s="48"/>
      <c r="E30" s="48"/>
      <c r="F30" s="53">
        <f>PMT(F29/12,F28,-100000)</f>
        <v>1059.362663542757</v>
      </c>
      <c r="G30" s="28"/>
    </row>
    <row r="31" spans="1:233">
      <c r="A31" s="47" t="s">
        <v>41</v>
      </c>
      <c r="B31" s="48"/>
      <c r="C31" s="48"/>
      <c r="D31" s="48"/>
      <c r="E31" s="48"/>
      <c r="F31" s="54">
        <f>F27/F30</f>
        <v>-170.21345864091697</v>
      </c>
      <c r="G31" s="28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1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X9"/>
  <sheetViews>
    <sheetView tabSelected="1" zoomScale="142" zoomScaleNormal="142" zoomScaleSheetLayoutView="124" workbookViewId="0">
      <selection activeCell="M8" sqref="M8"/>
    </sheetView>
  </sheetViews>
  <sheetFormatPr defaultColWidth="22.140625" defaultRowHeight="10.5"/>
  <cols>
    <col min="1" max="1" width="5.7109375" style="60" bestFit="1" customWidth="1"/>
    <col min="2" max="2" width="13.5703125" style="60" bestFit="1" customWidth="1"/>
    <col min="3" max="4" width="12.5703125" style="60" bestFit="1" customWidth="1"/>
    <col min="5" max="6" width="9" style="60" bestFit="1" customWidth="1"/>
    <col min="7" max="7" width="12" style="60" bestFit="1" customWidth="1"/>
    <col min="8" max="8" width="9" style="60" bestFit="1" customWidth="1"/>
    <col min="9" max="9" width="6" style="60" bestFit="1" customWidth="1"/>
    <col min="10" max="10" width="8.85546875" style="60" bestFit="1" customWidth="1"/>
    <col min="11" max="11" width="8.42578125" style="60" bestFit="1" customWidth="1"/>
    <col min="12" max="12" width="7.140625" style="60" bestFit="1" customWidth="1"/>
    <col min="13" max="13" width="12.28515625" style="60" bestFit="1" customWidth="1"/>
    <col min="14" max="14" width="19.5703125" style="60" bestFit="1" customWidth="1"/>
    <col min="15" max="232" width="22.140625" style="60"/>
    <col min="233" max="16384" width="22.140625" style="61"/>
  </cols>
  <sheetData>
    <row r="1" spans="1:232" s="59" customFormat="1" ht="12">
      <c r="A1" s="57" t="s">
        <v>1</v>
      </c>
      <c r="B1" s="57" t="s">
        <v>81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75</v>
      </c>
      <c r="H1" s="57" t="s">
        <v>46</v>
      </c>
      <c r="I1" s="57" t="s">
        <v>6</v>
      </c>
      <c r="J1" s="57" t="s">
        <v>7</v>
      </c>
      <c r="K1" s="57" t="s">
        <v>8</v>
      </c>
      <c r="L1" s="57" t="s">
        <v>9</v>
      </c>
      <c r="M1" s="57" t="s">
        <v>42</v>
      </c>
      <c r="N1" s="35" t="s">
        <v>58</v>
      </c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  <c r="HG1" s="58"/>
      <c r="HH1" s="58"/>
      <c r="HI1" s="58"/>
      <c r="HJ1" s="58"/>
      <c r="HK1" s="58"/>
      <c r="HL1" s="58"/>
      <c r="HM1" s="58"/>
      <c r="HN1" s="58"/>
      <c r="HO1" s="58"/>
      <c r="HP1" s="58"/>
      <c r="HQ1" s="58"/>
      <c r="HR1" s="58"/>
      <c r="HS1" s="58"/>
      <c r="HT1" s="58"/>
      <c r="HU1" s="58"/>
      <c r="HV1" s="58"/>
      <c r="HW1" s="58"/>
    </row>
    <row r="2" spans="1:232" ht="12">
      <c r="A2" s="24">
        <v>1</v>
      </c>
      <c r="B2" s="30">
        <v>99284229</v>
      </c>
      <c r="C2" s="24" t="s">
        <v>60</v>
      </c>
      <c r="D2" s="24" t="s">
        <v>55</v>
      </c>
      <c r="E2" s="29" t="s">
        <v>56</v>
      </c>
      <c r="F2" s="30">
        <v>6700000</v>
      </c>
      <c r="G2" s="62">
        <v>43897</v>
      </c>
      <c r="H2" s="31">
        <v>3931256</v>
      </c>
      <c r="I2" s="31">
        <v>36</v>
      </c>
      <c r="J2" s="31">
        <v>16</v>
      </c>
      <c r="K2" s="31">
        <f>36-16</f>
        <v>20</v>
      </c>
      <c r="L2" s="30">
        <v>211518</v>
      </c>
      <c r="M2" s="25" t="s">
        <v>52</v>
      </c>
      <c r="N2" s="33" t="s">
        <v>76</v>
      </c>
      <c r="HX2" s="61"/>
    </row>
    <row r="3" spans="1:232" ht="12">
      <c r="A3" s="24">
        <v>2</v>
      </c>
      <c r="B3" s="30">
        <v>48085124</v>
      </c>
      <c r="C3" s="24" t="s">
        <v>60</v>
      </c>
      <c r="D3" s="24" t="s">
        <v>55</v>
      </c>
      <c r="E3" s="29" t="s">
        <v>56</v>
      </c>
      <c r="F3" s="30">
        <v>8937000</v>
      </c>
      <c r="G3" s="62">
        <v>42921</v>
      </c>
      <c r="H3" s="31">
        <v>4484104</v>
      </c>
      <c r="I3" s="31">
        <v>84</v>
      </c>
      <c r="J3" s="31">
        <v>48</v>
      </c>
      <c r="K3" s="31">
        <f>84-48</f>
        <v>36</v>
      </c>
      <c r="L3" s="30">
        <v>141570</v>
      </c>
      <c r="M3" s="25" t="s">
        <v>52</v>
      </c>
      <c r="N3" s="33" t="s">
        <v>76</v>
      </c>
      <c r="HX3" s="61"/>
    </row>
    <row r="4" spans="1:232" ht="12">
      <c r="A4" s="32">
        <v>3</v>
      </c>
      <c r="B4" s="33">
        <v>83347157</v>
      </c>
      <c r="C4" s="33" t="s">
        <v>60</v>
      </c>
      <c r="D4" s="33" t="s">
        <v>55</v>
      </c>
      <c r="E4" s="33" t="s">
        <v>77</v>
      </c>
      <c r="F4" s="33">
        <v>24100000</v>
      </c>
      <c r="G4" s="63">
        <v>43380</v>
      </c>
      <c r="H4" s="33">
        <v>19476351</v>
      </c>
      <c r="I4" s="33">
        <v>120</v>
      </c>
      <c r="J4" s="33">
        <v>33</v>
      </c>
      <c r="K4" s="33">
        <f>120-33</f>
        <v>87</v>
      </c>
      <c r="L4" s="30">
        <v>306594</v>
      </c>
      <c r="M4" s="25" t="s">
        <v>52</v>
      </c>
      <c r="N4" s="33" t="s">
        <v>76</v>
      </c>
      <c r="HX4" s="61"/>
    </row>
    <row r="5" spans="1:232" ht="12">
      <c r="A5" s="24">
        <v>4</v>
      </c>
      <c r="B5" s="30">
        <v>83250744</v>
      </c>
      <c r="C5" s="24" t="s">
        <v>60</v>
      </c>
      <c r="D5" s="24" t="s">
        <v>55</v>
      </c>
      <c r="E5" s="29" t="s">
        <v>78</v>
      </c>
      <c r="F5" s="30">
        <v>10000000</v>
      </c>
      <c r="G5" s="62">
        <v>43380</v>
      </c>
      <c r="H5" s="31">
        <v>5059682</v>
      </c>
      <c r="I5" s="31">
        <v>60</v>
      </c>
      <c r="J5" s="31">
        <v>33</v>
      </c>
      <c r="K5" s="31">
        <f>60-33</f>
        <v>27</v>
      </c>
      <c r="L5" s="30">
        <v>207827</v>
      </c>
      <c r="M5" s="25" t="s">
        <v>52</v>
      </c>
      <c r="N5" s="33" t="s">
        <v>76</v>
      </c>
      <c r="HX5" s="61"/>
    </row>
    <row r="6" spans="1:232" ht="12">
      <c r="A6" s="24">
        <v>5</v>
      </c>
      <c r="B6" s="30">
        <v>8111148</v>
      </c>
      <c r="C6" s="24" t="s">
        <v>60</v>
      </c>
      <c r="D6" s="24" t="s">
        <v>55</v>
      </c>
      <c r="E6" s="29" t="s">
        <v>80</v>
      </c>
      <c r="F6" s="30">
        <v>15907400</v>
      </c>
      <c r="G6" s="62">
        <v>44019</v>
      </c>
      <c r="H6" s="31">
        <v>15907400</v>
      </c>
      <c r="I6" s="31">
        <v>48</v>
      </c>
      <c r="J6" s="31">
        <v>12</v>
      </c>
      <c r="K6" s="31">
        <f>48-12</f>
        <v>36</v>
      </c>
      <c r="L6" s="30">
        <v>500317</v>
      </c>
      <c r="M6" s="25" t="s">
        <v>52</v>
      </c>
      <c r="N6" s="33" t="s">
        <v>76</v>
      </c>
      <c r="HX6" s="61"/>
    </row>
    <row r="7" spans="1:232" ht="12">
      <c r="A7" s="24">
        <v>6</v>
      </c>
      <c r="B7" s="30">
        <v>25544106</v>
      </c>
      <c r="C7" s="24" t="s">
        <v>60</v>
      </c>
      <c r="D7" s="24" t="s">
        <v>79</v>
      </c>
      <c r="E7" s="29" t="s">
        <v>77</v>
      </c>
      <c r="F7" s="30">
        <v>15000000</v>
      </c>
      <c r="G7" s="62">
        <v>43771</v>
      </c>
      <c r="H7" s="31">
        <v>7235793</v>
      </c>
      <c r="I7" s="31">
        <v>36</v>
      </c>
      <c r="J7" s="31">
        <v>20</v>
      </c>
      <c r="K7" s="31">
        <v>16</v>
      </c>
      <c r="L7" s="30">
        <v>485771</v>
      </c>
      <c r="M7" s="25" t="s">
        <v>52</v>
      </c>
      <c r="N7" s="33" t="s">
        <v>76</v>
      </c>
      <c r="HX7" s="61"/>
    </row>
    <row r="8" spans="1:232" ht="12">
      <c r="A8" s="24">
        <v>7</v>
      </c>
      <c r="B8" s="30">
        <v>50200032447792</v>
      </c>
      <c r="C8" s="24" t="s">
        <v>60</v>
      </c>
      <c r="D8" s="24" t="s">
        <v>55</v>
      </c>
      <c r="E8" s="29" t="s">
        <v>57</v>
      </c>
      <c r="F8" s="30">
        <f>65000000+30000000</f>
        <v>95000000</v>
      </c>
      <c r="G8" s="62"/>
      <c r="H8" s="31"/>
      <c r="I8" s="31"/>
      <c r="J8" s="31"/>
      <c r="K8" s="31"/>
      <c r="L8" s="30"/>
      <c r="M8" s="25" t="s">
        <v>52</v>
      </c>
      <c r="N8" s="34"/>
      <c r="HX8" s="61"/>
    </row>
    <row r="9" spans="1:232" ht="12">
      <c r="A9" s="26"/>
      <c r="B9" s="24"/>
      <c r="C9" s="24"/>
      <c r="D9" s="24"/>
      <c r="E9" s="24"/>
      <c r="F9" s="36"/>
      <c r="G9" s="36"/>
      <c r="H9" s="24"/>
      <c r="I9" s="24"/>
      <c r="J9" s="24"/>
      <c r="K9" s="24"/>
      <c r="L9" s="24"/>
      <c r="M9" s="27">
        <f>SUMIF(M2:M8,"Y",L2:L8)</f>
        <v>1853597</v>
      </c>
      <c r="N9" s="3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75" firstPageNumber="0" orientation="landscape" horizontalDpi="300" verticalDpi="300" r:id="rId1"/>
  <headerFooter alignWithMargins="0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9" t="s">
        <v>10</v>
      </c>
      <c r="B1" s="69"/>
      <c r="C1" s="2"/>
    </row>
    <row r="2" spans="1:6" ht="14.25" customHeight="1">
      <c r="A2" s="69" t="s">
        <v>11</v>
      </c>
      <c r="B2" s="69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2021-06-11T08:41:47Z</cp:lastPrinted>
  <dcterms:created xsi:type="dcterms:W3CDTF">2015-09-25T09:25:31Z</dcterms:created>
  <dcterms:modified xsi:type="dcterms:W3CDTF">2021-06-25T08:13:20Z</dcterms:modified>
</cp:coreProperties>
</file>