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7"/>
  <c r="J16"/>
  <c r="I16"/>
  <c r="H16"/>
  <c r="G16"/>
  <c r="F16"/>
  <c r="E16"/>
  <c r="K16" l="1"/>
  <c r="I2" i="2" l="1"/>
  <c r="I3"/>
  <c r="K6"/>
  <c r="C9" i="1"/>
  <c r="B9"/>
  <c r="D9" s="1"/>
  <c r="F9" s="1"/>
  <c r="C8"/>
  <c r="D13"/>
  <c r="F13" s="1"/>
  <c r="D12"/>
  <c r="F12" s="1"/>
  <c r="D10"/>
  <c r="F10" s="1"/>
  <c r="D11"/>
  <c r="F11" s="1"/>
  <c r="B8"/>
  <c r="D5" l="1"/>
  <c r="F5" s="1"/>
  <c r="D6"/>
  <c r="F6" s="1"/>
  <c r="D8"/>
  <c r="D3"/>
  <c r="D4"/>
  <c r="D7"/>
  <c r="D14"/>
  <c r="D17" l="1"/>
  <c r="F17" s="1"/>
  <c r="F8"/>
  <c r="D18"/>
  <c r="F18" s="1"/>
  <c r="D16"/>
  <c r="F16" s="1"/>
  <c r="F3" l="1"/>
  <c r="F4"/>
  <c r="F7"/>
  <c r="F14"/>
  <c r="E13" i="5"/>
  <c r="F12"/>
  <c r="F11"/>
  <c r="F10"/>
  <c r="F9"/>
  <c r="F8"/>
  <c r="F7"/>
  <c r="F6"/>
  <c r="F13"/>
  <c r="F21" i="1"/>
  <c r="F26"/>
  <c r="F19" l="1"/>
  <c r="F20" s="1"/>
  <c r="F23" s="1"/>
  <c r="F27" s="1"/>
</calcChain>
</file>

<file path=xl/sharedStrings.xml><?xml version="1.0" encoding="utf-8"?>
<sst xmlns="http://schemas.openxmlformats.org/spreadsheetml/2006/main" count="111" uniqueCount="90">
  <si>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</si>
  <si>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</si>
  <si>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</si>
  <si>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</si>
  <si>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</si>
  <si>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</si>
  <si>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</si>
  <si>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</si>
  <si>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</si>
  <si>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</si>
  <si>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</si>
  <si>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</si>
  <si>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</si>
  <si>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</si>
  <si>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</si>
  <si>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</si>
  <si>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</si>
  <si>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</si>
  <si>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</si>
  <si>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</si>
  <si>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</si>
  <si>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</si>
  <si>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</si>
  <si>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</si>
  <si>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</si>
  <si>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</si>
  <si>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</si>
  <si>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</si>
  <si>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</si>
  <si>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</si>
  <si>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</si>
  <si>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</si>
  <si>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</si>
  <si>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</si>
  <si>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</si>
  <si>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</si>
  <si>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</si>
  <si>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</si>
  <si>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</si>
  <si>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</si>
  <si>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</si>
  <si>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</si>
  <si>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</si>
  <si>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</si>
  <si>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</si>
  <si>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</si>
  <si>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</si>
  <si>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</si>
  <si>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</si>
  <si>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</si>
  <si>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</si>
  <si>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</si>
  <si>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HDFC Bank</t>
  </si>
  <si>
    <t>Net Profit</t>
  </si>
  <si>
    <t>Depreciation</t>
  </si>
  <si>
    <t>Interest To Unsecured Loans</t>
  </si>
  <si>
    <t>Payment Made u/s 40 2 (A)b</t>
  </si>
  <si>
    <t>Income From House Property</t>
  </si>
  <si>
    <t>Income From Other Sources</t>
  </si>
  <si>
    <t>Interest On Vehicle Loan</t>
  </si>
  <si>
    <t>Interest To Bank (Limit)</t>
  </si>
  <si>
    <t xml:space="preserve">Date's </t>
  </si>
  <si>
    <t>Aug</t>
  </si>
  <si>
    <t>Oct</t>
  </si>
  <si>
    <t>Nov</t>
  </si>
  <si>
    <t>7th</t>
  </si>
  <si>
    <t>14th</t>
  </si>
  <si>
    <t>21st</t>
  </si>
  <si>
    <t>28th</t>
  </si>
  <si>
    <t>Total</t>
  </si>
  <si>
    <t>Eligibilty In Lacs</t>
  </si>
  <si>
    <t>Dec</t>
  </si>
  <si>
    <t>Jan</t>
  </si>
  <si>
    <t>Repayment</t>
  </si>
  <si>
    <t>Ludhiana Construction Co.</t>
  </si>
  <si>
    <t>Ludhiana Construction Co (Prop. Satish Kumar)</t>
  </si>
  <si>
    <t>Co-Applicants To Be Add</t>
  </si>
  <si>
    <t xml:space="preserve">Net Profit From A I Transport </t>
  </si>
  <si>
    <t>Depreciation // A I Transport</t>
  </si>
  <si>
    <t>Share In Partnership Firm ( Alliance Waste Management)</t>
  </si>
  <si>
    <t>Rupinder Kaur Mann</t>
  </si>
  <si>
    <t>Business Income u/s 44AD</t>
  </si>
  <si>
    <t>Account No. 50200017926137</t>
  </si>
  <si>
    <t>Satnam Singh Mann</t>
  </si>
  <si>
    <t>Auto Loan</t>
  </si>
  <si>
    <t>n</t>
  </si>
  <si>
    <t>Ludhiana Construction</t>
  </si>
  <si>
    <t>CV</t>
  </si>
  <si>
    <t>Sept</t>
  </si>
  <si>
    <t xml:space="preserve">HDFC Bank A/c No. 50200017926137 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</si>
</sst>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20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.5"/>
      <color rgb="FFFF0000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8" fillId="0" borderId="0"/>
  </cellStyleXfs>
  <cellXfs count="82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center"/>
    </xf>
    <xf numFmtId="9" fontId="12" fillId="6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10" borderId="5" xfId="0" applyFont="1" applyFill="1" applyBorder="1" applyAlignment="1">
      <alignment horizontal="center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6" xfId="0" applyFont="1" applyFill="1" applyBorder="1" applyAlignment="1">
      <alignment horizontal="center" vertical="center"/>
    </xf>
    <xf numFmtId="0" fontId="16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9" fillId="6" borderId="0" xfId="3" applyFont="1" applyFill="1" applyBorder="1" applyAlignment="1">
      <alignment vertical="top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7"/>
  <sheetViews>
    <sheetView tabSelected="1" zoomScale="107" zoomScaleNormal="107" workbookViewId="0">
      <selection activeCell="F26" sqref="F26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6.85" customHeight="1">
      <c r="A1" s="62" t="s">
        <v>74</v>
      </c>
      <c r="B1" s="65" t="s">
        <v>0</v>
      </c>
      <c r="C1" s="65"/>
      <c r="D1" s="25" t="s">
        <v>1</v>
      </c>
      <c r="E1" s="25"/>
      <c r="F1" s="25" t="s">
        <v>2</v>
      </c>
    </row>
    <row r="2" spans="1:7" ht="12.75" customHeight="1">
      <c r="A2" s="26" t="s">
        <v>75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7">
      <c r="A3" s="29" t="s">
        <v>53</v>
      </c>
      <c r="B3" s="30">
        <v>2298518.09</v>
      </c>
      <c r="C3" s="31">
        <v>2910699.69</v>
      </c>
      <c r="D3" s="32">
        <f>AVERAGE(B3:C3)</f>
        <v>2604608.8899999997</v>
      </c>
      <c r="E3" s="33">
        <v>1</v>
      </c>
      <c r="F3" s="32">
        <f t="shared" ref="F3:F14" si="0">E3*D3</f>
        <v>2604608.8899999997</v>
      </c>
    </row>
    <row r="4" spans="1:7">
      <c r="A4" s="29" t="s">
        <v>54</v>
      </c>
      <c r="B4" s="30">
        <v>2619868</v>
      </c>
      <c r="C4" s="31">
        <v>2908409</v>
      </c>
      <c r="D4" s="32">
        <f t="shared" ref="D4:D14" si="1">AVERAGE(B4:C4)</f>
        <v>2764138.5</v>
      </c>
      <c r="E4" s="33">
        <v>1</v>
      </c>
      <c r="F4" s="32">
        <f t="shared" si="0"/>
        <v>2764138.5</v>
      </c>
    </row>
    <row r="5" spans="1:7" ht="15" customHeight="1">
      <c r="A5" s="29" t="s">
        <v>60</v>
      </c>
      <c r="B5" s="30">
        <v>855552</v>
      </c>
      <c r="C5" s="31">
        <v>567138.81999999995</v>
      </c>
      <c r="D5" s="32">
        <f t="shared" si="1"/>
        <v>711345.40999999992</v>
      </c>
      <c r="E5" s="33">
        <v>1</v>
      </c>
      <c r="F5" s="32">
        <f t="shared" ref="F5" si="2">E5*D5</f>
        <v>711345.40999999992</v>
      </c>
    </row>
    <row r="6" spans="1:7" ht="15" customHeight="1">
      <c r="A6" s="29" t="s">
        <v>59</v>
      </c>
      <c r="B6" s="30">
        <v>440628.88</v>
      </c>
      <c r="C6" s="31">
        <v>720710.03</v>
      </c>
      <c r="D6" s="32">
        <f t="shared" ref="D6" si="3">AVERAGE(B6:C6)</f>
        <v>580669.45500000007</v>
      </c>
      <c r="E6" s="33">
        <v>1</v>
      </c>
      <c r="F6" s="32">
        <f t="shared" ref="F6" si="4">E6*D6</f>
        <v>580669.45500000007</v>
      </c>
    </row>
    <row r="7" spans="1:7" ht="15" customHeight="1">
      <c r="A7" s="29" t="s">
        <v>55</v>
      </c>
      <c r="B7" s="30">
        <v>1014811</v>
      </c>
      <c r="C7" s="31">
        <v>0</v>
      </c>
      <c r="D7" s="32">
        <f t="shared" si="1"/>
        <v>507405.5</v>
      </c>
      <c r="E7" s="33">
        <v>0</v>
      </c>
      <c r="F7" s="32">
        <f t="shared" ref="F7" si="5">E7*D7</f>
        <v>0</v>
      </c>
    </row>
    <row r="8" spans="1:7" ht="15" customHeight="1">
      <c r="A8" s="29" t="s">
        <v>56</v>
      </c>
      <c r="B8" s="30">
        <f>156000+248133+47194+260112+125253+40889+52405+43452+164158+19403+13812</f>
        <v>1170811</v>
      </c>
      <c r="C8" s="31">
        <f>156000+227645+43297+224861+114911+37513+50000+55092+153268</f>
        <v>1062587</v>
      </c>
      <c r="D8" s="32">
        <f t="shared" ref="D8:D10" si="6">AVERAGE(B8:C8)</f>
        <v>1116699</v>
      </c>
      <c r="E8" s="33">
        <v>0</v>
      </c>
      <c r="F8" s="32">
        <f t="shared" ref="F8:F10" si="7">E8*D8</f>
        <v>0</v>
      </c>
      <c r="G8" s="81" t="s">
        <v>76</v>
      </c>
    </row>
    <row r="9" spans="1:7" ht="27">
      <c r="A9" s="29" t="s">
        <v>79</v>
      </c>
      <c r="B9" s="30">
        <f>60000+41946</f>
        <v>101946</v>
      </c>
      <c r="C9" s="31">
        <f>60000+36880</f>
        <v>96880</v>
      </c>
      <c r="D9" s="51">
        <f t="shared" ref="D9" si="8">AVERAGE(B9:C9)</f>
        <v>99413</v>
      </c>
      <c r="E9" s="52">
        <v>1</v>
      </c>
      <c r="F9" s="51">
        <f t="shared" ref="F9" si="9">E9*D9</f>
        <v>99413</v>
      </c>
      <c r="G9" s="81"/>
    </row>
    <row r="10" spans="1:7" ht="15" customHeight="1">
      <c r="A10" s="29" t="s">
        <v>57</v>
      </c>
      <c r="B10" s="30">
        <v>35000</v>
      </c>
      <c r="C10" s="31">
        <v>0</v>
      </c>
      <c r="D10" s="32">
        <f t="shared" si="6"/>
        <v>17500</v>
      </c>
      <c r="E10" s="33">
        <v>0.5</v>
      </c>
      <c r="F10" s="32">
        <f t="shared" si="7"/>
        <v>8750</v>
      </c>
      <c r="G10" s="81"/>
    </row>
    <row r="11" spans="1:7" ht="15" customHeight="1">
      <c r="A11" s="29" t="s">
        <v>58</v>
      </c>
      <c r="B11" s="30">
        <v>57503</v>
      </c>
      <c r="C11" s="31">
        <v>44730</v>
      </c>
      <c r="D11" s="32">
        <f t="shared" ref="D11" si="10">AVERAGE(B11:C11)</f>
        <v>51116.5</v>
      </c>
      <c r="E11" s="33">
        <v>0.5</v>
      </c>
      <c r="F11" s="32">
        <f t="shared" ref="F11:F13" si="11">E11*D11</f>
        <v>25558.25</v>
      </c>
      <c r="G11" s="81"/>
    </row>
    <row r="12" spans="1:7">
      <c r="A12" s="29" t="s">
        <v>77</v>
      </c>
      <c r="B12" s="30">
        <v>1982317</v>
      </c>
      <c r="C12" s="31">
        <v>1111599</v>
      </c>
      <c r="D12" s="32">
        <f>AVERAGE(B12:C12)</f>
        <v>1546958</v>
      </c>
      <c r="E12" s="33">
        <v>0</v>
      </c>
      <c r="F12" s="32">
        <f t="shared" si="11"/>
        <v>0</v>
      </c>
    </row>
    <row r="13" spans="1:7">
      <c r="A13" s="29" t="s">
        <v>78</v>
      </c>
      <c r="B13" s="30">
        <v>174463</v>
      </c>
      <c r="C13" s="31">
        <v>94304</v>
      </c>
      <c r="D13" s="32">
        <f t="shared" ref="D13" si="12">AVERAGE(B13:C13)</f>
        <v>134383.5</v>
      </c>
      <c r="E13" s="33">
        <v>0</v>
      </c>
      <c r="F13" s="32">
        <f t="shared" si="11"/>
        <v>0</v>
      </c>
    </row>
    <row r="14" spans="1:7">
      <c r="A14" s="29" t="s">
        <v>7</v>
      </c>
      <c r="B14" s="30">
        <v>-1159233</v>
      </c>
      <c r="C14" s="30">
        <v>-1042297</v>
      </c>
      <c r="D14" s="32">
        <f t="shared" si="1"/>
        <v>-1100765</v>
      </c>
      <c r="E14" s="33">
        <v>1</v>
      </c>
      <c r="F14" s="32">
        <f t="shared" si="0"/>
        <v>-1100765</v>
      </c>
    </row>
    <row r="15" spans="1:7" ht="12.75" customHeight="1">
      <c r="A15" s="26" t="s">
        <v>80</v>
      </c>
      <c r="B15" s="27" t="s">
        <v>51</v>
      </c>
      <c r="C15" s="27" t="s">
        <v>3</v>
      </c>
      <c r="D15" s="27" t="s">
        <v>4</v>
      </c>
      <c r="E15" s="28" t="s">
        <v>5</v>
      </c>
      <c r="F15" s="27" t="s">
        <v>6</v>
      </c>
    </row>
    <row r="16" spans="1:7">
      <c r="A16" s="29" t="s">
        <v>81</v>
      </c>
      <c r="B16" s="30">
        <v>886920</v>
      </c>
      <c r="C16" s="31">
        <v>520112</v>
      </c>
      <c r="D16" s="32">
        <f>AVERAGE(B16:C16)</f>
        <v>703516</v>
      </c>
      <c r="E16" s="33">
        <v>0</v>
      </c>
      <c r="F16" s="32">
        <f t="shared" ref="F16:F18" si="13">E16*D16</f>
        <v>0</v>
      </c>
    </row>
    <row r="17" spans="1:6">
      <c r="A17" s="29" t="s">
        <v>58</v>
      </c>
      <c r="B17" s="30">
        <v>66901</v>
      </c>
      <c r="C17" s="31">
        <v>86955</v>
      </c>
      <c r="D17" s="32">
        <f t="shared" ref="D17" si="14">AVERAGE(B17:C17)</f>
        <v>76928</v>
      </c>
      <c r="E17" s="33">
        <v>0.5</v>
      </c>
      <c r="F17" s="32">
        <f t="shared" ref="F17" si="15">E17*D17</f>
        <v>38464</v>
      </c>
    </row>
    <row r="18" spans="1:6" ht="12.75" customHeight="1">
      <c r="A18" s="29" t="s">
        <v>7</v>
      </c>
      <c r="B18" s="30">
        <v>-74117</v>
      </c>
      <c r="C18" s="30">
        <v>-10150</v>
      </c>
      <c r="D18" s="32">
        <f t="shared" ref="D18" si="16">AVERAGE(B18:C18)</f>
        <v>-42133.5</v>
      </c>
      <c r="E18" s="33">
        <v>1</v>
      </c>
      <c r="F18" s="32">
        <f t="shared" si="13"/>
        <v>-42133.5</v>
      </c>
    </row>
    <row r="19" spans="1:6" ht="15.4" customHeight="1">
      <c r="A19" s="34" t="s">
        <v>8</v>
      </c>
      <c r="B19" s="66"/>
      <c r="C19" s="67"/>
      <c r="D19" s="67"/>
      <c r="E19" s="68"/>
      <c r="F19" s="35">
        <f>+SUM(F3:F18)</f>
        <v>5690049.0049999999</v>
      </c>
    </row>
    <row r="20" spans="1:6" ht="16.350000000000001" customHeight="1">
      <c r="A20" s="36" t="s">
        <v>9</v>
      </c>
      <c r="B20" s="69"/>
      <c r="C20" s="70"/>
      <c r="D20" s="70"/>
      <c r="E20" s="71"/>
      <c r="F20" s="35">
        <f>F19/12</f>
        <v>474170.75041666668</v>
      </c>
    </row>
    <row r="21" spans="1:6">
      <c r="A21" s="36" t="s">
        <v>10</v>
      </c>
      <c r="B21" s="69"/>
      <c r="C21" s="70"/>
      <c r="D21" s="70"/>
      <c r="E21" s="71"/>
      <c r="F21" s="32">
        <f>RTR!K6</f>
        <v>271598</v>
      </c>
    </row>
    <row r="22" spans="1:6" ht="16.350000000000001" customHeight="1">
      <c r="A22" s="37" t="s">
        <v>11</v>
      </c>
      <c r="B22" s="72"/>
      <c r="C22" s="73"/>
      <c r="D22" s="73"/>
      <c r="E22" s="74"/>
      <c r="F22" s="38">
        <v>1.25</v>
      </c>
    </row>
    <row r="23" spans="1:6" ht="16.350000000000001" customHeight="1">
      <c r="A23" s="36" t="s">
        <v>12</v>
      </c>
      <c r="B23" s="64"/>
      <c r="C23" s="64"/>
      <c r="D23" s="64"/>
      <c r="E23" s="64"/>
      <c r="F23" s="39">
        <f>(F20*F22)-F21</f>
        <v>321115.4380208333</v>
      </c>
    </row>
    <row r="24" spans="1:6" ht="16.350000000000001" customHeight="1">
      <c r="A24" s="36" t="s">
        <v>13</v>
      </c>
      <c r="B24" s="64"/>
      <c r="C24" s="64"/>
      <c r="D24" s="64"/>
      <c r="E24" s="64"/>
      <c r="F24" s="40">
        <v>180</v>
      </c>
    </row>
    <row r="25" spans="1:6" ht="14.25" customHeight="1">
      <c r="A25" s="36" t="s">
        <v>14</v>
      </c>
      <c r="B25" s="64"/>
      <c r="C25" s="64"/>
      <c r="D25" s="64"/>
      <c r="E25" s="64"/>
      <c r="F25" s="38">
        <v>0.105</v>
      </c>
    </row>
    <row r="26" spans="1:6">
      <c r="A26" s="36" t="s">
        <v>15</v>
      </c>
      <c r="B26" s="64"/>
      <c r="C26" s="64"/>
      <c r="D26" s="64"/>
      <c r="E26" s="64"/>
      <c r="F26" s="41">
        <f>PMT(F25/12,F24,-100000)</f>
        <v>1105.3989236971659</v>
      </c>
    </row>
    <row r="27" spans="1:6">
      <c r="A27" s="36" t="s">
        <v>16</v>
      </c>
      <c r="B27" s="64"/>
      <c r="C27" s="64"/>
      <c r="D27" s="64"/>
      <c r="E27" s="64"/>
      <c r="F27" s="42">
        <f>F23/F26</f>
        <v>290.49733190151522</v>
      </c>
    </row>
  </sheetData>
  <sheetProtection selectLockedCells="1" selectUnlockedCells="1"/>
  <mergeCells count="10">
    <mergeCell ref="B1:C1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zoomScale="89" zoomScaleNormal="89" workbookViewId="0">
      <selection activeCell="G13" sqref="G13"/>
    </sheetView>
  </sheetViews>
  <sheetFormatPr defaultColWidth="22.140625" defaultRowHeight="13.5"/>
  <cols>
    <col min="1" max="1" width="5.42578125" style="43" customWidth="1"/>
    <col min="2" max="2" width="21.28515625" style="43" customWidth="1"/>
    <col min="3" max="3" width="25.85546875" style="43" customWidth="1"/>
    <col min="4" max="4" width="18.5703125" style="43" customWidth="1"/>
    <col min="5" max="5" width="13.28515625" style="43" customWidth="1"/>
    <col min="6" max="6" width="10.28515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12" width="36.7109375" style="43" customWidth="1"/>
    <col min="13" max="248" width="22.140625" style="43"/>
    <col min="249" max="16384" width="22.140625" style="44"/>
  </cols>
  <sheetData>
    <row r="1" spans="1:12" ht="27">
      <c r="A1" s="61" t="s">
        <v>17</v>
      </c>
      <c r="B1" s="61" t="s">
        <v>18</v>
      </c>
      <c r="C1" s="61" t="s">
        <v>19</v>
      </c>
      <c r="D1" s="61" t="s">
        <v>20</v>
      </c>
      <c r="E1" s="61" t="s">
        <v>21</v>
      </c>
      <c r="F1" s="61" t="s">
        <v>22</v>
      </c>
      <c r="G1" s="61" t="s">
        <v>23</v>
      </c>
      <c r="H1" s="61" t="s">
        <v>24</v>
      </c>
      <c r="I1" s="61" t="s">
        <v>25</v>
      </c>
      <c r="J1" s="61" t="s">
        <v>26</v>
      </c>
      <c r="K1" s="61" t="s">
        <v>27</v>
      </c>
      <c r="L1" s="63" t="s">
        <v>73</v>
      </c>
    </row>
    <row r="2" spans="1:12" ht="15.75" customHeight="1">
      <c r="A2" s="45">
        <v>1</v>
      </c>
      <c r="B2" s="46">
        <v>83810146</v>
      </c>
      <c r="C2" s="45" t="s">
        <v>86</v>
      </c>
      <c r="D2" s="45" t="s">
        <v>52</v>
      </c>
      <c r="E2" s="46" t="s">
        <v>87</v>
      </c>
      <c r="F2" s="46">
        <v>6055000</v>
      </c>
      <c r="G2" s="47">
        <v>36</v>
      </c>
      <c r="H2" s="47">
        <v>9</v>
      </c>
      <c r="I2" s="47">
        <f>36-9</f>
        <v>27</v>
      </c>
      <c r="J2" s="47">
        <v>196120</v>
      </c>
      <c r="K2" s="48" t="s">
        <v>28</v>
      </c>
      <c r="L2" s="80" t="s">
        <v>82</v>
      </c>
    </row>
    <row r="3" spans="1:12">
      <c r="A3" s="45">
        <v>2</v>
      </c>
      <c r="B3" s="46">
        <v>82774635</v>
      </c>
      <c r="C3" s="45" t="s">
        <v>86</v>
      </c>
      <c r="D3" s="45" t="s">
        <v>52</v>
      </c>
      <c r="E3" s="46" t="s">
        <v>87</v>
      </c>
      <c r="F3" s="46">
        <v>5100160</v>
      </c>
      <c r="G3" s="47">
        <v>35</v>
      </c>
      <c r="H3" s="47">
        <v>29</v>
      </c>
      <c r="I3" s="47">
        <f>35-29</f>
        <v>6</v>
      </c>
      <c r="J3" s="47">
        <v>165310</v>
      </c>
      <c r="K3" s="48" t="s">
        <v>85</v>
      </c>
      <c r="L3" s="80" t="s">
        <v>82</v>
      </c>
    </row>
    <row r="4" spans="1:12">
      <c r="A4" s="45">
        <v>3</v>
      </c>
      <c r="B4" s="46"/>
      <c r="C4" s="45" t="s">
        <v>83</v>
      </c>
      <c r="D4" s="45" t="s">
        <v>52</v>
      </c>
      <c r="E4" s="46" t="s">
        <v>84</v>
      </c>
      <c r="F4" s="46">
        <v>1603246</v>
      </c>
      <c r="G4" s="47">
        <v>24</v>
      </c>
      <c r="H4" s="47">
        <v>10</v>
      </c>
      <c r="I4" s="47">
        <v>14</v>
      </c>
      <c r="J4" s="47">
        <v>75478</v>
      </c>
      <c r="K4" s="48" t="s">
        <v>28</v>
      </c>
      <c r="L4" s="80" t="s">
        <v>82</v>
      </c>
    </row>
    <row r="5" spans="1:12">
      <c r="A5" s="45">
        <v>4</v>
      </c>
      <c r="B5" s="46">
        <v>45279041</v>
      </c>
      <c r="C5" s="45" t="s">
        <v>83</v>
      </c>
      <c r="D5" s="45" t="s">
        <v>52</v>
      </c>
      <c r="E5" s="46" t="s">
        <v>84</v>
      </c>
      <c r="F5" s="46"/>
      <c r="G5" s="47">
        <v>36</v>
      </c>
      <c r="H5" s="47">
        <v>36</v>
      </c>
      <c r="I5" s="47">
        <v>0</v>
      </c>
      <c r="J5" s="47">
        <v>92800</v>
      </c>
      <c r="K5" s="48" t="s">
        <v>85</v>
      </c>
      <c r="L5" s="80" t="s">
        <v>82</v>
      </c>
    </row>
    <row r="6" spans="1:12">
      <c r="A6" s="49"/>
      <c r="B6" s="45"/>
      <c r="C6" s="45"/>
      <c r="D6" s="45"/>
      <c r="E6" s="46"/>
      <c r="F6" s="45"/>
      <c r="G6" s="45"/>
      <c r="H6" s="45"/>
      <c r="I6" s="45"/>
      <c r="J6" s="45"/>
      <c r="K6" s="50">
        <f>SUMIF(K2:K5,"Y",J2:J5)</f>
        <v>271598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5" t="s">
        <v>29</v>
      </c>
      <c r="B1" s="75"/>
      <c r="C1" s="2"/>
    </row>
    <row r="2" spans="1:6" ht="14.25" customHeight="1">
      <c r="A2" s="75" t="s">
        <v>30</v>
      </c>
      <c r="B2" s="75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D9:K18"/>
  <sheetViews>
    <sheetView topLeftCell="A7" workbookViewId="0">
      <selection activeCell="K17" sqref="K17"/>
    </sheetView>
  </sheetViews>
  <sheetFormatPr defaultRowHeight="12.75"/>
  <cols>
    <col min="4" max="4" width="20" customWidth="1"/>
    <col min="6" max="6" width="10.140625" customWidth="1"/>
    <col min="7" max="7" width="10.28515625" customWidth="1"/>
    <col min="8" max="8" width="12.140625" customWidth="1"/>
  </cols>
  <sheetData>
    <row r="9" spans="4:11" ht="21">
      <c r="D9" s="53"/>
      <c r="E9" s="54"/>
      <c r="F9" s="76" t="s">
        <v>74</v>
      </c>
      <c r="G9" s="77"/>
      <c r="H9" s="78"/>
      <c r="I9" s="53"/>
      <c r="J9" s="53"/>
      <c r="K9" s="53"/>
    </row>
    <row r="10" spans="4:11" ht="30">
      <c r="D10" s="55" t="s">
        <v>89</v>
      </c>
      <c r="E10" s="54"/>
      <c r="F10" s="56"/>
      <c r="G10" s="56"/>
      <c r="H10" s="57"/>
      <c r="I10" s="53"/>
      <c r="J10" s="53"/>
      <c r="K10" s="53"/>
    </row>
    <row r="11" spans="4:11" ht="15">
      <c r="D11" s="58" t="s">
        <v>61</v>
      </c>
      <c r="E11" s="58" t="s">
        <v>62</v>
      </c>
      <c r="F11" s="58" t="s">
        <v>88</v>
      </c>
      <c r="G11" s="58" t="s">
        <v>63</v>
      </c>
      <c r="H11" s="58" t="s">
        <v>64</v>
      </c>
      <c r="I11" s="58" t="s">
        <v>71</v>
      </c>
      <c r="J11" s="58" t="s">
        <v>72</v>
      </c>
      <c r="K11" s="59"/>
    </row>
    <row r="12" spans="4:11" ht="15">
      <c r="D12" s="58" t="s">
        <v>65</v>
      </c>
      <c r="E12" s="60">
        <v>4269.46</v>
      </c>
      <c r="F12" s="59">
        <v>52736.46</v>
      </c>
      <c r="G12" s="60">
        <v>205363.46</v>
      </c>
      <c r="H12" s="60">
        <v>384615.96</v>
      </c>
      <c r="I12" s="60">
        <v>22980.46</v>
      </c>
      <c r="J12" s="60">
        <v>769097.96</v>
      </c>
      <c r="K12" s="59"/>
    </row>
    <row r="13" spans="4:11" ht="15">
      <c r="D13" s="58" t="s">
        <v>66</v>
      </c>
      <c r="E13" s="60">
        <v>4269.46</v>
      </c>
      <c r="F13" s="59">
        <v>52736.46</v>
      </c>
      <c r="G13" s="60">
        <v>1700251.46</v>
      </c>
      <c r="H13" s="60">
        <v>359615.96</v>
      </c>
      <c r="I13" s="60">
        <v>22980.46</v>
      </c>
      <c r="J13" s="59">
        <v>969097.96</v>
      </c>
      <c r="K13" s="59"/>
    </row>
    <row r="14" spans="4:11" ht="15">
      <c r="D14" s="58" t="s">
        <v>67</v>
      </c>
      <c r="E14" s="60">
        <v>4269.46</v>
      </c>
      <c r="F14" s="60">
        <v>88203.96</v>
      </c>
      <c r="G14" s="60">
        <v>314323.96000000002</v>
      </c>
      <c r="H14" s="60">
        <v>326550.96000000002</v>
      </c>
      <c r="I14" s="59">
        <v>915320.96</v>
      </c>
      <c r="J14" s="59">
        <v>331980.26</v>
      </c>
      <c r="K14" s="59"/>
    </row>
    <row r="15" spans="4:11" ht="15">
      <c r="D15" s="58" t="s">
        <v>68</v>
      </c>
      <c r="E15" s="60">
        <v>4269.46</v>
      </c>
      <c r="F15" s="60">
        <v>585203.96</v>
      </c>
      <c r="G15" s="60">
        <v>314323.96000000002</v>
      </c>
      <c r="H15" s="60">
        <v>420285.96</v>
      </c>
      <c r="I15" s="59">
        <v>363930.96</v>
      </c>
      <c r="J15" s="59">
        <v>328478.44</v>
      </c>
      <c r="K15" s="59"/>
    </row>
    <row r="16" spans="4:11" ht="15">
      <c r="D16" s="58" t="s">
        <v>69</v>
      </c>
      <c r="E16" s="59">
        <f>SUM(E12:E15)</f>
        <v>17077.84</v>
      </c>
      <c r="F16" s="59">
        <f t="shared" ref="F16:J16" si="0">SUM(F12:F15)</f>
        <v>778880.84</v>
      </c>
      <c r="G16" s="59">
        <f>SUM(G12:G15)</f>
        <v>2534262.84</v>
      </c>
      <c r="H16" s="59">
        <f>SUM(H12:H15)</f>
        <v>1491068.84</v>
      </c>
      <c r="I16" s="59">
        <f t="shared" si="0"/>
        <v>1325212.8400000001</v>
      </c>
      <c r="J16" s="59">
        <f t="shared" si="0"/>
        <v>2398654.62</v>
      </c>
      <c r="K16" s="58">
        <f>(SUM(E16:J16)/24)</f>
        <v>356048.24249999999</v>
      </c>
    </row>
    <row r="17" spans="4:11" ht="15">
      <c r="D17" s="53"/>
      <c r="E17" s="53"/>
      <c r="F17" s="53"/>
      <c r="G17" s="53"/>
      <c r="H17" s="79" t="s">
        <v>70</v>
      </c>
      <c r="I17" s="79"/>
      <c r="J17" s="79"/>
      <c r="K17" s="58">
        <f>356048.2/1105.4</f>
        <v>322.09896869911341</v>
      </c>
    </row>
    <row r="18" spans="4:11">
      <c r="D18" s="53"/>
      <c r="E18" s="53"/>
      <c r="F18" s="53"/>
      <c r="G18" s="53"/>
      <c r="H18" s="53"/>
      <c r="I18" s="53"/>
      <c r="J18" s="53"/>
      <c r="K18" s="53"/>
    </row>
  </sheetData>
  <mergeCells count="2">
    <mergeCell ref="F9:H9"/>
    <mergeCell ref="H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2020-02-14T08:55:58Z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