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GTP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H13" i="6"/>
  <c r="H14" s="1"/>
  <c r="H16" s="1"/>
  <c r="H18" s="1"/>
  <c r="H22" s="1"/>
  <c r="G13"/>
  <c r="G14" s="1"/>
  <c r="G16" s="1"/>
  <c r="G18" s="1"/>
  <c r="G22" s="1"/>
  <c r="F13"/>
  <c r="F14" s="1"/>
  <c r="F16" s="1"/>
  <c r="M18" i="2"/>
  <c r="C33" i="1"/>
  <c r="B33"/>
  <c r="B32"/>
  <c r="D34"/>
  <c r="F34" s="1"/>
  <c r="D33"/>
  <c r="F33" s="1"/>
  <c r="D32"/>
  <c r="F32" s="1"/>
  <c r="D31"/>
  <c r="F31" s="1"/>
  <c r="K15" i="2"/>
  <c r="K13"/>
  <c r="K12"/>
  <c r="L5" i="1"/>
  <c r="K5"/>
  <c r="C26"/>
  <c r="C28"/>
  <c r="D25"/>
  <c r="F25" s="1"/>
  <c r="B26"/>
  <c r="B28"/>
  <c r="M5"/>
  <c r="D29"/>
  <c r="F29" s="1"/>
  <c r="D27"/>
  <c r="F27" s="1"/>
  <c r="D24"/>
  <c r="F24" s="1"/>
  <c r="D23"/>
  <c r="F23" s="1"/>
  <c r="D22"/>
  <c r="F22" s="1"/>
  <c r="D21"/>
  <c r="F21" s="1"/>
  <c r="D20"/>
  <c r="F20" s="1"/>
  <c r="K10" i="2"/>
  <c r="K8"/>
  <c r="C15" i="1"/>
  <c r="C17"/>
  <c r="D14"/>
  <c r="F14" s="1"/>
  <c r="B15"/>
  <c r="B17"/>
  <c r="D16"/>
  <c r="F16" s="1"/>
  <c r="K6" i="2"/>
  <c r="K5"/>
  <c r="K3"/>
  <c r="K2"/>
  <c r="C7" i="1"/>
  <c r="B7"/>
  <c r="D13"/>
  <c r="F13" s="1"/>
  <c r="D5"/>
  <c r="F5" s="1"/>
  <c r="D12"/>
  <c r="F12" s="1"/>
  <c r="F18" i="6" l="1"/>
  <c r="F22" s="1"/>
  <c r="D28" i="1"/>
  <c r="F28" s="1"/>
  <c r="D17"/>
  <c r="F17" s="1"/>
  <c r="D26"/>
  <c r="F26" s="1"/>
  <c r="D7"/>
  <c r="F7" s="1"/>
  <c r="D10"/>
  <c r="F10" s="1"/>
  <c r="F37" l="1"/>
  <c r="D11" l="1"/>
  <c r="D18"/>
  <c r="D4"/>
  <c r="D8"/>
  <c r="D2"/>
  <c r="D15" l="1"/>
  <c r="F8"/>
  <c r="F4"/>
  <c r="F2"/>
  <c r="F35" s="1"/>
  <c r="D3"/>
  <c r="D6" l="1"/>
  <c r="F6" s="1"/>
  <c r="F3"/>
  <c r="F15" l="1"/>
  <c r="F11"/>
  <c r="F42" l="1"/>
  <c r="F18" l="1"/>
  <c r="F6" i="5" l="1"/>
  <c r="F7"/>
  <c r="F8"/>
  <c r="F9"/>
  <c r="F10"/>
  <c r="F11"/>
  <c r="F12"/>
  <c r="E13"/>
  <c r="F36" i="1" l="1"/>
  <c r="F13" i="5"/>
  <c r="F39" i="1" l="1"/>
  <c r="F43" s="1"/>
</calcChain>
</file>

<file path=xl/sharedStrings.xml><?xml version="1.0" encoding="utf-8"?>
<sst xmlns="http://schemas.openxmlformats.org/spreadsheetml/2006/main" count="214" uniqueCount="129">
  <si>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</si>
  <si>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</si>
  <si>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</si>
  <si>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</si>
  <si>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</si>
  <si>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</si>
  <si>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</si>
  <si>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</si>
  <si>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</si>
  <si>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</si>
  <si>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</si>
  <si>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</si>
  <si>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</si>
  <si>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</si>
  <si>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</si>
  <si>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</si>
  <si>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</si>
  <si>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</si>
  <si>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</si>
  <si>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</si>
  <si>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</si>
  <si>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</si>
  <si>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</si>
  <si>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</si>
  <si>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</si>
  <si>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</si>
  <si>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</si>
  <si>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</si>
  <si>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</si>
  <si>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</si>
  <si>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</si>
  <si>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</si>
  <si>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</si>
  <si>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</si>
  <si>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</si>
  <si>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</si>
  <si>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</si>
  <si>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</si>
  <si>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</si>
  <si>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</si>
  <si>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</si>
  <si>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</si>
  <si>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</si>
  <si>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</si>
  <si>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Net Profit</t>
  </si>
  <si>
    <t>Less: Taxes Paid</t>
  </si>
  <si>
    <t>y</t>
  </si>
  <si>
    <t>n</t>
  </si>
  <si>
    <t xml:space="preserve">Max FOIR          </t>
  </si>
  <si>
    <t>Income U/s 40 A(2)b</t>
  </si>
  <si>
    <t>Lap</t>
  </si>
  <si>
    <t>Loan Account No.</t>
  </si>
  <si>
    <t>ECL</t>
  </si>
  <si>
    <t>POS</t>
  </si>
  <si>
    <t>Depreciation</t>
  </si>
  <si>
    <t>Limit</t>
  </si>
  <si>
    <t>ICICI</t>
  </si>
  <si>
    <t>2020-21</t>
  </si>
  <si>
    <t>Makkar Textiles Mills Pvt Ltd</t>
  </si>
  <si>
    <t>Interest on working capital</t>
  </si>
  <si>
    <t>Interest on term loan</t>
  </si>
  <si>
    <t>Interest on Unsecured Loans</t>
  </si>
  <si>
    <t>Payment made u/s 40(2)ab</t>
  </si>
  <si>
    <t>Makkar Textile (Prop. Suresh)</t>
  </si>
  <si>
    <t xml:space="preserve">HDFC </t>
  </si>
  <si>
    <t>TL</t>
  </si>
  <si>
    <t>Loan Start Date</t>
  </si>
  <si>
    <t>(Interest Amounting Rs 112867/- Till May 2021)</t>
  </si>
  <si>
    <t>LBLUD00003140359</t>
  </si>
  <si>
    <t>LBLUD00003140355</t>
  </si>
  <si>
    <t>Income from salary</t>
  </si>
  <si>
    <t>Income from other sources</t>
  </si>
  <si>
    <t>Bank Interest (CC)</t>
  </si>
  <si>
    <t>Interest on MTL</t>
  </si>
  <si>
    <t>Interest on unsecured loans</t>
  </si>
  <si>
    <t>Makkar Textile</t>
  </si>
  <si>
    <t>(Interest Amounting Rs 54292/- Till June 2021)</t>
  </si>
  <si>
    <t>LBLUD00003140356</t>
  </si>
  <si>
    <t>Suresh Kumar</t>
  </si>
  <si>
    <t>Rama Krishna Dyeing (Prop. Kharati Lal)</t>
  </si>
  <si>
    <t>Sale</t>
  </si>
  <si>
    <t>MTMPL</t>
  </si>
  <si>
    <t>MT</t>
  </si>
  <si>
    <t>RKD</t>
  </si>
  <si>
    <t>As on 31/03/2019</t>
  </si>
  <si>
    <t>As on 31/03/2020</t>
  </si>
  <si>
    <t>Till December</t>
  </si>
  <si>
    <t>Bank Interest (Term Loans)</t>
  </si>
  <si>
    <t>Bank Interest on CC</t>
  </si>
  <si>
    <t>Interest on car loans</t>
  </si>
  <si>
    <t>MakkarTextile</t>
  </si>
  <si>
    <t>Rama Krishna Dyeing</t>
  </si>
  <si>
    <t>LBLUD00005203959</t>
  </si>
  <si>
    <t>Kharaiti Lal</t>
  </si>
  <si>
    <t>Topup</t>
  </si>
  <si>
    <t>LBLUD00005308351</t>
  </si>
  <si>
    <t>HL</t>
  </si>
  <si>
    <t>(Interest Amounting Rs 32643/- Till Sept 2021)</t>
  </si>
  <si>
    <t>Makkar Textiles Mills</t>
  </si>
  <si>
    <t xml:space="preserve">Makkar Textiles  </t>
  </si>
  <si>
    <t>Rajesh Kumar</t>
  </si>
  <si>
    <t>Kharati Lal</t>
  </si>
  <si>
    <t xml:space="preserve">Neelam Rani </t>
  </si>
  <si>
    <t>Minakshi Makkar</t>
  </si>
  <si>
    <t>Firm</t>
  </si>
  <si>
    <t>Director of MTMPL</t>
  </si>
  <si>
    <t>Director of MTMPL &amp; Prop. Of Makkar Textile</t>
  </si>
  <si>
    <t>Director of MTMPL &amp; Prop. Of  Rama Krishna</t>
  </si>
  <si>
    <t>Meenu Makkar</t>
  </si>
  <si>
    <t>Prop. Owner</t>
  </si>
  <si>
    <t>Prop. Pwner</t>
  </si>
  <si>
    <t>w/o of kharaiti lal</t>
  </si>
  <si>
    <t>2018-19</t>
  </si>
  <si>
    <t>Income from house property</t>
  </si>
  <si>
    <t>Client ID</t>
  </si>
  <si>
    <t>As per 31/3/20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</si>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</sst>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5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1" fontId="15" fillId="6" borderId="2" xfId="0" applyNumberFormat="1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/>
    </xf>
    <xf numFmtId="2" fontId="14" fillId="7" borderId="2" xfId="0" applyNumberFormat="1" applyFont="1" applyFill="1" applyBorder="1" applyAlignment="1">
      <alignment horizontal="left"/>
    </xf>
    <xf numFmtId="1" fontId="14" fillId="7" borderId="2" xfId="0" applyNumberFormat="1" applyFont="1" applyFill="1" applyBorder="1" applyAlignment="1">
      <alignment horizontal="left"/>
    </xf>
    <xf numFmtId="0" fontId="14" fillId="7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2" fontId="14" fillId="2" borderId="2" xfId="0" applyNumberFormat="1" applyFont="1" applyFill="1" applyBorder="1" applyAlignment="1">
      <alignment horizontal="left"/>
    </xf>
    <xf numFmtId="0" fontId="16" fillId="8" borderId="2" xfId="0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168" fontId="14" fillId="7" borderId="2" xfId="0" applyNumberFormat="1" applyFont="1" applyFill="1" applyBorder="1" applyAlignment="1">
      <alignment horizontal="left"/>
    </xf>
    <xf numFmtId="168" fontId="15" fillId="6" borderId="2" xfId="0" applyNumberFormat="1" applyFont="1" applyFill="1" applyBorder="1" applyAlignment="1">
      <alignment horizontal="left" vertical="center" wrapText="1"/>
    </xf>
    <xf numFmtId="168" fontId="15" fillId="0" borderId="2" xfId="0" applyNumberFormat="1" applyFont="1" applyFill="1" applyBorder="1" applyAlignment="1">
      <alignment horizontal="left" vertical="center" wrapText="1"/>
    </xf>
    <xf numFmtId="168" fontId="14" fillId="8" borderId="2" xfId="0" applyNumberFormat="1" applyFont="1" applyFill="1" applyBorder="1" applyAlignment="1">
      <alignment horizontal="left"/>
    </xf>
    <xf numFmtId="0" fontId="11" fillId="8" borderId="2" xfId="3" applyFont="1" applyFill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7" fillId="10" borderId="3" xfId="0" applyNumberFormat="1" applyFont="1" applyFill="1" applyBorder="1" applyAlignment="1" applyProtection="1">
      <alignment vertical="center" wrapText="1"/>
    </xf>
    <xf numFmtId="2" fontId="17" fillId="10" borderId="3" xfId="0" applyNumberFormat="1" applyFont="1" applyFill="1" applyBorder="1" applyAlignment="1" applyProtection="1">
      <alignment horizontal="center" vertical="center" wrapText="1"/>
    </xf>
    <xf numFmtId="0" fontId="17" fillId="11" borderId="3" xfId="0" applyNumberFormat="1" applyFont="1" applyFill="1" applyBorder="1" applyAlignment="1" applyProtection="1">
      <alignment vertical="center" wrapText="1"/>
    </xf>
    <xf numFmtId="2" fontId="17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" xfId="0" applyNumberFormat="1" applyFont="1" applyFill="1" applyBorder="1" applyAlignment="1" applyProtection="1">
      <alignment vertical="center" wrapText="1"/>
    </xf>
    <xf numFmtId="2" fontId="1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" xfId="0" applyNumberFormat="1" applyFont="1" applyFill="1" applyBorder="1" applyAlignment="1" applyProtection="1">
      <alignment vertical="center" wrapText="1"/>
    </xf>
    <xf numFmtId="2" fontId="19" fillId="0" borderId="3" xfId="0" applyNumberFormat="1" applyFont="1" applyFill="1" applyBorder="1" applyAlignment="1" applyProtection="1">
      <alignment horizontal="right" vertical="center" wrapText="1"/>
      <protection hidden="1"/>
    </xf>
    <xf numFmtId="0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" xfId="0" applyFont="1" applyBorder="1" applyAlignment="1" applyProtection="1">
      <alignment vertical="center" wrapText="1"/>
    </xf>
    <xf numFmtId="0" fontId="11" fillId="10" borderId="3" xfId="0" applyNumberFormat="1" applyFont="1" applyFill="1" applyBorder="1" applyAlignment="1" applyProtection="1">
      <alignment vertical="center" wrapText="1"/>
    </xf>
    <xf numFmtId="2" fontId="11" fillId="10" borderId="3" xfId="0" applyNumberFormat="1" applyFont="1" applyFill="1" applyBorder="1" applyAlignment="1" applyProtection="1">
      <alignment horizontal="right" vertical="center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M51"/>
  <sheetViews>
    <sheetView tabSelected="1" zoomScale="130" zoomScaleNormal="130" workbookViewId="0">
      <selection activeCell="L4" sqref="L4"/>
    </sheetView>
  </sheetViews>
  <sheetFormatPr defaultColWidth="31.28515625" defaultRowHeight="12.75"/>
  <cols>
    <col min="1" max="1" width="31.2851562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8.42578125" style="20" bestFit="1" customWidth="1"/>
    <col min="9" max="9" width="38.140625" style="20" bestFit="1" customWidth="1"/>
    <col min="10" max="10" width="23.28515625" style="20" customWidth="1"/>
    <col min="11" max="13" width="10" style="20" bestFit="1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246" ht="18" customHeight="1">
      <c r="A1" s="41" t="s">
        <v>58</v>
      </c>
      <c r="B1" s="41" t="s">
        <v>57</v>
      </c>
      <c r="C1" s="41" t="s">
        <v>43</v>
      </c>
      <c r="D1" s="41" t="s">
        <v>32</v>
      </c>
      <c r="E1" s="42" t="s">
        <v>0</v>
      </c>
      <c r="F1" s="41" t="s">
        <v>33</v>
      </c>
      <c r="HW1" s="21"/>
      <c r="HX1" s="21"/>
      <c r="HY1" s="21"/>
      <c r="HZ1" s="21"/>
      <c r="IA1" s="21"/>
      <c r="IB1" s="21"/>
      <c r="IE1" s="22"/>
      <c r="IF1" s="22"/>
      <c r="IG1" s="23"/>
      <c r="IH1" s="23"/>
      <c r="II1" s="23"/>
      <c r="IJ1" s="23"/>
      <c r="IK1" s="23"/>
      <c r="IL1" s="23"/>
    </row>
    <row r="2" spans="1:246">
      <c r="A2" s="33" t="s">
        <v>44</v>
      </c>
      <c r="B2" s="34">
        <v>4467928</v>
      </c>
      <c r="C2" s="35">
        <v>4567230</v>
      </c>
      <c r="D2" s="36">
        <f>AVERAGE(B2:C2)</f>
        <v>4517579</v>
      </c>
      <c r="E2" s="37">
        <v>1</v>
      </c>
      <c r="F2" s="36">
        <f>E2*D2</f>
        <v>4517579</v>
      </c>
      <c r="J2" s="70" t="s">
        <v>80</v>
      </c>
      <c r="K2" s="70" t="s">
        <v>81</v>
      </c>
      <c r="L2" s="70" t="s">
        <v>82</v>
      </c>
      <c r="M2" s="70" t="s">
        <v>83</v>
      </c>
      <c r="HW2" s="21"/>
      <c r="HX2" s="21"/>
      <c r="HY2" s="21"/>
      <c r="HZ2" s="21"/>
      <c r="IA2" s="21"/>
      <c r="IB2" s="21"/>
      <c r="IE2" s="22"/>
      <c r="IF2" s="22"/>
      <c r="IG2" s="23"/>
      <c r="IH2" s="23"/>
      <c r="II2" s="23"/>
      <c r="IJ2" s="23"/>
      <c r="IK2" s="23"/>
      <c r="IL2" s="23"/>
    </row>
    <row r="3" spans="1:246">
      <c r="A3" s="33" t="s">
        <v>54</v>
      </c>
      <c r="B3" s="34">
        <v>8387299</v>
      </c>
      <c r="C3" s="35">
        <v>8230910</v>
      </c>
      <c r="D3" s="36">
        <f t="shared" ref="D3:D8" si="0">AVERAGE(B3:C3)</f>
        <v>8309104.5</v>
      </c>
      <c r="E3" s="37">
        <v>1</v>
      </c>
      <c r="F3" s="36">
        <f t="shared" ref="F3:F8" si="1">E3*D3</f>
        <v>8309104.5</v>
      </c>
      <c r="J3" s="48" t="s">
        <v>84</v>
      </c>
      <c r="K3" s="48">
        <v>287808117</v>
      </c>
      <c r="L3" s="48">
        <v>205227540</v>
      </c>
      <c r="M3" s="48">
        <v>285728225</v>
      </c>
      <c r="HW3" s="21"/>
      <c r="HX3" s="21"/>
      <c r="HY3" s="21"/>
      <c r="HZ3" s="21"/>
      <c r="IA3" s="21"/>
      <c r="IB3" s="21"/>
      <c r="IE3" s="22"/>
      <c r="IF3" s="22"/>
      <c r="IG3" s="23"/>
      <c r="IH3" s="23"/>
      <c r="II3" s="23"/>
      <c r="IJ3" s="23"/>
      <c r="IK3" s="23"/>
      <c r="IL3" s="23"/>
    </row>
    <row r="4" spans="1:246">
      <c r="A4" s="33" t="s">
        <v>59</v>
      </c>
      <c r="B4" s="34">
        <v>6885976</v>
      </c>
      <c r="C4" s="34">
        <v>6597009</v>
      </c>
      <c r="D4" s="36">
        <f t="shared" si="0"/>
        <v>6741492.5</v>
      </c>
      <c r="E4" s="37">
        <v>0</v>
      </c>
      <c r="F4" s="36">
        <f t="shared" si="1"/>
        <v>0</v>
      </c>
      <c r="G4" s="26"/>
      <c r="J4" s="48" t="s">
        <v>85</v>
      </c>
      <c r="K4" s="48">
        <v>279720290</v>
      </c>
      <c r="L4" s="48">
        <v>214268820</v>
      </c>
      <c r="M4" s="48">
        <v>395682169</v>
      </c>
      <c r="HW4" s="21"/>
      <c r="HX4" s="21"/>
      <c r="HY4" s="21"/>
      <c r="HZ4" s="21"/>
      <c r="IA4" s="21"/>
      <c r="IB4" s="21"/>
      <c r="IE4" s="22"/>
      <c r="IF4" s="22"/>
      <c r="IG4" s="23"/>
      <c r="IH4" s="23"/>
      <c r="II4" s="23"/>
      <c r="IJ4" s="23"/>
      <c r="IK4" s="23"/>
      <c r="IL4" s="23"/>
    </row>
    <row r="5" spans="1:246">
      <c r="A5" s="33" t="s">
        <v>60</v>
      </c>
      <c r="B5" s="34">
        <v>2145057</v>
      </c>
      <c r="C5" s="34">
        <v>1105309</v>
      </c>
      <c r="D5" s="36">
        <f t="shared" ref="D5" si="2">AVERAGE(B5:C5)</f>
        <v>1625183</v>
      </c>
      <c r="E5" s="37">
        <v>1</v>
      </c>
      <c r="F5" s="36">
        <f t="shared" ref="F5" si="3">E5*D5</f>
        <v>1625183</v>
      </c>
      <c r="J5" s="48" t="s">
        <v>86</v>
      </c>
      <c r="K5" s="48">
        <f>0+128068+6176651+17772411+13418580+13387165+31889376+66614075+62350086</f>
        <v>211736412</v>
      </c>
      <c r="L5" s="48">
        <f>0+262366+13344696+11060086+6134562+7335076+19970824+49802016+33296057</f>
        <v>141205683</v>
      </c>
      <c r="M5" s="48">
        <f>0+5108197+19838792+33843283+43834585+53501537+64076776+46130822+56576478</f>
        <v>322910470</v>
      </c>
      <c r="HW5" s="21"/>
      <c r="HX5" s="21"/>
      <c r="HY5" s="21"/>
      <c r="HZ5" s="21"/>
      <c r="IA5" s="21"/>
      <c r="IB5" s="21"/>
      <c r="IE5" s="22"/>
      <c r="IF5" s="22"/>
      <c r="IG5" s="23"/>
      <c r="IH5" s="23"/>
      <c r="II5" s="23"/>
      <c r="IJ5" s="23"/>
      <c r="IK5" s="23"/>
      <c r="IL5" s="23"/>
    </row>
    <row r="6" spans="1:246">
      <c r="A6" s="33" t="s">
        <v>61</v>
      </c>
      <c r="B6" s="34">
        <v>3693859</v>
      </c>
      <c r="C6" s="34">
        <v>3621756</v>
      </c>
      <c r="D6" s="36">
        <f t="shared" si="0"/>
        <v>3657807.5</v>
      </c>
      <c r="E6" s="37">
        <v>0</v>
      </c>
      <c r="F6" s="36">
        <f t="shared" si="1"/>
        <v>0</v>
      </c>
      <c r="HW6" s="21"/>
      <c r="HX6" s="21"/>
      <c r="HY6" s="21"/>
      <c r="HZ6" s="21"/>
      <c r="IA6" s="21"/>
      <c r="IB6" s="21"/>
      <c r="IE6" s="22"/>
      <c r="IF6" s="22"/>
      <c r="IG6" s="23"/>
      <c r="IH6" s="23"/>
      <c r="II6" s="23"/>
      <c r="IJ6" s="23"/>
      <c r="IK6" s="23"/>
      <c r="IL6" s="23"/>
    </row>
    <row r="7" spans="1:246">
      <c r="A7" s="33" t="s">
        <v>62</v>
      </c>
      <c r="B7" s="34">
        <f>480000+258000+1290000+361786+96317+600000+600000+264077+840000</f>
        <v>4790180</v>
      </c>
      <c r="C7" s="34">
        <f>480000+258000+1200000+250545+720000+540000+540000+239827+65870</f>
        <v>4294242</v>
      </c>
      <c r="D7" s="36">
        <f t="shared" ref="D7" si="4">AVERAGE(B7:C7)</f>
        <v>4542211</v>
      </c>
      <c r="E7" s="37">
        <v>0</v>
      </c>
      <c r="F7" s="36">
        <f t="shared" ref="F7" si="5">E7*D7</f>
        <v>0</v>
      </c>
      <c r="HW7" s="21"/>
      <c r="HX7" s="21"/>
      <c r="HY7" s="21"/>
      <c r="HZ7" s="21"/>
      <c r="IA7" s="21"/>
      <c r="IB7" s="21"/>
      <c r="IE7" s="22"/>
      <c r="IF7" s="22"/>
      <c r="IG7" s="23"/>
      <c r="IH7" s="23"/>
      <c r="II7" s="23"/>
      <c r="IJ7" s="23"/>
      <c r="IK7" s="23"/>
      <c r="IL7" s="23"/>
    </row>
    <row r="8" spans="1:246">
      <c r="A8" s="33" t="s">
        <v>45</v>
      </c>
      <c r="B8" s="34">
        <v>-700399</v>
      </c>
      <c r="C8" s="34">
        <v>-889652</v>
      </c>
      <c r="D8" s="36">
        <f t="shared" si="0"/>
        <v>-795025.5</v>
      </c>
      <c r="E8" s="37">
        <v>1</v>
      </c>
      <c r="F8" s="36">
        <f t="shared" si="1"/>
        <v>-795025.5</v>
      </c>
      <c r="H8" s="48" t="s">
        <v>98</v>
      </c>
      <c r="I8" s="48" t="s">
        <v>104</v>
      </c>
      <c r="HW8" s="21"/>
      <c r="HX8" s="21"/>
      <c r="HY8" s="21"/>
      <c r="HZ8" s="21"/>
      <c r="IA8" s="21"/>
      <c r="IB8" s="21"/>
      <c r="IE8" s="22"/>
      <c r="IF8" s="22"/>
      <c r="IG8" s="23"/>
      <c r="IH8" s="23"/>
      <c r="II8" s="23"/>
      <c r="IJ8" s="23"/>
      <c r="IK8" s="23"/>
      <c r="IL8" s="23"/>
    </row>
    <row r="9" spans="1:246">
      <c r="A9" s="41" t="s">
        <v>63</v>
      </c>
      <c r="B9" s="41" t="s">
        <v>57</v>
      </c>
      <c r="C9" s="41" t="s">
        <v>43</v>
      </c>
      <c r="D9" s="41" t="s">
        <v>32</v>
      </c>
      <c r="E9" s="42" t="s">
        <v>0</v>
      </c>
      <c r="F9" s="41" t="s">
        <v>33</v>
      </c>
      <c r="H9" s="48" t="s">
        <v>99</v>
      </c>
      <c r="I9" s="48" t="s">
        <v>104</v>
      </c>
      <c r="HW9" s="21"/>
      <c r="HX9" s="21"/>
      <c r="HY9" s="21"/>
      <c r="HZ9" s="21"/>
      <c r="IA9" s="21"/>
      <c r="IB9" s="21"/>
      <c r="IE9" s="22"/>
      <c r="IF9" s="22"/>
      <c r="IG9" s="23"/>
      <c r="IH9" s="23"/>
      <c r="II9" s="23"/>
      <c r="IJ9" s="23"/>
      <c r="IK9" s="23"/>
      <c r="IL9" s="23"/>
    </row>
    <row r="10" spans="1:246">
      <c r="A10" s="33" t="s">
        <v>44</v>
      </c>
      <c r="B10" s="38">
        <v>5715041.7599999998</v>
      </c>
      <c r="C10" s="34">
        <v>5826620</v>
      </c>
      <c r="D10" s="36">
        <f>AVERAGE(B10:C10)</f>
        <v>5770830.8799999999</v>
      </c>
      <c r="E10" s="37">
        <v>1</v>
      </c>
      <c r="F10" s="36">
        <f>E10*D10</f>
        <v>5770830.8799999999</v>
      </c>
      <c r="H10" s="48" t="s">
        <v>91</v>
      </c>
      <c r="I10" s="48" t="s">
        <v>104</v>
      </c>
      <c r="HW10" s="21"/>
      <c r="HX10" s="21"/>
      <c r="HY10" s="21"/>
      <c r="HZ10" s="21"/>
      <c r="IA10" s="21"/>
      <c r="IB10" s="21"/>
      <c r="IE10" s="22"/>
      <c r="IF10" s="22"/>
      <c r="IG10" s="23"/>
      <c r="IH10" s="23"/>
      <c r="II10" s="23"/>
      <c r="IJ10" s="23"/>
      <c r="IK10" s="23"/>
      <c r="IL10" s="23"/>
    </row>
    <row r="11" spans="1:246" ht="14.25" customHeight="1">
      <c r="A11" s="33" t="s">
        <v>54</v>
      </c>
      <c r="B11" s="34">
        <v>4755350.2699999996</v>
      </c>
      <c r="C11" s="35">
        <v>4998754</v>
      </c>
      <c r="D11" s="36">
        <f t="shared" ref="D11:D18" si="6">AVERAGE(B11:C11)</f>
        <v>4877052.1349999998</v>
      </c>
      <c r="E11" s="37">
        <v>1</v>
      </c>
      <c r="F11" s="36">
        <f>E11*D11</f>
        <v>4877052.1349999998</v>
      </c>
      <c r="H11" s="48" t="s">
        <v>100</v>
      </c>
      <c r="I11" s="48" t="s">
        <v>105</v>
      </c>
      <c r="HW11" s="21"/>
      <c r="HX11" s="21"/>
      <c r="HY11" s="21"/>
      <c r="HZ11" s="21"/>
      <c r="IA11" s="21"/>
      <c r="IB11" s="21"/>
      <c r="IE11" s="22"/>
      <c r="IF11" s="22"/>
      <c r="IG11" s="23"/>
      <c r="IH11" s="23"/>
      <c r="II11" s="23"/>
      <c r="IJ11" s="23"/>
      <c r="IK11" s="23"/>
      <c r="IL11" s="23"/>
    </row>
    <row r="12" spans="1:246">
      <c r="A12" s="33" t="s">
        <v>72</v>
      </c>
      <c r="B12" s="34">
        <v>3878402</v>
      </c>
      <c r="C12" s="34">
        <v>3969772</v>
      </c>
      <c r="D12" s="36">
        <f t="shared" si="6"/>
        <v>3924087</v>
      </c>
      <c r="E12" s="37">
        <v>0</v>
      </c>
      <c r="F12" s="36">
        <f t="shared" ref="F12:F13" si="7">E12*D12</f>
        <v>0</v>
      </c>
      <c r="G12" s="26"/>
      <c r="H12" s="48" t="s">
        <v>78</v>
      </c>
      <c r="I12" s="48" t="s">
        <v>106</v>
      </c>
      <c r="HW12" s="21"/>
      <c r="HX12" s="21"/>
      <c r="HY12" s="21"/>
      <c r="HZ12" s="21"/>
      <c r="IA12" s="21"/>
      <c r="IB12" s="21"/>
      <c r="IE12" s="22"/>
      <c r="IF12" s="22"/>
      <c r="IG12" s="23"/>
      <c r="IH12" s="23"/>
      <c r="II12" s="23"/>
      <c r="IJ12" s="23"/>
      <c r="IK12" s="23"/>
      <c r="IL12" s="23"/>
    </row>
    <row r="13" spans="1:246">
      <c r="A13" s="33" t="s">
        <v>73</v>
      </c>
      <c r="B13" s="34">
        <v>636676</v>
      </c>
      <c r="C13" s="34">
        <v>1031486</v>
      </c>
      <c r="D13" s="36">
        <f t="shared" si="6"/>
        <v>834081</v>
      </c>
      <c r="E13" s="37">
        <v>1</v>
      </c>
      <c r="F13" s="36">
        <f t="shared" si="7"/>
        <v>834081</v>
      </c>
      <c r="H13" s="48" t="s">
        <v>101</v>
      </c>
      <c r="I13" s="48" t="s">
        <v>107</v>
      </c>
      <c r="HW13" s="21"/>
      <c r="HX13" s="21"/>
      <c r="HY13" s="21"/>
      <c r="HZ13" s="21"/>
      <c r="IA13" s="21"/>
      <c r="IB13" s="21"/>
      <c r="IE13" s="22"/>
      <c r="IF13" s="22"/>
      <c r="IG13" s="23"/>
      <c r="IH13" s="23"/>
      <c r="II13" s="23"/>
      <c r="IJ13" s="23"/>
      <c r="IK13" s="23"/>
      <c r="IL13" s="23"/>
    </row>
    <row r="14" spans="1:246" ht="14.25" customHeight="1">
      <c r="A14" s="33" t="s">
        <v>74</v>
      </c>
      <c r="B14" s="34">
        <v>6756661</v>
      </c>
      <c r="C14" s="35">
        <v>5822245</v>
      </c>
      <c r="D14" s="36">
        <f t="shared" ref="D14" si="8">AVERAGE(B14:C14)</f>
        <v>6289453</v>
      </c>
      <c r="E14" s="37">
        <v>0</v>
      </c>
      <c r="F14" s="36">
        <f>E14*D14</f>
        <v>0</v>
      </c>
      <c r="H14" s="48" t="s">
        <v>102</v>
      </c>
      <c r="I14" s="48" t="s">
        <v>111</v>
      </c>
      <c r="HW14" s="21"/>
      <c r="HX14" s="21"/>
      <c r="HY14" s="21"/>
      <c r="HZ14" s="21"/>
      <c r="IA14" s="21"/>
      <c r="IB14" s="21"/>
      <c r="IE14" s="22"/>
      <c r="IF14" s="22"/>
      <c r="IG14" s="23"/>
      <c r="IH14" s="23"/>
      <c r="II14" s="23"/>
      <c r="IJ14" s="23"/>
      <c r="IK14" s="23"/>
      <c r="IL14" s="23"/>
    </row>
    <row r="15" spans="1:246" ht="14.25" customHeight="1">
      <c r="A15" s="33" t="s">
        <v>49</v>
      </c>
      <c r="B15" s="34">
        <f>293582+600000+600000+270056+118421+199426+6540</f>
        <v>2088025</v>
      </c>
      <c r="C15" s="35">
        <f>332365+540000+540000+217241+225621+126313+3845</f>
        <v>1985385</v>
      </c>
      <c r="D15" s="36">
        <f t="shared" si="6"/>
        <v>2036705</v>
      </c>
      <c r="E15" s="37">
        <v>0</v>
      </c>
      <c r="F15" s="36">
        <f>E15*D15</f>
        <v>0</v>
      </c>
      <c r="H15" s="48" t="s">
        <v>103</v>
      </c>
      <c r="I15" s="48" t="s">
        <v>109</v>
      </c>
      <c r="HW15" s="21"/>
      <c r="HX15" s="21"/>
      <c r="HY15" s="21"/>
      <c r="HZ15" s="21"/>
      <c r="IA15" s="21"/>
      <c r="IB15" s="21"/>
      <c r="IE15" s="22"/>
      <c r="IF15" s="22"/>
      <c r="IG15" s="23"/>
      <c r="IH15" s="23"/>
      <c r="II15" s="23"/>
      <c r="IJ15" s="23"/>
      <c r="IK15" s="23"/>
      <c r="IL15" s="23"/>
    </row>
    <row r="16" spans="1:246">
      <c r="A16" s="33" t="s">
        <v>70</v>
      </c>
      <c r="B16" s="34">
        <v>258000</v>
      </c>
      <c r="C16" s="34">
        <v>258000</v>
      </c>
      <c r="D16" s="36">
        <f t="shared" ref="D16:D17" si="9">AVERAGE(B16:C16)</f>
        <v>258000</v>
      </c>
      <c r="E16" s="37">
        <v>1</v>
      </c>
      <c r="F16" s="36">
        <f t="shared" ref="F16:F17" si="10">E16*D16</f>
        <v>258000</v>
      </c>
      <c r="H16" s="48" t="s">
        <v>108</v>
      </c>
      <c r="I16" s="48" t="s">
        <v>110</v>
      </c>
      <c r="HW16" s="21"/>
      <c r="HX16" s="21"/>
      <c r="HY16" s="21"/>
      <c r="HZ16" s="21"/>
      <c r="IA16" s="21"/>
      <c r="IB16" s="21"/>
      <c r="IE16" s="22"/>
      <c r="IF16" s="22"/>
      <c r="IG16" s="23"/>
      <c r="IH16" s="23"/>
      <c r="II16" s="23"/>
      <c r="IJ16" s="23"/>
      <c r="IK16" s="23"/>
      <c r="IL16" s="23"/>
    </row>
    <row r="17" spans="1:246">
      <c r="A17" s="33" t="s">
        <v>71</v>
      </c>
      <c r="B17" s="34">
        <f>1476+1100+361786+42001</f>
        <v>406363</v>
      </c>
      <c r="C17" s="34">
        <f>972+250545+73004</f>
        <v>324521</v>
      </c>
      <c r="D17" s="36">
        <f t="shared" si="9"/>
        <v>365442</v>
      </c>
      <c r="E17" s="37">
        <v>0.5</v>
      </c>
      <c r="F17" s="36">
        <f t="shared" si="10"/>
        <v>182721</v>
      </c>
      <c r="HW17" s="21"/>
      <c r="HX17" s="21"/>
      <c r="HY17" s="21"/>
      <c r="HZ17" s="21"/>
      <c r="IA17" s="21"/>
      <c r="IB17" s="21"/>
      <c r="IE17" s="22"/>
      <c r="IF17" s="22"/>
      <c r="IG17" s="23"/>
      <c r="IH17" s="23"/>
      <c r="II17" s="23"/>
      <c r="IJ17" s="23"/>
      <c r="IK17" s="23"/>
      <c r="IL17" s="23"/>
    </row>
    <row r="18" spans="1:246">
      <c r="A18" s="33" t="s">
        <v>45</v>
      </c>
      <c r="B18" s="34">
        <v>-1123072</v>
      </c>
      <c r="C18" s="34">
        <v>-855690</v>
      </c>
      <c r="D18" s="36">
        <f t="shared" si="6"/>
        <v>-989381</v>
      </c>
      <c r="E18" s="37">
        <v>1</v>
      </c>
      <c r="F18" s="36">
        <f t="shared" ref="F18" si="11">E18*D18</f>
        <v>-989381</v>
      </c>
      <c r="HW18" s="21"/>
      <c r="HX18" s="21"/>
      <c r="HY18" s="21"/>
      <c r="HZ18" s="21"/>
      <c r="IA18" s="21"/>
      <c r="IB18" s="21"/>
      <c r="IE18" s="22"/>
      <c r="IF18" s="22"/>
      <c r="IG18" s="23"/>
      <c r="IH18" s="23"/>
      <c r="II18" s="23"/>
      <c r="IJ18" s="23"/>
      <c r="IK18" s="23"/>
      <c r="IL18" s="23"/>
    </row>
    <row r="19" spans="1:246" ht="25.5">
      <c r="A19" s="41" t="s">
        <v>79</v>
      </c>
      <c r="B19" s="41" t="s">
        <v>57</v>
      </c>
      <c r="C19" s="41" t="s">
        <v>43</v>
      </c>
      <c r="D19" s="41" t="s">
        <v>32</v>
      </c>
      <c r="E19" s="42" t="s">
        <v>0</v>
      </c>
      <c r="F19" s="41" t="s">
        <v>33</v>
      </c>
      <c r="HW19" s="21"/>
      <c r="HX19" s="21"/>
      <c r="HY19" s="21"/>
      <c r="HZ19" s="21"/>
      <c r="IA19" s="21"/>
      <c r="IB19" s="21"/>
      <c r="IE19" s="22"/>
      <c r="IF19" s="22"/>
      <c r="IG19" s="23"/>
      <c r="IH19" s="23"/>
      <c r="II19" s="23"/>
      <c r="IJ19" s="23"/>
      <c r="IK19" s="23"/>
      <c r="IL19" s="23"/>
    </row>
    <row r="20" spans="1:246">
      <c r="A20" s="33" t="s">
        <v>44</v>
      </c>
      <c r="B20" s="38">
        <v>9740628</v>
      </c>
      <c r="C20" s="34">
        <v>5767083.0300000003</v>
      </c>
      <c r="D20" s="36">
        <f>AVERAGE(B20:C20)</f>
        <v>7753855.5150000006</v>
      </c>
      <c r="E20" s="37">
        <v>1</v>
      </c>
      <c r="F20" s="36">
        <f>E20*D20</f>
        <v>7753855.5150000006</v>
      </c>
      <c r="HW20" s="21"/>
      <c r="HX20" s="21"/>
      <c r="HY20" s="21"/>
      <c r="HZ20" s="21"/>
      <c r="IA20" s="21"/>
      <c r="IB20" s="21"/>
      <c r="IE20" s="22"/>
      <c r="IF20" s="22"/>
      <c r="IG20" s="23"/>
      <c r="IH20" s="23"/>
      <c r="II20" s="23"/>
      <c r="IJ20" s="23"/>
      <c r="IK20" s="23"/>
      <c r="IL20" s="23"/>
    </row>
    <row r="21" spans="1:246" ht="14.25" customHeight="1">
      <c r="A21" s="33" t="s">
        <v>54</v>
      </c>
      <c r="B21" s="34">
        <v>11130099</v>
      </c>
      <c r="C21" s="35">
        <v>11072064</v>
      </c>
      <c r="D21" s="36">
        <f t="shared" ref="D21:D29" si="12">AVERAGE(B21:C21)</f>
        <v>11101081.5</v>
      </c>
      <c r="E21" s="37">
        <v>1</v>
      </c>
      <c r="F21" s="36">
        <f>E21*D21</f>
        <v>11101081.5</v>
      </c>
      <c r="HW21" s="21"/>
      <c r="HX21" s="21"/>
      <c r="HY21" s="21"/>
      <c r="HZ21" s="21"/>
      <c r="IA21" s="21"/>
      <c r="IB21" s="21"/>
      <c r="IE21" s="22"/>
      <c r="IF21" s="22"/>
      <c r="IG21" s="23"/>
      <c r="IH21" s="23"/>
      <c r="II21" s="23"/>
      <c r="IJ21" s="23"/>
      <c r="IK21" s="23"/>
      <c r="IL21" s="23"/>
    </row>
    <row r="22" spans="1:246">
      <c r="A22" s="33" t="s">
        <v>87</v>
      </c>
      <c r="B22" s="34">
        <v>4783615</v>
      </c>
      <c r="C22" s="34">
        <v>4000670</v>
      </c>
      <c r="D22" s="36">
        <f t="shared" si="12"/>
        <v>4392142.5</v>
      </c>
      <c r="E22" s="37">
        <v>1</v>
      </c>
      <c r="F22" s="36">
        <f t="shared" ref="F22:F23" si="13">E22*D22</f>
        <v>4392142.5</v>
      </c>
      <c r="G22" s="26"/>
      <c r="HW22" s="21"/>
      <c r="HX22" s="21"/>
      <c r="HY22" s="21"/>
      <c r="HZ22" s="21"/>
      <c r="IA22" s="21"/>
      <c r="IB22" s="21"/>
      <c r="IE22" s="22"/>
      <c r="IF22" s="22"/>
      <c r="IG22" s="23"/>
      <c r="IH22" s="23"/>
      <c r="II22" s="23"/>
      <c r="IJ22" s="23"/>
      <c r="IK22" s="23"/>
      <c r="IL22" s="23"/>
    </row>
    <row r="23" spans="1:246">
      <c r="A23" s="33" t="s">
        <v>88</v>
      </c>
      <c r="B23" s="34">
        <v>2741663</v>
      </c>
      <c r="C23" s="34">
        <v>2996329</v>
      </c>
      <c r="D23" s="36">
        <f t="shared" si="12"/>
        <v>2868996</v>
      </c>
      <c r="E23" s="37">
        <v>0</v>
      </c>
      <c r="F23" s="36">
        <f t="shared" si="13"/>
        <v>0</v>
      </c>
      <c r="HW23" s="21"/>
      <c r="HX23" s="21"/>
      <c r="HY23" s="21"/>
      <c r="HZ23" s="21"/>
      <c r="IA23" s="21"/>
      <c r="IB23" s="21"/>
      <c r="IE23" s="22"/>
      <c r="IF23" s="22"/>
      <c r="IG23" s="23"/>
      <c r="IH23" s="23"/>
      <c r="II23" s="23"/>
      <c r="IJ23" s="23"/>
      <c r="IK23" s="23"/>
      <c r="IL23" s="23"/>
    </row>
    <row r="24" spans="1:246" ht="14.25" customHeight="1">
      <c r="A24" s="33" t="s">
        <v>89</v>
      </c>
      <c r="B24" s="34">
        <v>5625</v>
      </c>
      <c r="C24" s="35">
        <v>99130</v>
      </c>
      <c r="D24" s="36">
        <f t="shared" si="12"/>
        <v>52377.5</v>
      </c>
      <c r="E24" s="37">
        <v>1</v>
      </c>
      <c r="F24" s="36">
        <f>E24*D24</f>
        <v>52377.5</v>
      </c>
      <c r="HW24" s="21"/>
      <c r="HX24" s="21"/>
      <c r="HY24" s="21"/>
      <c r="HZ24" s="21"/>
      <c r="IA24" s="21"/>
      <c r="IB24" s="21"/>
      <c r="IE24" s="22"/>
      <c r="IF24" s="22"/>
      <c r="IG24" s="23"/>
      <c r="IH24" s="23"/>
      <c r="II24" s="23"/>
      <c r="IJ24" s="23"/>
      <c r="IK24" s="23"/>
      <c r="IL24" s="23"/>
    </row>
    <row r="25" spans="1:246" ht="14.25" customHeight="1">
      <c r="A25" s="33" t="s">
        <v>74</v>
      </c>
      <c r="B25" s="34">
        <v>952404</v>
      </c>
      <c r="C25" s="35">
        <v>536986</v>
      </c>
      <c r="D25" s="36">
        <f t="shared" ref="D25" si="14">AVERAGE(B25:C25)</f>
        <v>744695</v>
      </c>
      <c r="E25" s="37">
        <v>0</v>
      </c>
      <c r="F25" s="36">
        <f>E25*D25</f>
        <v>0</v>
      </c>
      <c r="HW25" s="21"/>
      <c r="HX25" s="21"/>
      <c r="HY25" s="21"/>
      <c r="HZ25" s="21"/>
      <c r="IA25" s="21"/>
      <c r="IB25" s="21"/>
      <c r="IE25" s="22"/>
      <c r="IF25" s="22"/>
      <c r="IG25" s="23"/>
      <c r="IH25" s="23"/>
      <c r="II25" s="23"/>
      <c r="IJ25" s="23"/>
      <c r="IK25" s="23"/>
      <c r="IL25" s="23"/>
    </row>
    <row r="26" spans="1:246" ht="14.25" customHeight="1">
      <c r="A26" s="33" t="s">
        <v>49</v>
      </c>
      <c r="B26" s="34">
        <f>1320000+268743+154463+42001+127087+56592</f>
        <v>1968886</v>
      </c>
      <c r="C26" s="35">
        <f>960000+176877+77457+73004+35582+24000</f>
        <v>1346920</v>
      </c>
      <c r="D26" s="36">
        <f t="shared" si="12"/>
        <v>1657903</v>
      </c>
      <c r="E26" s="37">
        <v>0</v>
      </c>
      <c r="F26" s="36">
        <f>E26*D26</f>
        <v>0</v>
      </c>
      <c r="HW26" s="21"/>
      <c r="HX26" s="21"/>
      <c r="HY26" s="21"/>
      <c r="HZ26" s="21"/>
      <c r="IA26" s="21"/>
      <c r="IB26" s="21"/>
      <c r="IE26" s="22"/>
      <c r="IF26" s="22"/>
      <c r="IG26" s="23"/>
      <c r="IH26" s="23"/>
      <c r="II26" s="23"/>
      <c r="IJ26" s="23"/>
      <c r="IK26" s="23"/>
      <c r="IL26" s="23"/>
    </row>
    <row r="27" spans="1:246">
      <c r="A27" s="33" t="s">
        <v>70</v>
      </c>
      <c r="B27" s="34">
        <v>480000</v>
      </c>
      <c r="C27" s="34">
        <v>480000</v>
      </c>
      <c r="D27" s="36">
        <f t="shared" si="12"/>
        <v>480000</v>
      </c>
      <c r="E27" s="37">
        <v>1</v>
      </c>
      <c r="F27" s="36">
        <f t="shared" ref="F27:F29" si="15">E27*D27</f>
        <v>480000</v>
      </c>
      <c r="HW27" s="21"/>
      <c r="HX27" s="21"/>
      <c r="HY27" s="21"/>
      <c r="HZ27" s="21"/>
      <c r="IA27" s="21"/>
      <c r="IB27" s="21"/>
      <c r="IE27" s="22"/>
      <c r="IF27" s="22"/>
      <c r="IG27" s="23"/>
      <c r="IH27" s="23"/>
      <c r="II27" s="23"/>
      <c r="IJ27" s="23"/>
      <c r="IK27" s="23"/>
      <c r="IL27" s="23"/>
    </row>
    <row r="28" spans="1:246">
      <c r="A28" s="33" t="s">
        <v>71</v>
      </c>
      <c r="B28" s="34">
        <f>2041+2760+430+1183+1290+264077+6540</f>
        <v>278321</v>
      </c>
      <c r="C28" s="34">
        <f>2122+1889+418+1981+239827+3845</f>
        <v>250082</v>
      </c>
      <c r="D28" s="36">
        <f t="shared" si="12"/>
        <v>264201.5</v>
      </c>
      <c r="E28" s="37">
        <v>0.5</v>
      </c>
      <c r="F28" s="36">
        <f t="shared" si="15"/>
        <v>132100.75</v>
      </c>
      <c r="HW28" s="21"/>
      <c r="HX28" s="21"/>
      <c r="HY28" s="21"/>
      <c r="HZ28" s="21"/>
      <c r="IA28" s="21"/>
      <c r="IB28" s="21"/>
      <c r="IE28" s="22"/>
      <c r="IF28" s="22"/>
      <c r="IG28" s="23"/>
      <c r="IH28" s="23"/>
      <c r="II28" s="23"/>
      <c r="IJ28" s="23"/>
      <c r="IK28" s="23"/>
      <c r="IL28" s="23"/>
    </row>
    <row r="29" spans="1:246">
      <c r="A29" s="33" t="s">
        <v>45</v>
      </c>
      <c r="B29" s="34">
        <v>-2841845</v>
      </c>
      <c r="C29" s="34">
        <v>-1341786</v>
      </c>
      <c r="D29" s="36">
        <f t="shared" si="12"/>
        <v>-2091815.5</v>
      </c>
      <c r="E29" s="37">
        <v>1</v>
      </c>
      <c r="F29" s="36">
        <f t="shared" si="15"/>
        <v>-2091815.5</v>
      </c>
      <c r="HW29" s="21"/>
      <c r="HX29" s="21"/>
      <c r="HY29" s="21"/>
      <c r="HZ29" s="21"/>
      <c r="IA29" s="21"/>
      <c r="IB29" s="21"/>
      <c r="IE29" s="22"/>
      <c r="IF29" s="22"/>
      <c r="IG29" s="23"/>
      <c r="IH29" s="23"/>
      <c r="II29" s="23"/>
      <c r="IJ29" s="23"/>
      <c r="IK29" s="23"/>
      <c r="IL29" s="23"/>
    </row>
    <row r="30" spans="1:246">
      <c r="A30" s="41" t="s">
        <v>100</v>
      </c>
      <c r="B30" s="41" t="s">
        <v>43</v>
      </c>
      <c r="C30" s="41" t="s">
        <v>112</v>
      </c>
      <c r="D30" s="41" t="s">
        <v>32</v>
      </c>
      <c r="E30" s="42" t="s">
        <v>0</v>
      </c>
      <c r="F30" s="41" t="s">
        <v>33</v>
      </c>
      <c r="HW30" s="21"/>
      <c r="HX30" s="21"/>
      <c r="HY30" s="21"/>
      <c r="HZ30" s="21"/>
      <c r="IA30" s="21"/>
      <c r="IB30" s="21"/>
      <c r="IE30" s="22"/>
      <c r="IF30" s="22"/>
      <c r="IG30" s="23"/>
      <c r="IH30" s="23"/>
      <c r="II30" s="23"/>
      <c r="IJ30" s="23"/>
      <c r="IK30" s="23"/>
      <c r="IL30" s="23"/>
    </row>
    <row r="31" spans="1:246">
      <c r="A31" s="33" t="s">
        <v>70</v>
      </c>
      <c r="B31" s="38">
        <v>1200000</v>
      </c>
      <c r="C31" s="34">
        <v>1000000</v>
      </c>
      <c r="D31" s="36">
        <f>AVERAGE(B31:C31)</f>
        <v>1100000</v>
      </c>
      <c r="E31" s="37">
        <v>1</v>
      </c>
      <c r="F31" s="36">
        <f>E31*D31</f>
        <v>1100000</v>
      </c>
      <c r="HW31" s="21"/>
      <c r="HX31" s="21"/>
      <c r="HY31" s="21"/>
      <c r="HZ31" s="21"/>
      <c r="IA31" s="21"/>
      <c r="IB31" s="21"/>
      <c r="IE31" s="22"/>
      <c r="IF31" s="22"/>
      <c r="IG31" s="23"/>
      <c r="IH31" s="23"/>
      <c r="II31" s="23"/>
      <c r="IJ31" s="23"/>
      <c r="IK31" s="23"/>
      <c r="IL31" s="23"/>
    </row>
    <row r="32" spans="1:246" ht="14.25" customHeight="1">
      <c r="A32" s="33" t="s">
        <v>113</v>
      </c>
      <c r="B32" s="34">
        <f>720000+1285000</f>
        <v>2005000</v>
      </c>
      <c r="C32" s="35">
        <v>660000</v>
      </c>
      <c r="D32" s="36">
        <f t="shared" ref="D32:D34" si="16">AVERAGE(B32:C32)</f>
        <v>1332500</v>
      </c>
      <c r="E32" s="37">
        <v>0</v>
      </c>
      <c r="F32" s="36">
        <f>E32*D32</f>
        <v>0</v>
      </c>
      <c r="HW32" s="21"/>
      <c r="HX32" s="21"/>
      <c r="HY32" s="21"/>
      <c r="HZ32" s="21"/>
      <c r="IA32" s="21"/>
      <c r="IB32" s="21"/>
      <c r="IE32" s="22"/>
      <c r="IF32" s="22"/>
      <c r="IG32" s="23"/>
      <c r="IH32" s="23"/>
      <c r="II32" s="23"/>
      <c r="IJ32" s="23"/>
      <c r="IK32" s="23"/>
      <c r="IL32" s="23"/>
    </row>
    <row r="33" spans="1:247">
      <c r="A33" s="33" t="s">
        <v>71</v>
      </c>
      <c r="B33" s="34">
        <f>6705+65870+225621+24000</f>
        <v>322196</v>
      </c>
      <c r="C33" s="34">
        <f>4832+107327+100106+1230</f>
        <v>213495</v>
      </c>
      <c r="D33" s="36">
        <f t="shared" si="16"/>
        <v>267845.5</v>
      </c>
      <c r="E33" s="37">
        <v>0.5</v>
      </c>
      <c r="F33" s="36">
        <f t="shared" ref="F33:F34" si="17">E33*D33</f>
        <v>133922.75</v>
      </c>
      <c r="HW33" s="21"/>
      <c r="HX33" s="21"/>
      <c r="HY33" s="21"/>
      <c r="HZ33" s="21"/>
      <c r="IA33" s="21"/>
      <c r="IB33" s="21"/>
      <c r="IE33" s="22"/>
      <c r="IF33" s="22"/>
      <c r="IG33" s="23"/>
      <c r="IH33" s="23"/>
      <c r="II33" s="23"/>
      <c r="IJ33" s="23"/>
      <c r="IK33" s="23"/>
      <c r="IL33" s="23"/>
    </row>
    <row r="34" spans="1:247">
      <c r="A34" s="33" t="s">
        <v>45</v>
      </c>
      <c r="B34" s="34">
        <v>-480987</v>
      </c>
      <c r="C34" s="34">
        <v>-273912</v>
      </c>
      <c r="D34" s="36">
        <f t="shared" si="16"/>
        <v>-377449.5</v>
      </c>
      <c r="E34" s="37">
        <v>1</v>
      </c>
      <c r="F34" s="36">
        <f t="shared" si="17"/>
        <v>-377449.5</v>
      </c>
      <c r="HW34" s="21"/>
      <c r="HX34" s="21"/>
      <c r="HY34" s="21"/>
      <c r="HZ34" s="21"/>
      <c r="IA34" s="21"/>
      <c r="IB34" s="21"/>
      <c r="IE34" s="22"/>
      <c r="IF34" s="22"/>
      <c r="IG34" s="23"/>
      <c r="IH34" s="23"/>
      <c r="II34" s="23"/>
      <c r="IJ34" s="23"/>
      <c r="IK34" s="23"/>
      <c r="IL34" s="23"/>
    </row>
    <row r="35" spans="1:247" ht="15.4" customHeight="1">
      <c r="A35" s="43" t="s">
        <v>34</v>
      </c>
      <c r="B35" s="28"/>
      <c r="C35" s="28"/>
      <c r="D35" s="28"/>
      <c r="E35" s="28"/>
      <c r="F35" s="44">
        <f>+SUM(F2:F34)</f>
        <v>47266360.530000001</v>
      </c>
      <c r="IC35" s="20"/>
      <c r="IK35" s="21"/>
      <c r="IM35" s="22"/>
    </row>
    <row r="36" spans="1:247" ht="16.350000000000001" customHeight="1">
      <c r="A36" s="29" t="s">
        <v>35</v>
      </c>
      <c r="B36" s="30"/>
      <c r="C36" s="30"/>
      <c r="D36" s="30"/>
      <c r="E36" s="30"/>
      <c r="F36" s="44">
        <f>F35/12</f>
        <v>3938863.3774999999</v>
      </c>
      <c r="IC36" s="20"/>
      <c r="IK36" s="21"/>
      <c r="IM36" s="22"/>
    </row>
    <row r="37" spans="1:247">
      <c r="A37" s="29" t="s">
        <v>36</v>
      </c>
      <c r="B37" s="30"/>
      <c r="C37" s="30"/>
      <c r="D37" s="30"/>
      <c r="E37" s="30"/>
      <c r="F37" s="27">
        <f>RTR!M18</f>
        <v>2169099</v>
      </c>
      <c r="IC37" s="20"/>
      <c r="IK37" s="21"/>
      <c r="IM37" s="22"/>
    </row>
    <row r="38" spans="1:247" ht="14.25" customHeight="1">
      <c r="A38" s="31" t="s">
        <v>48</v>
      </c>
      <c r="B38" s="31"/>
      <c r="C38" s="31"/>
      <c r="D38" s="31"/>
      <c r="E38" s="31"/>
      <c r="F38" s="32">
        <v>0.9</v>
      </c>
      <c r="IC38" s="20"/>
      <c r="IK38" s="21"/>
      <c r="IM38" s="22"/>
    </row>
    <row r="39" spans="1:247" ht="16.350000000000001" customHeight="1">
      <c r="A39" s="29" t="s">
        <v>37</v>
      </c>
      <c r="B39" s="30"/>
      <c r="C39" s="30"/>
      <c r="D39" s="30"/>
      <c r="E39" s="30"/>
      <c r="F39" s="45">
        <f>(F36*F38)-F37</f>
        <v>1375878.03975</v>
      </c>
      <c r="IC39" s="20"/>
      <c r="IK39" s="21"/>
      <c r="IM39" s="22"/>
    </row>
    <row r="40" spans="1:247" ht="16.350000000000001" customHeight="1">
      <c r="A40" s="29" t="s">
        <v>38</v>
      </c>
      <c r="B40" s="30"/>
      <c r="C40" s="30"/>
      <c r="D40" s="30"/>
      <c r="E40" s="30"/>
      <c r="F40" s="31">
        <v>180</v>
      </c>
      <c r="IC40" s="20"/>
      <c r="IK40" s="21"/>
      <c r="IM40" s="22"/>
    </row>
    <row r="41" spans="1:247" ht="15" customHeight="1">
      <c r="A41" s="29" t="s">
        <v>39</v>
      </c>
      <c r="B41" s="30"/>
      <c r="C41" s="30"/>
      <c r="D41" s="30"/>
      <c r="E41" s="30"/>
      <c r="F41" s="32">
        <v>9.8500000000000004E-2</v>
      </c>
      <c r="IC41" s="20"/>
      <c r="IK41" s="21"/>
      <c r="IM41" s="22"/>
    </row>
    <row r="42" spans="1:247">
      <c r="A42" s="29" t="s">
        <v>40</v>
      </c>
      <c r="B42" s="30"/>
      <c r="C42" s="30"/>
      <c r="D42" s="30"/>
      <c r="E42" s="30"/>
      <c r="F42" s="46">
        <f>PMT(F41/12,F40,-100000)</f>
        <v>1065.4471712419499</v>
      </c>
      <c r="IC42" s="20"/>
      <c r="IK42" s="21"/>
      <c r="IM42" s="22"/>
    </row>
    <row r="43" spans="1:247">
      <c r="A43" s="29" t="s">
        <v>41</v>
      </c>
      <c r="B43" s="30"/>
      <c r="C43" s="30"/>
      <c r="D43" s="30"/>
      <c r="E43" s="30"/>
      <c r="F43" s="47">
        <f>F39/F42</f>
        <v>1291.3620467415508</v>
      </c>
      <c r="IC43" s="20"/>
      <c r="IK43" s="21"/>
      <c r="IM43" s="22"/>
    </row>
    <row r="51" spans="2:2">
      <c r="B51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Y18"/>
  <sheetViews>
    <sheetView zoomScale="136" zoomScaleNormal="136" workbookViewId="0">
      <selection activeCell="M19" sqref="M19"/>
    </sheetView>
  </sheetViews>
  <sheetFormatPr defaultColWidth="22.140625" defaultRowHeight="12"/>
  <cols>
    <col min="1" max="1" width="6.140625" style="24" bestFit="1" customWidth="1"/>
    <col min="2" max="2" width="15.140625" style="24" bestFit="1" customWidth="1"/>
    <col min="3" max="3" width="23.140625" style="24" bestFit="1" customWidth="1"/>
    <col min="4" max="4" width="5.7109375" style="24" bestFit="1" customWidth="1"/>
    <col min="5" max="5" width="4.85546875" style="24" bestFit="1" customWidth="1"/>
    <col min="6" max="6" width="9" style="24" bestFit="1" customWidth="1"/>
    <col min="7" max="7" width="9" style="24" customWidth="1"/>
    <col min="8" max="8" width="7.85546875" style="24" bestFit="1" customWidth="1"/>
    <col min="9" max="9" width="6.5703125" style="24" bestFit="1" customWidth="1"/>
    <col min="10" max="11" width="5.5703125" style="24" bestFit="1" customWidth="1"/>
    <col min="12" max="12" width="7.7109375" style="24" bestFit="1" customWidth="1"/>
    <col min="13" max="13" width="9.85546875" style="24" bestFit="1" customWidth="1"/>
    <col min="14" max="14" width="38.140625" style="24" bestFit="1" customWidth="1"/>
    <col min="15" max="233" width="22.140625" style="24"/>
    <col min="234" max="16384" width="22.140625" style="25"/>
  </cols>
  <sheetData>
    <row r="1" spans="1:233" s="40" customFormat="1" ht="25.5">
      <c r="A1" s="49" t="s">
        <v>1</v>
      </c>
      <c r="B1" s="49" t="s">
        <v>51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66</v>
      </c>
      <c r="H1" s="49" t="s">
        <v>53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42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</row>
    <row r="2" spans="1:233">
      <c r="A2" s="52">
        <v>1</v>
      </c>
      <c r="B2" s="54">
        <v>83913170</v>
      </c>
      <c r="C2" s="52" t="s">
        <v>58</v>
      </c>
      <c r="D2" s="52" t="s">
        <v>64</v>
      </c>
      <c r="E2" s="55" t="s">
        <v>65</v>
      </c>
      <c r="F2" s="56">
        <v>3536526</v>
      </c>
      <c r="G2" s="66">
        <v>43684</v>
      </c>
      <c r="H2" s="57">
        <v>2621840</v>
      </c>
      <c r="I2" s="57">
        <v>59</v>
      </c>
      <c r="J2" s="57">
        <v>18</v>
      </c>
      <c r="K2" s="57">
        <f>59-18</f>
        <v>41</v>
      </c>
      <c r="L2" s="56">
        <v>74828</v>
      </c>
      <c r="M2" s="53" t="s">
        <v>46</v>
      </c>
      <c r="HY2" s="25"/>
    </row>
    <row r="3" spans="1:233">
      <c r="A3" s="52">
        <v>2</v>
      </c>
      <c r="B3" s="54">
        <v>83781515</v>
      </c>
      <c r="C3" s="52" t="s">
        <v>58</v>
      </c>
      <c r="D3" s="52" t="s">
        <v>64</v>
      </c>
      <c r="E3" s="55" t="s">
        <v>65</v>
      </c>
      <c r="F3" s="56">
        <v>10700000</v>
      </c>
      <c r="G3" s="66">
        <v>43684</v>
      </c>
      <c r="H3" s="57">
        <v>7228173</v>
      </c>
      <c r="I3" s="57">
        <v>49</v>
      </c>
      <c r="J3" s="57">
        <v>18</v>
      </c>
      <c r="K3" s="57">
        <f>49-18</f>
        <v>31</v>
      </c>
      <c r="L3" s="56">
        <v>263028</v>
      </c>
      <c r="M3" s="53" t="s">
        <v>46</v>
      </c>
      <c r="HY3" s="25"/>
    </row>
    <row r="4" spans="1:233" ht="12.75" customHeight="1">
      <c r="A4" s="52">
        <v>3</v>
      </c>
      <c r="B4" s="54">
        <v>8145698</v>
      </c>
      <c r="C4" s="52" t="s">
        <v>58</v>
      </c>
      <c r="D4" s="55" t="s">
        <v>64</v>
      </c>
      <c r="E4" s="55" t="s">
        <v>52</v>
      </c>
      <c r="F4" s="56">
        <v>16417000</v>
      </c>
      <c r="G4" s="66">
        <v>44019</v>
      </c>
      <c r="H4" s="57">
        <v>16417000</v>
      </c>
      <c r="I4" s="57">
        <v>48</v>
      </c>
      <c r="J4" s="57">
        <v>0</v>
      </c>
      <c r="K4" s="57">
        <v>0</v>
      </c>
      <c r="L4" s="56">
        <v>516345</v>
      </c>
      <c r="M4" s="53" t="s">
        <v>46</v>
      </c>
      <c r="N4" s="24" t="s">
        <v>67</v>
      </c>
      <c r="HY4" s="25"/>
    </row>
    <row r="5" spans="1:233">
      <c r="A5" s="52">
        <v>4</v>
      </c>
      <c r="B5" s="54" t="s">
        <v>68</v>
      </c>
      <c r="C5" s="52" t="s">
        <v>58</v>
      </c>
      <c r="D5" s="52" t="s">
        <v>56</v>
      </c>
      <c r="E5" s="55" t="s">
        <v>50</v>
      </c>
      <c r="F5" s="56">
        <v>9000000</v>
      </c>
      <c r="G5" s="66">
        <v>42804</v>
      </c>
      <c r="H5" s="57">
        <v>6466180</v>
      </c>
      <c r="I5" s="57">
        <v>120</v>
      </c>
      <c r="J5" s="57">
        <v>47</v>
      </c>
      <c r="K5" s="57">
        <f>120-47</f>
        <v>73</v>
      </c>
      <c r="L5" s="56">
        <v>117942</v>
      </c>
      <c r="M5" s="53" t="s">
        <v>47</v>
      </c>
    </row>
    <row r="6" spans="1:233">
      <c r="A6" s="52">
        <v>5</v>
      </c>
      <c r="B6" s="54" t="s">
        <v>69</v>
      </c>
      <c r="C6" s="52" t="s">
        <v>58</v>
      </c>
      <c r="D6" s="55" t="s">
        <v>56</v>
      </c>
      <c r="E6" s="55" t="s">
        <v>50</v>
      </c>
      <c r="F6" s="56">
        <v>26000000</v>
      </c>
      <c r="G6" s="66">
        <v>42771</v>
      </c>
      <c r="H6" s="57">
        <v>18492059</v>
      </c>
      <c r="I6" s="57">
        <v>120</v>
      </c>
      <c r="J6" s="57">
        <v>48</v>
      </c>
      <c r="K6" s="57">
        <f>120-48</f>
        <v>72</v>
      </c>
      <c r="L6" s="56">
        <v>340719</v>
      </c>
      <c r="M6" s="59" t="s">
        <v>47</v>
      </c>
      <c r="HY6" s="25"/>
    </row>
    <row r="7" spans="1:233">
      <c r="A7" s="52">
        <v>6</v>
      </c>
      <c r="B7" s="54"/>
      <c r="C7" s="52" t="s">
        <v>58</v>
      </c>
      <c r="D7" s="52" t="s">
        <v>64</v>
      </c>
      <c r="E7" s="55" t="s">
        <v>55</v>
      </c>
      <c r="F7" s="56">
        <v>65000000</v>
      </c>
      <c r="G7" s="69"/>
      <c r="H7" s="58"/>
      <c r="I7" s="58"/>
      <c r="J7" s="60"/>
      <c r="K7" s="60"/>
      <c r="L7" s="61"/>
      <c r="M7" s="53" t="s">
        <v>46</v>
      </c>
    </row>
    <row r="8" spans="1:233">
      <c r="A8" s="52">
        <v>7</v>
      </c>
      <c r="B8" s="51">
        <v>83781761</v>
      </c>
      <c r="C8" s="52" t="s">
        <v>75</v>
      </c>
      <c r="D8" s="52" t="s">
        <v>64</v>
      </c>
      <c r="E8" s="51" t="s">
        <v>65</v>
      </c>
      <c r="F8" s="51">
        <v>6600000</v>
      </c>
      <c r="G8" s="67">
        <v>43684</v>
      </c>
      <c r="H8" s="51">
        <v>4458491</v>
      </c>
      <c r="I8" s="51">
        <v>49</v>
      </c>
      <c r="J8" s="51">
        <v>18</v>
      </c>
      <c r="K8" s="51">
        <f>49-18</f>
        <v>31</v>
      </c>
      <c r="L8" s="51">
        <v>162242</v>
      </c>
      <c r="M8" s="53" t="s">
        <v>46</v>
      </c>
      <c r="HY8" s="25"/>
    </row>
    <row r="9" spans="1:233" ht="12.75" customHeight="1">
      <c r="A9" s="52">
        <v>8</v>
      </c>
      <c r="B9" s="54">
        <v>8125859</v>
      </c>
      <c r="C9" s="52" t="s">
        <v>75</v>
      </c>
      <c r="D9" s="55" t="s">
        <v>64</v>
      </c>
      <c r="E9" s="55" t="s">
        <v>52</v>
      </c>
      <c r="F9" s="56">
        <v>7897000</v>
      </c>
      <c r="G9" s="66">
        <v>44019</v>
      </c>
      <c r="H9" s="57">
        <v>7897000</v>
      </c>
      <c r="I9" s="57">
        <v>48</v>
      </c>
      <c r="J9" s="57">
        <v>0</v>
      </c>
      <c r="K9" s="57">
        <v>0</v>
      </c>
      <c r="L9" s="56">
        <v>248375</v>
      </c>
      <c r="M9" s="53" t="s">
        <v>46</v>
      </c>
      <c r="N9" s="24" t="s">
        <v>76</v>
      </c>
      <c r="HY9" s="25"/>
    </row>
    <row r="10" spans="1:233">
      <c r="A10" s="52">
        <v>9</v>
      </c>
      <c r="B10" s="54" t="s">
        <v>77</v>
      </c>
      <c r="C10" s="52" t="s">
        <v>78</v>
      </c>
      <c r="D10" s="55" t="s">
        <v>56</v>
      </c>
      <c r="E10" s="55" t="s">
        <v>50</v>
      </c>
      <c r="F10" s="56">
        <v>20000000</v>
      </c>
      <c r="G10" s="66">
        <v>42771</v>
      </c>
      <c r="H10" s="57">
        <v>14078705</v>
      </c>
      <c r="I10" s="57">
        <v>120</v>
      </c>
      <c r="J10" s="57">
        <v>49</v>
      </c>
      <c r="K10" s="57">
        <f>120-49</f>
        <v>71</v>
      </c>
      <c r="L10" s="56">
        <v>262092</v>
      </c>
      <c r="M10" s="59" t="s">
        <v>47</v>
      </c>
      <c r="HY10" s="25"/>
    </row>
    <row r="11" spans="1:233">
      <c r="A11" s="52">
        <v>10</v>
      </c>
      <c r="B11" s="54"/>
      <c r="C11" s="52" t="s">
        <v>90</v>
      </c>
      <c r="D11" s="55" t="s">
        <v>64</v>
      </c>
      <c r="E11" s="55" t="s">
        <v>55</v>
      </c>
      <c r="F11" s="56">
        <v>37500000</v>
      </c>
      <c r="G11" s="69"/>
      <c r="H11" s="58"/>
      <c r="I11" s="58"/>
      <c r="J11" s="58"/>
      <c r="K11" s="58"/>
      <c r="L11" s="61"/>
      <c r="M11" s="59" t="s">
        <v>46</v>
      </c>
      <c r="HY11" s="25"/>
    </row>
    <row r="12" spans="1:233">
      <c r="A12" s="52">
        <v>11</v>
      </c>
      <c r="B12" s="54">
        <v>83781330</v>
      </c>
      <c r="C12" s="52" t="s">
        <v>91</v>
      </c>
      <c r="D12" s="52" t="s">
        <v>64</v>
      </c>
      <c r="E12" s="55" t="s">
        <v>65</v>
      </c>
      <c r="F12" s="56">
        <v>18300000</v>
      </c>
      <c r="G12" s="66">
        <v>43684</v>
      </c>
      <c r="H12" s="57">
        <v>13664961</v>
      </c>
      <c r="I12" s="57">
        <v>60</v>
      </c>
      <c r="J12" s="65">
        <v>18</v>
      </c>
      <c r="K12" s="65">
        <f>60-18</f>
        <v>42</v>
      </c>
      <c r="L12" s="56">
        <v>382103</v>
      </c>
      <c r="M12" s="53" t="s">
        <v>46</v>
      </c>
    </row>
    <row r="13" spans="1:233">
      <c r="A13" s="52">
        <v>12</v>
      </c>
      <c r="B13" s="51">
        <v>83913169</v>
      </c>
      <c r="C13" s="52" t="s">
        <v>91</v>
      </c>
      <c r="D13" s="52" t="s">
        <v>64</v>
      </c>
      <c r="E13" s="51" t="s">
        <v>65</v>
      </c>
      <c r="F13" s="51">
        <v>9100000</v>
      </c>
      <c r="G13" s="67">
        <v>43684</v>
      </c>
      <c r="H13" s="51">
        <v>6887878</v>
      </c>
      <c r="I13" s="51">
        <v>62</v>
      </c>
      <c r="J13" s="51">
        <v>18</v>
      </c>
      <c r="K13" s="51">
        <f>62-18</f>
        <v>44</v>
      </c>
      <c r="L13" s="51">
        <v>185185</v>
      </c>
      <c r="M13" s="53" t="s">
        <v>46</v>
      </c>
      <c r="HY13" s="25"/>
    </row>
    <row r="14" spans="1:233" ht="12.75" customHeight="1">
      <c r="A14" s="52">
        <v>13</v>
      </c>
      <c r="B14" s="54">
        <v>8114554</v>
      </c>
      <c r="C14" s="52" t="s">
        <v>91</v>
      </c>
      <c r="D14" s="55" t="s">
        <v>64</v>
      </c>
      <c r="E14" s="55" t="s">
        <v>52</v>
      </c>
      <c r="F14" s="56">
        <v>13507924</v>
      </c>
      <c r="G14" s="66">
        <v>44050</v>
      </c>
      <c r="H14" s="57">
        <v>13507924</v>
      </c>
      <c r="I14" s="57">
        <v>48</v>
      </c>
      <c r="J14" s="57">
        <v>0</v>
      </c>
      <c r="K14" s="57">
        <v>0</v>
      </c>
      <c r="L14" s="56">
        <v>424849</v>
      </c>
      <c r="M14" s="53" t="s">
        <v>46</v>
      </c>
      <c r="N14" s="24" t="s">
        <v>97</v>
      </c>
      <c r="HY14" s="25"/>
    </row>
    <row r="15" spans="1:233">
      <c r="A15" s="52">
        <v>14</v>
      </c>
      <c r="B15" s="54" t="s">
        <v>92</v>
      </c>
      <c r="C15" s="52" t="s">
        <v>93</v>
      </c>
      <c r="D15" s="55" t="s">
        <v>56</v>
      </c>
      <c r="E15" s="55" t="s">
        <v>94</v>
      </c>
      <c r="F15" s="56">
        <v>12000000</v>
      </c>
      <c r="G15" s="66">
        <v>43866</v>
      </c>
      <c r="H15" s="57">
        <v>11547600</v>
      </c>
      <c r="I15" s="57">
        <v>160</v>
      </c>
      <c r="J15" s="57">
        <v>12</v>
      </c>
      <c r="K15" s="57">
        <f>160-12</f>
        <v>148</v>
      </c>
      <c r="L15" s="56">
        <v>127489</v>
      </c>
      <c r="M15" s="59" t="s">
        <v>47</v>
      </c>
      <c r="HY15" s="25"/>
    </row>
    <row r="16" spans="1:233">
      <c r="A16" s="52">
        <v>15</v>
      </c>
      <c r="B16" s="54" t="s">
        <v>95</v>
      </c>
      <c r="C16" s="52" t="s">
        <v>93</v>
      </c>
      <c r="D16" s="55" t="s">
        <v>56</v>
      </c>
      <c r="E16" s="55" t="s">
        <v>96</v>
      </c>
      <c r="F16" s="56">
        <v>4748000</v>
      </c>
      <c r="G16" s="66">
        <v>44109</v>
      </c>
      <c r="H16" s="57">
        <v>4748000</v>
      </c>
      <c r="I16" s="57">
        <v>48</v>
      </c>
      <c r="J16" s="57">
        <v>0</v>
      </c>
      <c r="K16" s="57">
        <v>0</v>
      </c>
      <c r="L16" s="56">
        <v>149334</v>
      </c>
      <c r="M16" s="59" t="s">
        <v>47</v>
      </c>
      <c r="HY16" s="25"/>
    </row>
    <row r="17" spans="1:233">
      <c r="A17" s="52"/>
      <c r="B17" s="54"/>
      <c r="C17" s="52"/>
      <c r="D17" s="55"/>
      <c r="E17" s="55"/>
      <c r="F17" s="56"/>
      <c r="G17" s="66"/>
      <c r="H17" s="57"/>
      <c r="I17" s="57"/>
      <c r="J17" s="57"/>
      <c r="K17" s="57"/>
      <c r="L17" s="56">
        <v>250000</v>
      </c>
      <c r="M17" s="59" t="s">
        <v>46</v>
      </c>
      <c r="HY17" s="25"/>
    </row>
    <row r="18" spans="1:233">
      <c r="A18" s="62"/>
      <c r="B18" s="50"/>
      <c r="C18" s="50"/>
      <c r="D18" s="50"/>
      <c r="E18" s="50"/>
      <c r="F18" s="63"/>
      <c r="G18" s="68"/>
      <c r="H18" s="50"/>
      <c r="I18" s="50"/>
      <c r="J18" s="50"/>
      <c r="K18" s="50"/>
      <c r="L18" s="50"/>
      <c r="M18" s="64">
        <f>SUMIF(M4:M17,"Y",L4:L17)</f>
        <v>2169099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10</v>
      </c>
      <c r="B1" s="71"/>
      <c r="C1" s="2"/>
    </row>
    <row r="2" spans="1:6" ht="14.25" customHeight="1">
      <c r="A2" s="71" t="s">
        <v>11</v>
      </c>
      <c r="B2" s="71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E8:H22"/>
  <sheetViews>
    <sheetView topLeftCell="A7" zoomScale="154" zoomScaleNormal="154" workbookViewId="0">
      <selection activeCell="B16" sqref="B16"/>
    </sheetView>
  </sheetViews>
  <sheetFormatPr defaultRowHeight="12.75"/>
  <cols>
    <col min="5" max="5" width="38.42578125" bestFit="1" customWidth="1"/>
    <col min="6" max="7" width="20.140625" bestFit="1" customWidth="1"/>
    <col min="8" max="8" width="20.28515625" customWidth="1"/>
  </cols>
  <sheetData>
    <row r="8" spans="5:8">
      <c r="E8" s="72" t="s">
        <v>12</v>
      </c>
      <c r="F8" s="73" t="s">
        <v>81</v>
      </c>
      <c r="G8" s="73" t="s">
        <v>82</v>
      </c>
      <c r="H8" s="73" t="s">
        <v>83</v>
      </c>
    </row>
    <row r="9" spans="5:8" ht="25.5">
      <c r="E9" s="74" t="s">
        <v>114</v>
      </c>
      <c r="F9" s="75" t="s">
        <v>115</v>
      </c>
      <c r="G9" s="75" t="s">
        <v>115</v>
      </c>
      <c r="H9" s="75" t="s">
        <v>115</v>
      </c>
    </row>
    <row r="10" spans="5:8">
      <c r="E10" s="76" t="s">
        <v>116</v>
      </c>
      <c r="F10" s="77">
        <v>50000000</v>
      </c>
      <c r="G10" s="77">
        <v>50000000</v>
      </c>
      <c r="H10" s="77">
        <v>50000000</v>
      </c>
    </row>
    <row r="11" spans="5:8">
      <c r="E11" s="76" t="s">
        <v>117</v>
      </c>
      <c r="F11" s="77">
        <v>279720290</v>
      </c>
      <c r="G11" s="77">
        <v>214268820</v>
      </c>
      <c r="H11" s="77">
        <v>395682169</v>
      </c>
    </row>
    <row r="12" spans="5:8">
      <c r="E12" s="76" t="s">
        <v>118</v>
      </c>
      <c r="F12" s="77">
        <v>35505239</v>
      </c>
      <c r="G12" s="77">
        <v>30098268</v>
      </c>
      <c r="H12" s="77">
        <v>50035239</v>
      </c>
    </row>
    <row r="13" spans="5:8">
      <c r="E13" s="78" t="s">
        <v>119</v>
      </c>
      <c r="F13" s="79">
        <f>MAX(F12,IF(F10&gt;7500000,F11*10.25%,F11*10.25%))/12</f>
        <v>2958769.9166666665</v>
      </c>
      <c r="G13" s="79">
        <f>MAX(G12,IF(G10&gt;7500000,G11*10.25%,G11*10.25%))/12</f>
        <v>2508189</v>
      </c>
      <c r="H13" s="79">
        <f>MAX(H12,IF(H10&gt;7500000,H11*10.25%,H11*10.25%))/12</f>
        <v>4169603.25</v>
      </c>
    </row>
    <row r="14" spans="5:8">
      <c r="E14" s="78" t="s">
        <v>120</v>
      </c>
      <c r="F14" s="79">
        <f>F13</f>
        <v>2958769.9166666665</v>
      </c>
      <c r="G14" s="79">
        <f>G13</f>
        <v>2508189</v>
      </c>
      <c r="H14" s="79">
        <f>H13</f>
        <v>4169603.25</v>
      </c>
    </row>
    <row r="15" spans="5:8">
      <c r="E15" s="76" t="s">
        <v>121</v>
      </c>
      <c r="F15" s="77">
        <v>60</v>
      </c>
      <c r="G15" s="77">
        <v>60</v>
      </c>
      <c r="H15" s="77">
        <v>60</v>
      </c>
    </row>
    <row r="16" spans="5:8">
      <c r="E16" s="78" t="s">
        <v>122</v>
      </c>
      <c r="F16" s="79">
        <f>F14*F15%</f>
        <v>1775261.95</v>
      </c>
      <c r="G16" s="79">
        <f>G14*G15%</f>
        <v>1504913.4</v>
      </c>
      <c r="H16" s="79">
        <f>H14*H15%</f>
        <v>2501761.9499999997</v>
      </c>
    </row>
    <row r="17" spans="5:8">
      <c r="E17" s="80" t="s">
        <v>123</v>
      </c>
      <c r="F17" s="81"/>
      <c r="G17" s="81"/>
      <c r="H17" s="81"/>
    </row>
    <row r="18" spans="5:8">
      <c r="E18" s="78" t="s">
        <v>124</v>
      </c>
      <c r="F18" s="79">
        <f>F16-F17</f>
        <v>1775261.95</v>
      </c>
      <c r="G18" s="79">
        <f>G16-G17</f>
        <v>1504913.4</v>
      </c>
      <c r="H18" s="79">
        <f>H16-H17</f>
        <v>2501761.9499999997</v>
      </c>
    </row>
    <row r="19" spans="5:8">
      <c r="E19" s="82" t="s">
        <v>125</v>
      </c>
      <c r="F19" s="77">
        <v>10</v>
      </c>
      <c r="G19" s="77">
        <v>10</v>
      </c>
      <c r="H19" s="77">
        <v>10</v>
      </c>
    </row>
    <row r="20" spans="5:8">
      <c r="E20" s="82" t="s">
        <v>126</v>
      </c>
      <c r="F20" s="77">
        <v>180</v>
      </c>
      <c r="G20" s="77">
        <v>180</v>
      </c>
      <c r="H20" s="77">
        <v>180</v>
      </c>
    </row>
    <row r="21" spans="5:8">
      <c r="E21" s="78" t="s">
        <v>127</v>
      </c>
      <c r="F21" s="79">
        <v>1074.6099999999999</v>
      </c>
      <c r="G21" s="79">
        <v>1074.6099999999999</v>
      </c>
      <c r="H21" s="79">
        <v>1074.6099999999999</v>
      </c>
    </row>
    <row r="22" spans="5:8">
      <c r="E22" s="83" t="s">
        <v>128</v>
      </c>
      <c r="F22" s="84">
        <f>(F18/F21)*100000</f>
        <v>165200579.7452099</v>
      </c>
      <c r="G22" s="84">
        <f>(G18/G21)*100000</f>
        <v>140042750.39316589</v>
      </c>
      <c r="H22" s="84">
        <f>(H18/H21)*100000</f>
        <v>232806501.89371026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2021-02-06T11:14:01Z</dcterms:modified>
</cp:coreProperties>
</file>