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J4" i="2"/>
  <c r="J3"/>
  <c r="J2"/>
  <c r="F23" i="1"/>
  <c r="C21"/>
  <c r="D21" s="1"/>
  <c r="F21" s="1"/>
  <c r="C20"/>
  <c r="B21"/>
  <c r="B20"/>
  <c r="D20"/>
  <c r="F20" s="1"/>
  <c r="D22"/>
  <c r="F22" s="1"/>
  <c r="D19"/>
  <c r="F19" s="1"/>
  <c r="C16"/>
  <c r="C14"/>
  <c r="D14" s="1"/>
  <c r="F14" s="1"/>
  <c r="C15"/>
  <c r="D15" s="1"/>
  <c r="F15" s="1"/>
  <c r="B16"/>
  <c r="B15"/>
  <c r="D17"/>
  <c r="F17" s="1"/>
  <c r="D13"/>
  <c r="F13" s="1"/>
  <c r="C10"/>
  <c r="B10"/>
  <c r="D16" l="1"/>
  <c r="F16" s="1"/>
  <c r="D11"/>
  <c r="F11" s="1"/>
  <c r="D10"/>
  <c r="F10" s="1"/>
  <c r="D9"/>
  <c r="F9" s="1"/>
  <c r="D8"/>
  <c r="F8" s="1"/>
  <c r="C5"/>
  <c r="C4"/>
  <c r="B4"/>
  <c r="B5"/>
  <c r="L6" i="2"/>
  <c r="D4" i="1"/>
  <c r="F4" s="1"/>
  <c r="F25" l="1"/>
  <c r="D6" l="1"/>
  <c r="D2"/>
  <c r="F6" l="1"/>
  <c r="F2"/>
  <c r="D3"/>
  <c r="D5" l="1"/>
  <c r="F5" s="1"/>
  <c r="F3"/>
  <c r="F30" l="1"/>
  <c r="F6" i="5" l="1"/>
  <c r="F7"/>
  <c r="F8"/>
  <c r="F9"/>
  <c r="F10"/>
  <c r="F11"/>
  <c r="F12"/>
  <c r="E13"/>
  <c r="F24" i="1" l="1"/>
  <c r="F13" i="5"/>
  <c r="F27" i="1" l="1"/>
  <c r="F31" s="1"/>
</calcChain>
</file>

<file path=xl/sharedStrings.xml><?xml version="1.0" encoding="utf-8"?>
<sst xmlns="http://schemas.openxmlformats.org/spreadsheetml/2006/main" count="103" uniqueCount="70">
  <si>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</si>
  <si>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</si>
  <si>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</si>
  <si>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</si>
  <si>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</si>
  <si>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</si>
  <si>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</si>
  <si>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</si>
  <si>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</si>
  <si>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</si>
  <si>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</si>
  <si>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</si>
  <si>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</si>
  <si>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</si>
  <si>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</si>
  <si>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</si>
  <si>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</si>
  <si>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</si>
  <si>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</si>
  <si>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</si>
  <si>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</si>
  <si>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</si>
  <si>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</si>
  <si>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</si>
  <si>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</si>
  <si>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</si>
  <si>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</si>
  <si>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</si>
  <si>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</si>
  <si>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</si>
  <si>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</si>
  <si>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</si>
  <si>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</si>
  <si>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</si>
  <si>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</si>
  <si>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</si>
  <si>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</si>
  <si>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</si>
  <si>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</si>
  <si>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</si>
  <si>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</si>
  <si>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</si>
  <si>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</si>
  <si>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</si>
  <si>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</si>
  <si>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>Income from house property</t>
  </si>
  <si>
    <t>y</t>
  </si>
  <si>
    <t xml:space="preserve">Max FOIR          </t>
  </si>
  <si>
    <t>Income U/s 40 A(2)b</t>
  </si>
  <si>
    <t>Bank Interest</t>
  </si>
  <si>
    <t>Lap</t>
  </si>
  <si>
    <t>Loan Account No.</t>
  </si>
  <si>
    <t>POS</t>
  </si>
  <si>
    <t>Depreciation</t>
  </si>
  <si>
    <t>Income from business &amp; profession</t>
  </si>
  <si>
    <t>Mind Plus Healthcare Private Ltd</t>
  </si>
  <si>
    <t>Net Profit / Loss</t>
  </si>
  <si>
    <t>Kunal Kala</t>
  </si>
  <si>
    <t>2020-21</t>
  </si>
  <si>
    <t>Income From Salary</t>
  </si>
  <si>
    <t>Income from other sources</t>
  </si>
  <si>
    <t>Anirudh Kumar Kala</t>
  </si>
  <si>
    <t>Ravinder Kala</t>
  </si>
  <si>
    <t>LALUD00037389365</t>
  </si>
  <si>
    <t>Mind Plus Healthcare Private Limited</t>
  </si>
  <si>
    <t>ICICI Bank</t>
  </si>
  <si>
    <t>Car Loan</t>
  </si>
  <si>
    <t>Auto Loan</t>
  </si>
  <si>
    <t>HDFC Bank</t>
  </si>
  <si>
    <t>IDFC First Bank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</si>
</sst>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3" tint="0.79998168889431442"/>
        <bgColor indexed="31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57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5" fontId="8" fillId="2" borderId="2" xfId="1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0" fontId="8" fillId="0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 wrapText="1"/>
    </xf>
    <xf numFmtId="166" fontId="8" fillId="7" borderId="2" xfId="1" applyNumberFormat="1" applyFont="1" applyFill="1" applyBorder="1" applyAlignment="1" applyProtection="1">
      <alignment horizontal="left" vertical="center"/>
    </xf>
    <xf numFmtId="166" fontId="8" fillId="6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/>
    </xf>
    <xf numFmtId="9" fontId="8" fillId="7" borderId="2" xfId="1" applyNumberFormat="1" applyFont="1" applyFill="1" applyBorder="1" applyAlignment="1" applyProtection="1">
      <alignment horizontal="left" vertic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  <xf numFmtId="0" fontId="12" fillId="8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1" fontId="15" fillId="0" borderId="2" xfId="0" applyNumberFormat="1" applyFont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" fontId="15" fillId="0" borderId="2" xfId="0" applyNumberFormat="1" applyFont="1" applyFill="1" applyBorder="1" applyAlignment="1">
      <alignment horizontal="left" vertical="center" wrapText="1"/>
    </xf>
    <xf numFmtId="1" fontId="13" fillId="2" borderId="2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2" fontId="14" fillId="7" borderId="2" xfId="0" applyNumberFormat="1" applyFont="1" applyFill="1" applyBorder="1" applyAlignment="1">
      <alignment horizontal="left" vertical="center"/>
    </xf>
    <xf numFmtId="1" fontId="14" fillId="7" borderId="2" xfId="0" applyNumberFormat="1" applyFont="1" applyFill="1" applyBorder="1" applyAlignment="1">
      <alignment horizontal="left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G39"/>
  <sheetViews>
    <sheetView tabSelected="1" topLeftCell="A4" zoomScale="130" zoomScaleNormal="130" workbookViewId="0">
      <selection activeCell="F24" sqref="F24"/>
    </sheetView>
  </sheetViews>
  <sheetFormatPr defaultColWidth="31.28515625" defaultRowHeight="12.75"/>
  <cols>
    <col min="1" max="1" width="31.28515625" style="20" customWidth="1"/>
    <col min="2" max="2" width="12.28515625" style="20" customWidth="1"/>
    <col min="3" max="3" width="12" style="20" customWidth="1"/>
    <col min="4" max="4" width="14.28515625" style="20" customWidth="1"/>
    <col min="5" max="5" width="13" style="20" customWidth="1"/>
    <col min="6" max="6" width="14.5703125" style="20" customWidth="1"/>
    <col min="7" max="7" width="16.85546875" style="20" customWidth="1"/>
    <col min="8" max="8" width="14.140625" style="20" customWidth="1"/>
    <col min="9" max="9" width="11.85546875" style="20" customWidth="1"/>
    <col min="10" max="10" width="12" style="20" customWidth="1"/>
    <col min="11" max="11" width="11" style="20" customWidth="1"/>
    <col min="12" max="12" width="11.5703125" style="20" customWidth="1"/>
    <col min="13" max="13" width="12" style="20" customWidth="1"/>
    <col min="14" max="231" width="31.28515625" style="20"/>
    <col min="232" max="239" width="31.28515625" style="21"/>
    <col min="240" max="241" width="31.28515625" style="22"/>
    <col min="242" max="16384" width="31.28515625" style="23"/>
  </cols>
  <sheetData>
    <row r="1" spans="1:6" ht="18" customHeight="1">
      <c r="A1" s="39" t="s">
        <v>55</v>
      </c>
      <c r="B1" s="39" t="s">
        <v>58</v>
      </c>
      <c r="C1" s="39" t="s">
        <v>43</v>
      </c>
      <c r="D1" s="39" t="s">
        <v>32</v>
      </c>
      <c r="E1" s="40" t="s">
        <v>0</v>
      </c>
      <c r="F1" s="39" t="s">
        <v>33</v>
      </c>
    </row>
    <row r="2" spans="1:6">
      <c r="A2" s="32" t="s">
        <v>56</v>
      </c>
      <c r="B2" s="33">
        <v>-1628280</v>
      </c>
      <c r="C2" s="34">
        <v>-4558479</v>
      </c>
      <c r="D2" s="35">
        <f>AVERAGE(B2:C2)</f>
        <v>-3093379.5</v>
      </c>
      <c r="E2" s="36">
        <v>1</v>
      </c>
      <c r="F2" s="35">
        <f>E2*D2</f>
        <v>-3093379.5</v>
      </c>
    </row>
    <row r="3" spans="1:6">
      <c r="A3" s="32" t="s">
        <v>53</v>
      </c>
      <c r="B3" s="33">
        <v>4502978</v>
      </c>
      <c r="C3" s="34">
        <v>5406034</v>
      </c>
      <c r="D3" s="35">
        <f t="shared" ref="D3:D6" si="0">AVERAGE(B3:C3)</f>
        <v>4954506</v>
      </c>
      <c r="E3" s="36">
        <v>1</v>
      </c>
      <c r="F3" s="35">
        <f t="shared" ref="F3:F6" si="1">E3*D3</f>
        <v>4954506</v>
      </c>
    </row>
    <row r="4" spans="1:6">
      <c r="A4" s="32" t="s">
        <v>49</v>
      </c>
      <c r="B4" s="33">
        <f>150930+3433342</f>
        <v>3584272</v>
      </c>
      <c r="C4" s="33">
        <f>235550+3527760</f>
        <v>3763310</v>
      </c>
      <c r="D4" s="35">
        <f t="shared" ref="D4" si="2">AVERAGE(B4:C4)</f>
        <v>3673791</v>
      </c>
      <c r="E4" s="36">
        <v>1</v>
      </c>
      <c r="F4" s="35">
        <f t="shared" ref="F4" si="3">E4*D4</f>
        <v>3673791</v>
      </c>
    </row>
    <row r="5" spans="1:6" ht="12" customHeight="1">
      <c r="A5" s="32" t="s">
        <v>48</v>
      </c>
      <c r="B5" s="33">
        <f>900000+1600000+1900000+1300000</f>
        <v>5700000</v>
      </c>
      <c r="C5" s="33">
        <f>900000+2400000+2400000+2300000</f>
        <v>8000000</v>
      </c>
      <c r="D5" s="35">
        <f t="shared" si="0"/>
        <v>6850000</v>
      </c>
      <c r="E5" s="36">
        <v>1</v>
      </c>
      <c r="F5" s="35">
        <f t="shared" si="1"/>
        <v>6850000</v>
      </c>
    </row>
    <row r="6" spans="1:6">
      <c r="A6" s="32" t="s">
        <v>44</v>
      </c>
      <c r="B6" s="33">
        <v>0</v>
      </c>
      <c r="C6" s="33">
        <v>0</v>
      </c>
      <c r="D6" s="35">
        <f t="shared" si="0"/>
        <v>0</v>
      </c>
      <c r="E6" s="36">
        <v>1</v>
      </c>
      <c r="F6" s="35">
        <f t="shared" si="1"/>
        <v>0</v>
      </c>
    </row>
    <row r="7" spans="1:6">
      <c r="A7" s="39" t="s">
        <v>57</v>
      </c>
      <c r="B7" s="39" t="s">
        <v>58</v>
      </c>
      <c r="C7" s="39" t="s">
        <v>43</v>
      </c>
      <c r="D7" s="39" t="s">
        <v>32</v>
      </c>
      <c r="E7" s="40" t="s">
        <v>0</v>
      </c>
      <c r="F7" s="39" t="s">
        <v>33</v>
      </c>
    </row>
    <row r="8" spans="1:6">
      <c r="A8" s="32" t="s">
        <v>59</v>
      </c>
      <c r="B8" s="33">
        <v>1300000</v>
      </c>
      <c r="C8" s="34">
        <v>2300000</v>
      </c>
      <c r="D8" s="35">
        <f>AVERAGE(B8:C8)</f>
        <v>1800000</v>
      </c>
      <c r="E8" s="36">
        <v>0</v>
      </c>
      <c r="F8" s="35">
        <f>E8*D8</f>
        <v>0</v>
      </c>
    </row>
    <row r="9" spans="1:6">
      <c r="A9" s="32" t="s">
        <v>54</v>
      </c>
      <c r="B9" s="33">
        <v>58000</v>
      </c>
      <c r="C9" s="34">
        <v>75000</v>
      </c>
      <c r="D9" s="35">
        <f t="shared" ref="D9:D11" si="4">AVERAGE(B9:C9)</f>
        <v>66500</v>
      </c>
      <c r="E9" s="36">
        <v>0</v>
      </c>
      <c r="F9" s="35">
        <f t="shared" ref="F9:F11" si="5">E9*D9</f>
        <v>0</v>
      </c>
    </row>
    <row r="10" spans="1:6">
      <c r="A10" s="32" t="s">
        <v>60</v>
      </c>
      <c r="B10" s="33">
        <f>3532</f>
        <v>3532</v>
      </c>
      <c r="C10" s="33">
        <f>122+9919+18</f>
        <v>10059</v>
      </c>
      <c r="D10" s="35">
        <f t="shared" si="4"/>
        <v>6795.5</v>
      </c>
      <c r="E10" s="36">
        <v>0.25</v>
      </c>
      <c r="F10" s="35">
        <f t="shared" si="5"/>
        <v>1698.875</v>
      </c>
    </row>
    <row r="11" spans="1:6">
      <c r="A11" s="32" t="s">
        <v>44</v>
      </c>
      <c r="B11" s="33">
        <v>-173746</v>
      </c>
      <c r="C11" s="33">
        <v>-492177</v>
      </c>
      <c r="D11" s="35">
        <f t="shared" si="4"/>
        <v>-332961.5</v>
      </c>
      <c r="E11" s="36">
        <v>1</v>
      </c>
      <c r="F11" s="35">
        <f t="shared" si="5"/>
        <v>-332961.5</v>
      </c>
    </row>
    <row r="12" spans="1:6">
      <c r="A12" s="39" t="s">
        <v>61</v>
      </c>
      <c r="B12" s="39" t="s">
        <v>58</v>
      </c>
      <c r="C12" s="39" t="s">
        <v>43</v>
      </c>
      <c r="D12" s="39" t="s">
        <v>32</v>
      </c>
      <c r="E12" s="40" t="s">
        <v>0</v>
      </c>
      <c r="F12" s="39" t="s">
        <v>33</v>
      </c>
    </row>
    <row r="13" spans="1:6">
      <c r="A13" s="32" t="s">
        <v>59</v>
      </c>
      <c r="B13" s="33">
        <v>1600000</v>
      </c>
      <c r="C13" s="34">
        <v>2400000</v>
      </c>
      <c r="D13" s="35">
        <f>AVERAGE(B13:C13)</f>
        <v>2000000</v>
      </c>
      <c r="E13" s="36">
        <v>0</v>
      </c>
      <c r="F13" s="35">
        <f>E13*D13</f>
        <v>0</v>
      </c>
    </row>
    <row r="14" spans="1:6">
      <c r="A14" s="32" t="s">
        <v>54</v>
      </c>
      <c r="B14" s="33">
        <v>1497514</v>
      </c>
      <c r="C14" s="34">
        <f>1293281+4816</f>
        <v>1298097</v>
      </c>
      <c r="D14" s="35">
        <f t="shared" ref="D14" si="6">AVERAGE(B14:C14)</f>
        <v>1397805.5</v>
      </c>
      <c r="E14" s="36">
        <v>0</v>
      </c>
      <c r="F14" s="35">
        <f t="shared" ref="F14" si="7">E14*D14</f>
        <v>0</v>
      </c>
    </row>
    <row r="15" spans="1:6">
      <c r="A15" s="32" t="s">
        <v>45</v>
      </c>
      <c r="B15" s="33">
        <f>233000+129415</f>
        <v>362415</v>
      </c>
      <c r="C15" s="34">
        <f>107000+343120</f>
        <v>450120</v>
      </c>
      <c r="D15" s="35">
        <f t="shared" ref="D15:D17" si="8">AVERAGE(B15:C15)</f>
        <v>406267.5</v>
      </c>
      <c r="E15" s="36">
        <v>0.25</v>
      </c>
      <c r="F15" s="35">
        <f t="shared" ref="F15:F17" si="9">E15*D15</f>
        <v>101566.875</v>
      </c>
    </row>
    <row r="16" spans="1:6">
      <c r="A16" s="32" t="s">
        <v>60</v>
      </c>
      <c r="B16" s="33">
        <f>30163+52622+47186</f>
        <v>129971</v>
      </c>
      <c r="C16" s="33">
        <f>61295+48162+20274+2938</f>
        <v>132669</v>
      </c>
      <c r="D16" s="35">
        <f t="shared" si="8"/>
        <v>131320</v>
      </c>
      <c r="E16" s="36">
        <v>0.25</v>
      </c>
      <c r="F16" s="35">
        <f t="shared" si="9"/>
        <v>32830</v>
      </c>
    </row>
    <row r="17" spans="1:6">
      <c r="A17" s="32" t="s">
        <v>44</v>
      </c>
      <c r="B17" s="33">
        <v>-1188274</v>
      </c>
      <c r="C17" s="33">
        <v>-1126295</v>
      </c>
      <c r="D17" s="35">
        <f t="shared" si="8"/>
        <v>-1157284.5</v>
      </c>
      <c r="E17" s="36">
        <v>1</v>
      </c>
      <c r="F17" s="35">
        <f t="shared" si="9"/>
        <v>-1157284.5</v>
      </c>
    </row>
    <row r="18" spans="1:6">
      <c r="A18" s="39" t="s">
        <v>62</v>
      </c>
      <c r="B18" s="39" t="s">
        <v>58</v>
      </c>
      <c r="C18" s="39" t="s">
        <v>43</v>
      </c>
      <c r="D18" s="39" t="s">
        <v>32</v>
      </c>
      <c r="E18" s="40" t="s">
        <v>0</v>
      </c>
      <c r="F18" s="39" t="s">
        <v>33</v>
      </c>
    </row>
    <row r="19" spans="1:6">
      <c r="A19" s="32" t="s">
        <v>59</v>
      </c>
      <c r="B19" s="33">
        <v>1900000</v>
      </c>
      <c r="C19" s="34">
        <v>2400000</v>
      </c>
      <c r="D19" s="35">
        <f>AVERAGE(B19:C19)</f>
        <v>2150000</v>
      </c>
      <c r="E19" s="36">
        <v>0</v>
      </c>
      <c r="F19" s="35">
        <f>E19*D19</f>
        <v>0</v>
      </c>
    </row>
    <row r="20" spans="1:6">
      <c r="A20" s="32" t="s">
        <v>45</v>
      </c>
      <c r="B20" s="33">
        <f>840000+60000+60000</f>
        <v>960000</v>
      </c>
      <c r="C20" s="34">
        <f>840000+60000+60000</f>
        <v>960000</v>
      </c>
      <c r="D20" s="35">
        <f t="shared" ref="D20" si="10">AVERAGE(B20:C20)</f>
        <v>960000</v>
      </c>
      <c r="E20" s="36">
        <v>0.25</v>
      </c>
      <c r="F20" s="35">
        <f t="shared" ref="F20" si="11">E20*D20</f>
        <v>240000</v>
      </c>
    </row>
    <row r="21" spans="1:6">
      <c r="A21" s="32" t="s">
        <v>60</v>
      </c>
      <c r="B21" s="33">
        <f>54200+8223+18791</f>
        <v>81214</v>
      </c>
      <c r="C21" s="33">
        <f>53581+7295+17220</f>
        <v>78096</v>
      </c>
      <c r="D21" s="35">
        <f t="shared" ref="D21:D22" si="12">AVERAGE(B21:C21)</f>
        <v>79655</v>
      </c>
      <c r="E21" s="36">
        <v>0.25</v>
      </c>
      <c r="F21" s="35">
        <f t="shared" ref="F21:F22" si="13">E21*D21</f>
        <v>19913.75</v>
      </c>
    </row>
    <row r="22" spans="1:6">
      <c r="A22" s="32" t="s">
        <v>44</v>
      </c>
      <c r="B22" s="33">
        <v>-623094</v>
      </c>
      <c r="C22" s="33">
        <v>-743726</v>
      </c>
      <c r="D22" s="35">
        <f t="shared" si="12"/>
        <v>-683410</v>
      </c>
      <c r="E22" s="36">
        <v>1</v>
      </c>
      <c r="F22" s="35">
        <f t="shared" si="13"/>
        <v>-683410</v>
      </c>
    </row>
    <row r="23" spans="1:6" ht="15.4" customHeight="1">
      <c r="A23" s="41" t="s">
        <v>34</v>
      </c>
      <c r="B23" s="27"/>
      <c r="C23" s="27"/>
      <c r="D23" s="27"/>
      <c r="E23" s="27"/>
      <c r="F23" s="42">
        <f>+SUM(F2:F22)</f>
        <v>10607271</v>
      </c>
    </row>
    <row r="24" spans="1:6" ht="16.350000000000001" customHeight="1">
      <c r="A24" s="28" t="s">
        <v>35</v>
      </c>
      <c r="B24" s="29"/>
      <c r="C24" s="29"/>
      <c r="D24" s="29"/>
      <c r="E24" s="29"/>
      <c r="F24" s="42">
        <f>F23/12</f>
        <v>883939.25</v>
      </c>
    </row>
    <row r="25" spans="1:6">
      <c r="A25" s="28" t="s">
        <v>36</v>
      </c>
      <c r="B25" s="29"/>
      <c r="C25" s="29"/>
      <c r="D25" s="29"/>
      <c r="E25" s="29"/>
      <c r="F25" s="26">
        <f>RTR!L6</f>
        <v>663159</v>
      </c>
    </row>
    <row r="26" spans="1:6" ht="14.25" customHeight="1">
      <c r="A26" s="30" t="s">
        <v>47</v>
      </c>
      <c r="B26" s="30"/>
      <c r="C26" s="30"/>
      <c r="D26" s="30"/>
      <c r="E26" s="30"/>
      <c r="F26" s="31">
        <v>1</v>
      </c>
    </row>
    <row r="27" spans="1:6" ht="16.350000000000001" customHeight="1">
      <c r="A27" s="28" t="s">
        <v>37</v>
      </c>
      <c r="B27" s="29"/>
      <c r="C27" s="29"/>
      <c r="D27" s="29"/>
      <c r="E27" s="29"/>
      <c r="F27" s="43">
        <f>(F24*F26)-F25</f>
        <v>220780.25</v>
      </c>
    </row>
    <row r="28" spans="1:6" ht="16.350000000000001" customHeight="1">
      <c r="A28" s="28" t="s">
        <v>38</v>
      </c>
      <c r="B28" s="29"/>
      <c r="C28" s="29"/>
      <c r="D28" s="29"/>
      <c r="E28" s="29"/>
      <c r="F28" s="30">
        <v>180</v>
      </c>
    </row>
    <row r="29" spans="1:6" ht="15" customHeight="1">
      <c r="A29" s="28" t="s">
        <v>39</v>
      </c>
      <c r="B29" s="29"/>
      <c r="C29" s="29"/>
      <c r="D29" s="29"/>
      <c r="E29" s="29"/>
      <c r="F29" s="31">
        <v>9.8500000000000004E-2</v>
      </c>
    </row>
    <row r="30" spans="1:6">
      <c r="A30" s="28" t="s">
        <v>40</v>
      </c>
      <c r="B30" s="29"/>
      <c r="C30" s="29"/>
      <c r="D30" s="29"/>
      <c r="E30" s="29"/>
      <c r="F30" s="44">
        <f>PMT(F29/12,F28,-100000)</f>
        <v>1065.4471712419499</v>
      </c>
    </row>
    <row r="31" spans="1:6">
      <c r="A31" s="28" t="s">
        <v>41</v>
      </c>
      <c r="B31" s="29"/>
      <c r="C31" s="29"/>
      <c r="D31" s="29"/>
      <c r="E31" s="29"/>
      <c r="F31" s="45">
        <f>F27/F30</f>
        <v>207.21839238884564</v>
      </c>
    </row>
    <row r="39" spans="2:2">
      <c r="B39" s="20">
        <v>0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X6"/>
  <sheetViews>
    <sheetView zoomScale="136" zoomScaleNormal="136" workbookViewId="0">
      <selection activeCell="C16" sqref="C16"/>
    </sheetView>
  </sheetViews>
  <sheetFormatPr defaultColWidth="22.140625" defaultRowHeight="12"/>
  <cols>
    <col min="1" max="1" width="6.140625" style="24" bestFit="1" customWidth="1"/>
    <col min="2" max="2" width="15.140625" style="24" bestFit="1" customWidth="1"/>
    <col min="3" max="3" width="26.85546875" style="24" customWidth="1"/>
    <col min="4" max="4" width="12" style="24" customWidth="1"/>
    <col min="5" max="5" width="8" style="24" customWidth="1"/>
    <col min="6" max="6" width="9" style="24" bestFit="1" customWidth="1"/>
    <col min="7" max="7" width="7.85546875" style="24" bestFit="1" customWidth="1"/>
    <col min="8" max="8" width="6.5703125" style="24" bestFit="1" customWidth="1"/>
    <col min="9" max="10" width="5.5703125" style="24" bestFit="1" customWidth="1"/>
    <col min="11" max="11" width="7.7109375" style="24" bestFit="1" customWidth="1"/>
    <col min="12" max="12" width="9.85546875" style="24" bestFit="1" customWidth="1"/>
    <col min="13" max="232" width="22.140625" style="24"/>
    <col min="233" max="16384" width="22.140625" style="25"/>
  </cols>
  <sheetData>
    <row r="1" spans="1:232" s="38" customFormat="1" ht="25.5">
      <c r="A1" s="46" t="s">
        <v>1</v>
      </c>
      <c r="B1" s="46" t="s">
        <v>51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52</v>
      </c>
      <c r="H1" s="46" t="s">
        <v>6</v>
      </c>
      <c r="I1" s="46" t="s">
        <v>7</v>
      </c>
      <c r="J1" s="46" t="s">
        <v>8</v>
      </c>
      <c r="K1" s="46" t="s">
        <v>9</v>
      </c>
      <c r="L1" s="46" t="s">
        <v>42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</row>
    <row r="2" spans="1:232" ht="24">
      <c r="A2" s="48">
        <v>1</v>
      </c>
      <c r="B2" s="50" t="s">
        <v>63</v>
      </c>
      <c r="C2" s="48" t="s">
        <v>64</v>
      </c>
      <c r="D2" s="48" t="s">
        <v>65</v>
      </c>
      <c r="E2" s="55" t="s">
        <v>66</v>
      </c>
      <c r="F2" s="56">
        <v>1595900</v>
      </c>
      <c r="G2" s="50">
        <v>1113303</v>
      </c>
      <c r="H2" s="50">
        <v>60</v>
      </c>
      <c r="I2" s="50">
        <v>22</v>
      </c>
      <c r="J2" s="50">
        <f>60-22</f>
        <v>38</v>
      </c>
      <c r="K2" s="56">
        <v>32830</v>
      </c>
      <c r="L2" s="49" t="s">
        <v>46</v>
      </c>
      <c r="HX2" s="25"/>
    </row>
    <row r="3" spans="1:232" ht="24">
      <c r="A3" s="48">
        <v>2</v>
      </c>
      <c r="B3" s="50">
        <v>41037373</v>
      </c>
      <c r="C3" s="48" t="s">
        <v>64</v>
      </c>
      <c r="D3" s="48" t="s">
        <v>68</v>
      </c>
      <c r="E3" s="55" t="s">
        <v>67</v>
      </c>
      <c r="F3" s="56">
        <v>1100000</v>
      </c>
      <c r="G3" s="50">
        <v>344003</v>
      </c>
      <c r="H3" s="50">
        <v>60</v>
      </c>
      <c r="I3" s="50">
        <v>44</v>
      </c>
      <c r="J3" s="50">
        <f>60-44</f>
        <v>16</v>
      </c>
      <c r="K3" s="56">
        <v>23000</v>
      </c>
      <c r="L3" s="49" t="s">
        <v>46</v>
      </c>
      <c r="HX3" s="25"/>
    </row>
    <row r="4" spans="1:232" ht="24">
      <c r="A4" s="48">
        <v>3</v>
      </c>
      <c r="B4" s="50">
        <v>16278585</v>
      </c>
      <c r="C4" s="48" t="s">
        <v>64</v>
      </c>
      <c r="D4" s="55" t="s">
        <v>69</v>
      </c>
      <c r="E4" s="55" t="s">
        <v>50</v>
      </c>
      <c r="F4" s="56">
        <v>36200000</v>
      </c>
      <c r="G4" s="50">
        <v>399917</v>
      </c>
      <c r="H4" s="50">
        <v>156</v>
      </c>
      <c r="I4" s="50">
        <v>32</v>
      </c>
      <c r="J4" s="50">
        <f>156-32</f>
        <v>124</v>
      </c>
      <c r="K4" s="56">
        <v>399917</v>
      </c>
      <c r="L4" s="49" t="s">
        <v>46</v>
      </c>
      <c r="HX4" s="25"/>
    </row>
    <row r="5" spans="1:232" ht="24">
      <c r="A5" s="48">
        <v>4</v>
      </c>
      <c r="B5" s="50">
        <v>15365446</v>
      </c>
      <c r="C5" s="48" t="s">
        <v>64</v>
      </c>
      <c r="D5" s="48" t="s">
        <v>69</v>
      </c>
      <c r="E5" s="55" t="s">
        <v>50</v>
      </c>
      <c r="F5" s="56">
        <v>23800000</v>
      </c>
      <c r="G5" s="50">
        <v>20971594</v>
      </c>
      <c r="H5" s="50">
        <v>156</v>
      </c>
      <c r="I5" s="50">
        <v>32</v>
      </c>
      <c r="J5" s="50">
        <v>124</v>
      </c>
      <c r="K5" s="56">
        <v>263242</v>
      </c>
      <c r="L5" s="49" t="s">
        <v>46</v>
      </c>
    </row>
    <row r="6" spans="1:232">
      <c r="A6" s="51"/>
      <c r="B6" s="47"/>
      <c r="C6" s="47"/>
      <c r="D6" s="47"/>
      <c r="E6" s="47"/>
      <c r="F6" s="52"/>
      <c r="G6" s="47"/>
      <c r="H6" s="47"/>
      <c r="I6" s="47"/>
      <c r="J6" s="47"/>
      <c r="K6" s="47"/>
      <c r="L6" s="53">
        <f>SUMIF(L4:L5,"Y",K4:K5)</f>
        <v>663159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4" t="s">
        <v>10</v>
      </c>
      <c r="B1" s="54"/>
      <c r="C1" s="2"/>
    </row>
    <row r="2" spans="1:6" ht="14.25" customHeight="1">
      <c r="A2" s="54" t="s">
        <v>11</v>
      </c>
      <c r="B2" s="54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2021-04-23T08:48:37Z</dcterms:modified>
</cp:coreProperties>
</file>