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15" i="1"/>
  <c r="B15"/>
  <c r="C10"/>
  <c r="B10"/>
  <c r="C5"/>
  <c r="C16"/>
  <c r="B16"/>
  <c r="D17"/>
  <c r="F17" s="1"/>
  <c r="D16"/>
  <c r="F16" s="1"/>
  <c r="D15"/>
  <c r="F15" s="1"/>
  <c r="D14"/>
  <c r="F14" s="1"/>
  <c r="D6"/>
  <c r="F6" s="1"/>
  <c r="B5"/>
  <c r="H6" i="2"/>
  <c r="H4"/>
  <c r="H3"/>
  <c r="H2"/>
  <c r="D7" i="1" l="1"/>
  <c r="F7" s="1"/>
  <c r="K10" i="2"/>
  <c r="D10" i="1"/>
  <c r="F10" s="1"/>
  <c r="D11"/>
  <c r="F11" s="1"/>
  <c r="D12"/>
  <c r="F12" s="1"/>
  <c r="D3"/>
  <c r="F3" s="1"/>
  <c r="D4"/>
  <c r="F4" s="1"/>
  <c r="D5"/>
  <c r="D8"/>
  <c r="F8" s="1"/>
  <c r="F25"/>
  <c r="F6" i="5"/>
  <c r="F7"/>
  <c r="F13" s="1"/>
  <c r="F8"/>
  <c r="F9"/>
  <c r="F10"/>
  <c r="F11"/>
  <c r="F12"/>
  <c r="E13"/>
  <c r="F20" i="1" l="1"/>
  <c r="F5"/>
  <c r="F18" s="1"/>
  <c r="F19" l="1"/>
  <c r="F22" s="1"/>
  <c r="F26" s="1"/>
</calcChain>
</file>

<file path=xl/sharedStrings.xml><?xml version="1.0" encoding="utf-8"?>
<sst xmlns="http://schemas.openxmlformats.org/spreadsheetml/2006/main" count="117" uniqueCount="86">
  <si>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</si>
  <si>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</si>
  <si>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</si>
  <si>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</si>
  <si>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</si>
  <si>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</si>
  <si>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</si>
  <si>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</si>
  <si>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</si>
  <si>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</si>
  <si>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</si>
  <si>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</si>
  <si>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</si>
  <si>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</si>
  <si>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</si>
  <si>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</si>
  <si>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</si>
  <si>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</si>
  <si>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</si>
  <si>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</si>
  <si>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</si>
  <si>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</si>
  <si>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</si>
  <si>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</si>
  <si>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</si>
  <si>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</si>
  <si>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</si>
  <si>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</si>
  <si>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</si>
  <si>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</si>
  <si>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</si>
  <si>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</si>
  <si>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</si>
  <si>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</si>
  <si>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</si>
  <si>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</si>
  <si>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</si>
  <si>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</si>
  <si>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</si>
  <si>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</si>
  <si>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</si>
  <si>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</si>
  <si>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</si>
  <si>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</si>
  <si>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</si>
  <si>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</si>
  <si>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</si>
  <si>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</si>
  <si>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</si>
  <si>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</si>
  <si>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</si>
  <si>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 xml:space="preserve">Income From other sources         </t>
  </si>
  <si>
    <t>OBC</t>
  </si>
  <si>
    <t>N</t>
  </si>
  <si>
    <t>Monte Metals</t>
  </si>
  <si>
    <t xml:space="preserve">ASSESSMENT YEAR </t>
  </si>
  <si>
    <t>2018-19</t>
  </si>
  <si>
    <t>Kulbhushan Sharma</t>
  </si>
  <si>
    <t>Meenu Goel</t>
  </si>
  <si>
    <t>Income from house property</t>
  </si>
  <si>
    <t>2019-20</t>
  </si>
  <si>
    <t>ALN060000433771</t>
  </si>
  <si>
    <t>KULBHUSHAN</t>
  </si>
  <si>
    <t>YES</t>
  </si>
  <si>
    <t>AL</t>
  </si>
  <si>
    <t>HDFC</t>
  </si>
  <si>
    <t>LAKHN0003203592</t>
  </si>
  <si>
    <t>MEENU</t>
  </si>
  <si>
    <t>ICICI</t>
  </si>
  <si>
    <t xml:space="preserve"> </t>
  </si>
  <si>
    <t>SPKHN00035248554</t>
  </si>
  <si>
    <t>PL</t>
  </si>
  <si>
    <t>PNB</t>
  </si>
  <si>
    <t>HL</t>
  </si>
  <si>
    <t>MONTY METALS</t>
  </si>
  <si>
    <t>OD</t>
  </si>
  <si>
    <t>Instal. Paid</t>
  </si>
  <si>
    <t>Instal. Bal.</t>
  </si>
  <si>
    <t>y</t>
  </si>
  <si>
    <t>n</t>
  </si>
  <si>
    <t>To be closed</t>
  </si>
  <si>
    <t>To be Take over</t>
  </si>
  <si>
    <t>Interest on Car Loan</t>
  </si>
  <si>
    <t xml:space="preserve">Income U/s 40 A 2 b </t>
  </si>
  <si>
    <t>Kunal Goyal</t>
  </si>
  <si>
    <t>Income from saleries( Monte Metals 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</si>
</sst>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0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/>
    <xf numFmtId="165" fontId="8" fillId="0" borderId="1" xfId="1" applyNumberFormat="1" applyFont="1" applyFill="1" applyBorder="1" applyAlignment="1" applyProtection="1">
      <alignment horizontal="left" vertical="top" wrapText="1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left" vertical="center"/>
    </xf>
    <xf numFmtId="165" fontId="8" fillId="2" borderId="5" xfId="1" applyNumberFormat="1" applyFont="1" applyFill="1" applyBorder="1" applyAlignment="1" applyProtection="1">
      <alignment horizontal="left" vertical="top"/>
    </xf>
    <xf numFmtId="9" fontId="8" fillId="2" borderId="5" xfId="1" applyNumberFormat="1" applyFont="1" applyFill="1" applyBorder="1" applyAlignment="1" applyProtection="1">
      <alignment horizontal="left" vertical="top"/>
    </xf>
    <xf numFmtId="0" fontId="8" fillId="2" borderId="5" xfId="3" applyFont="1" applyFill="1" applyBorder="1" applyAlignment="1">
      <alignment horizontal="left" vertical="center" wrapText="1"/>
    </xf>
    <xf numFmtId="9" fontId="8" fillId="4" borderId="8" xfId="1" applyNumberFormat="1" applyFont="1" applyFill="1" applyBorder="1" applyAlignment="1" applyProtection="1">
      <alignment horizontal="left" vertical="center" wrapText="1"/>
    </xf>
    <xf numFmtId="166" fontId="8" fillId="0" borderId="5" xfId="1" applyNumberFormat="1" applyFont="1" applyFill="1" applyBorder="1" applyAlignment="1" applyProtection="1">
      <alignment horizontal="left" vertical="center"/>
    </xf>
    <xf numFmtId="164" fontId="8" fillId="4" borderId="7" xfId="1" applyFont="1" applyFill="1" applyBorder="1" applyAlignment="1" applyProtection="1">
      <alignment horizontal="left" vertical="top" wrapText="1"/>
    </xf>
    <xf numFmtId="167" fontId="8" fillId="4" borderId="7" xfId="1" applyNumberFormat="1" applyFont="1" applyFill="1" applyBorder="1" applyAlignment="1" applyProtection="1">
      <alignment horizontal="left" vertical="top"/>
    </xf>
    <xf numFmtId="167" fontId="8" fillId="4" borderId="1" xfId="1" applyNumberFormat="1" applyFont="1" applyFill="1" applyBorder="1" applyAlignment="1" applyProtection="1">
      <alignment horizontal="left" vertical="top"/>
    </xf>
    <xf numFmtId="165" fontId="8" fillId="2" borderId="1" xfId="1" applyNumberFormat="1" applyFont="1" applyFill="1" applyBorder="1" applyAlignment="1" applyProtection="1">
      <alignment horizontal="left" vertical="top"/>
    </xf>
    <xf numFmtId="10" fontId="8" fillId="0" borderId="1" xfId="1" applyNumberFormat="1" applyFont="1" applyFill="1" applyBorder="1" applyAlignment="1" applyProtection="1">
      <alignment horizontal="left" vertical="top"/>
    </xf>
    <xf numFmtId="165" fontId="8" fillId="4" borderId="1" xfId="1" applyNumberFormat="1" applyFont="1" applyFill="1" applyBorder="1" applyAlignment="1" applyProtection="1">
      <alignment horizontal="left" vertical="top"/>
    </xf>
    <xf numFmtId="165" fontId="8" fillId="0" borderId="1" xfId="1" applyNumberFormat="1" applyFont="1" applyFill="1" applyBorder="1" applyAlignment="1" applyProtection="1">
      <alignment horizontal="left" vertical="top"/>
    </xf>
    <xf numFmtId="2" fontId="8" fillId="4" borderId="1" xfId="4" applyNumberFormat="1" applyFont="1" applyFill="1" applyBorder="1" applyAlignment="1" applyProtection="1">
      <alignment horizontal="left" vertical="top"/>
    </xf>
    <xf numFmtId="164" fontId="8" fillId="4" borderId="1" xfId="4" applyNumberFormat="1" applyFont="1" applyFill="1" applyBorder="1" applyAlignment="1" applyProtection="1">
      <alignment horizontal="left" vertical="top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0" fontId="8" fillId="4" borderId="11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8" fontId="8" fillId="3" borderId="2" xfId="1" applyNumberFormat="1" applyFont="1" applyFill="1" applyBorder="1" applyAlignment="1" applyProtection="1">
      <alignment horizontal="left" vertical="center" wrapText="1"/>
    </xf>
    <xf numFmtId="0" fontId="8" fillId="0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7"/>
  <sheetViews>
    <sheetView tabSelected="1" zoomScale="130" zoomScaleNormal="130" workbookViewId="0">
      <selection activeCell="F14" sqref="F14"/>
    </sheetView>
  </sheetViews>
  <sheetFormatPr defaultColWidth="31.28515625" defaultRowHeight="12"/>
  <cols>
    <col min="1" max="1" width="32.5703125" style="36" customWidth="1"/>
    <col min="2" max="2" width="12.42578125" style="36" customWidth="1"/>
    <col min="3" max="3" width="12" style="36" customWidth="1"/>
    <col min="4" max="4" width="14.140625" style="36" customWidth="1"/>
    <col min="5" max="5" width="13.85546875" style="36" customWidth="1"/>
    <col min="6" max="6" width="17.85546875" style="36" customWidth="1"/>
    <col min="7" max="7" width="14.7109375" style="36" customWidth="1"/>
    <col min="8" max="8" width="11.85546875" style="36" customWidth="1"/>
    <col min="9" max="9" width="14.5703125" style="36" customWidth="1"/>
    <col min="10" max="11" width="13.140625" style="36" customWidth="1"/>
    <col min="12" max="12" width="13.7109375" style="36" customWidth="1"/>
    <col min="13" max="13" width="14.140625" style="36" customWidth="1"/>
    <col min="14" max="14" width="11.85546875" style="36" customWidth="1"/>
    <col min="15" max="15" width="12" style="36" customWidth="1"/>
    <col min="16" max="16" width="11" style="36" customWidth="1"/>
    <col min="17" max="17" width="11.5703125" style="36" customWidth="1"/>
    <col min="18" max="18" width="12" style="36" customWidth="1"/>
    <col min="19" max="236" width="31.28515625" style="36"/>
    <col min="237" max="244" width="31.28515625" style="37"/>
    <col min="245" max="246" width="31.28515625" style="38"/>
    <col min="247" max="16384" width="31.28515625" style="39"/>
  </cols>
  <sheetData>
    <row r="1" spans="1:247" ht="19.5" customHeight="1">
      <c r="A1" s="35" t="s">
        <v>54</v>
      </c>
      <c r="B1" s="65" t="s">
        <v>55</v>
      </c>
      <c r="C1" s="65"/>
      <c r="D1" s="35" t="s">
        <v>0</v>
      </c>
      <c r="E1" s="35">
        <v>7720208401</v>
      </c>
      <c r="F1" s="35" t="s">
        <v>73</v>
      </c>
      <c r="IC1" s="36"/>
      <c r="IK1" s="37"/>
      <c r="IM1" s="38"/>
    </row>
    <row r="2" spans="1:247">
      <c r="A2" s="29" t="s">
        <v>57</v>
      </c>
      <c r="B2" s="29" t="s">
        <v>60</v>
      </c>
      <c r="C2" s="29" t="s">
        <v>56</v>
      </c>
      <c r="D2" s="29" t="s">
        <v>34</v>
      </c>
      <c r="E2" s="40" t="s">
        <v>1</v>
      </c>
      <c r="F2" s="29" t="s">
        <v>35</v>
      </c>
      <c r="IC2" s="36"/>
      <c r="IK2" s="37"/>
      <c r="IM2" s="38"/>
    </row>
    <row r="3" spans="1:247">
      <c r="A3" s="30" t="s">
        <v>47</v>
      </c>
      <c r="B3" s="41">
        <v>759842.77</v>
      </c>
      <c r="C3" s="41">
        <v>654629</v>
      </c>
      <c r="D3" s="42">
        <f t="shared" ref="D3:D8" si="0">AVERAGE(B3:C3)</f>
        <v>707235.88500000001</v>
      </c>
      <c r="E3" s="43">
        <v>1</v>
      </c>
      <c r="F3" s="42">
        <f t="shared" ref="F3:F8" si="1">E3*D3</f>
        <v>707235.88500000001</v>
      </c>
      <c r="IC3" s="36"/>
      <c r="IK3" s="37"/>
      <c r="IM3" s="38"/>
    </row>
    <row r="4" spans="1:247">
      <c r="A4" s="30" t="s">
        <v>48</v>
      </c>
      <c r="B4" s="41">
        <v>510051</v>
      </c>
      <c r="C4" s="41">
        <v>173098</v>
      </c>
      <c r="D4" s="42">
        <f t="shared" si="0"/>
        <v>341574.5</v>
      </c>
      <c r="E4" s="43">
        <v>1</v>
      </c>
      <c r="F4" s="42">
        <f t="shared" si="1"/>
        <v>341574.5</v>
      </c>
      <c r="IC4" s="36"/>
      <c r="IK4" s="37"/>
      <c r="IM4" s="38"/>
    </row>
    <row r="5" spans="1:247">
      <c r="A5" s="30" t="s">
        <v>82</v>
      </c>
      <c r="B5" s="41">
        <f>80172+64486</f>
        <v>144658</v>
      </c>
      <c r="C5" s="41">
        <f>105266</f>
        <v>105266</v>
      </c>
      <c r="D5" s="42">
        <f t="shared" si="0"/>
        <v>124962</v>
      </c>
      <c r="E5" s="43">
        <v>1</v>
      </c>
      <c r="F5" s="42">
        <f t="shared" si="1"/>
        <v>124962</v>
      </c>
      <c r="IC5" s="36"/>
      <c r="IK5" s="37"/>
      <c r="IM5" s="38"/>
    </row>
    <row r="6" spans="1:247">
      <c r="A6" s="30" t="s">
        <v>83</v>
      </c>
      <c r="B6" s="44">
        <v>180000</v>
      </c>
      <c r="C6" s="44">
        <v>180000</v>
      </c>
      <c r="D6" s="42">
        <f t="shared" si="0"/>
        <v>180000</v>
      </c>
      <c r="E6" s="43">
        <v>1</v>
      </c>
      <c r="F6" s="42">
        <f t="shared" si="1"/>
        <v>180000</v>
      </c>
      <c r="IC6" s="36"/>
      <c r="IK6" s="37"/>
      <c r="IM6" s="38"/>
    </row>
    <row r="7" spans="1:247">
      <c r="A7" s="30" t="s">
        <v>51</v>
      </c>
      <c r="B7" s="44">
        <v>129458</v>
      </c>
      <c r="C7" s="41">
        <v>113782</v>
      </c>
      <c r="D7" s="42">
        <f t="shared" ref="D7" si="2">AVERAGE(B7:C7)</f>
        <v>121620</v>
      </c>
      <c r="E7" s="43">
        <v>0.5</v>
      </c>
      <c r="F7" s="42">
        <f t="shared" ref="F7" si="3">E7*D7</f>
        <v>60810</v>
      </c>
      <c r="IC7" s="36"/>
      <c r="IK7" s="37"/>
      <c r="IM7" s="38"/>
    </row>
    <row r="8" spans="1:247">
      <c r="A8" s="30" t="s">
        <v>36</v>
      </c>
      <c r="B8" s="41">
        <v>-14032</v>
      </c>
      <c r="C8" s="41">
        <v>-18431</v>
      </c>
      <c r="D8" s="42">
        <f t="shared" si="0"/>
        <v>-16231.5</v>
      </c>
      <c r="E8" s="43">
        <v>1</v>
      </c>
      <c r="F8" s="42">
        <f t="shared" si="1"/>
        <v>-16231.5</v>
      </c>
      <c r="IC8" s="36"/>
      <c r="IK8" s="37"/>
      <c r="IM8" s="38"/>
    </row>
    <row r="9" spans="1:247">
      <c r="A9" s="31" t="s">
        <v>58</v>
      </c>
      <c r="B9" s="31" t="s">
        <v>60</v>
      </c>
      <c r="C9" s="31" t="s">
        <v>56</v>
      </c>
      <c r="D9" s="31" t="s">
        <v>34</v>
      </c>
      <c r="E9" s="45" t="s">
        <v>1</v>
      </c>
      <c r="F9" s="31" t="s">
        <v>35</v>
      </c>
      <c r="IC9" s="36"/>
      <c r="IK9" s="37"/>
      <c r="IM9" s="38"/>
    </row>
    <row r="10" spans="1:247">
      <c r="A10" s="30" t="s">
        <v>59</v>
      </c>
      <c r="B10" s="41">
        <f>440000</f>
        <v>440000</v>
      </c>
      <c r="C10" s="46">
        <f>240000</f>
        <v>240000</v>
      </c>
      <c r="D10" s="42">
        <f t="shared" ref="D10:D12" si="4">AVERAGE(B10:C10)</f>
        <v>340000</v>
      </c>
      <c r="E10" s="43">
        <v>0.9</v>
      </c>
      <c r="F10" s="42">
        <f t="shared" ref="F10:F12" si="5">E10*D10</f>
        <v>306000</v>
      </c>
      <c r="G10" s="36">
        <v>180000</v>
      </c>
      <c r="IC10" s="36"/>
      <c r="IK10" s="37"/>
      <c r="IM10" s="38"/>
    </row>
    <row r="11" spans="1:247">
      <c r="A11" s="30" t="s">
        <v>50</v>
      </c>
      <c r="B11" s="41">
        <v>416631</v>
      </c>
      <c r="C11" s="46">
        <v>384918</v>
      </c>
      <c r="D11" s="42">
        <f t="shared" si="4"/>
        <v>400774.5</v>
      </c>
      <c r="E11" s="43">
        <v>0.5</v>
      </c>
      <c r="F11" s="42">
        <f t="shared" si="5"/>
        <v>200387.25</v>
      </c>
      <c r="IC11" s="36"/>
      <c r="IK11" s="37"/>
      <c r="IM11" s="38"/>
    </row>
    <row r="12" spans="1:247">
      <c r="A12" s="30" t="s">
        <v>36</v>
      </c>
      <c r="B12" s="41">
        <v>-12706</v>
      </c>
      <c r="C12" s="41">
        <v>-18746</v>
      </c>
      <c r="D12" s="42">
        <f t="shared" si="4"/>
        <v>-15726</v>
      </c>
      <c r="E12" s="43">
        <v>1</v>
      </c>
      <c r="F12" s="42">
        <f t="shared" si="5"/>
        <v>-15726</v>
      </c>
      <c r="IC12" s="36"/>
      <c r="IK12" s="37"/>
      <c r="IM12" s="38"/>
    </row>
    <row r="13" spans="1:247">
      <c r="A13" s="31" t="s">
        <v>84</v>
      </c>
      <c r="B13" s="31" t="s">
        <v>60</v>
      </c>
      <c r="C13" s="31" t="s">
        <v>56</v>
      </c>
      <c r="D13" s="31" t="s">
        <v>34</v>
      </c>
      <c r="E13" s="45" t="s">
        <v>1</v>
      </c>
      <c r="F13" s="31" t="s">
        <v>35</v>
      </c>
      <c r="IC13" s="36"/>
      <c r="IK13" s="37"/>
      <c r="IM13" s="38"/>
    </row>
    <row r="14" spans="1:247">
      <c r="A14" s="30" t="s">
        <v>85</v>
      </c>
      <c r="B14" s="41">
        <v>240000</v>
      </c>
      <c r="C14" s="46">
        <v>0</v>
      </c>
      <c r="D14" s="42">
        <f t="shared" ref="D14:D17" si="6">AVERAGE(B14:C14)</f>
        <v>120000</v>
      </c>
      <c r="E14" s="43">
        <v>1</v>
      </c>
      <c r="F14" s="42">
        <f t="shared" ref="F14:F17" si="7">E14*D14</f>
        <v>120000</v>
      </c>
      <c r="G14" s="36">
        <v>180000</v>
      </c>
      <c r="IC14" s="36"/>
      <c r="IK14" s="37"/>
      <c r="IM14" s="38"/>
    </row>
    <row r="15" spans="1:247">
      <c r="A15" s="30" t="s">
        <v>59</v>
      </c>
      <c r="B15" s="41">
        <f>126000</f>
        <v>126000</v>
      </c>
      <c r="C15" s="46">
        <f>156000</f>
        <v>156000</v>
      </c>
      <c r="D15" s="42">
        <f t="shared" si="6"/>
        <v>141000</v>
      </c>
      <c r="E15" s="43">
        <v>0.9</v>
      </c>
      <c r="F15" s="42">
        <f t="shared" si="7"/>
        <v>126900</v>
      </c>
      <c r="IC15" s="36"/>
      <c r="IK15" s="37"/>
      <c r="IM15" s="38"/>
    </row>
    <row r="16" spans="1:247">
      <c r="A16" s="30" t="s">
        <v>50</v>
      </c>
      <c r="B16" s="41">
        <f>565+21200</f>
        <v>21765</v>
      </c>
      <c r="C16" s="46">
        <f>193+188700</f>
        <v>188893</v>
      </c>
      <c r="D16" s="42">
        <f t="shared" si="6"/>
        <v>105329</v>
      </c>
      <c r="E16" s="43">
        <v>0.5</v>
      </c>
      <c r="F16" s="42">
        <f t="shared" si="7"/>
        <v>52664.5</v>
      </c>
      <c r="IC16" s="36"/>
      <c r="IK16" s="37"/>
      <c r="IM16" s="38"/>
    </row>
    <row r="17" spans="1:247">
      <c r="A17" s="30" t="s">
        <v>36</v>
      </c>
      <c r="B17" s="41">
        <v>-6988</v>
      </c>
      <c r="C17" s="41">
        <v>0</v>
      </c>
      <c r="D17" s="42">
        <f t="shared" si="6"/>
        <v>-3494</v>
      </c>
      <c r="E17" s="43">
        <v>1</v>
      </c>
      <c r="F17" s="42">
        <f t="shared" si="7"/>
        <v>-3494</v>
      </c>
      <c r="IC17" s="36"/>
      <c r="IK17" s="37"/>
      <c r="IM17" s="38"/>
    </row>
    <row r="18" spans="1:247" ht="11.25" customHeight="1">
      <c r="A18" s="47" t="s">
        <v>37</v>
      </c>
      <c r="B18" s="56"/>
      <c r="C18" s="57"/>
      <c r="D18" s="57"/>
      <c r="E18" s="58"/>
      <c r="F18" s="48">
        <f>+SUM(F3:F17)</f>
        <v>2185082.6349999998</v>
      </c>
      <c r="IC18" s="36"/>
      <c r="IK18" s="37"/>
      <c r="IM18" s="38"/>
    </row>
    <row r="19" spans="1:247" ht="14.25" customHeight="1">
      <c r="A19" s="21" t="s">
        <v>38</v>
      </c>
      <c r="B19" s="59"/>
      <c r="C19" s="60"/>
      <c r="D19" s="60"/>
      <c r="E19" s="61"/>
      <c r="F19" s="49">
        <f>F18/12</f>
        <v>182090.21958333332</v>
      </c>
      <c r="IC19" s="36"/>
      <c r="IK19" s="37"/>
      <c r="IM19" s="38"/>
    </row>
    <row r="20" spans="1:247" ht="11.25" customHeight="1">
      <c r="A20" s="21" t="s">
        <v>39</v>
      </c>
      <c r="B20" s="59"/>
      <c r="C20" s="60"/>
      <c r="D20" s="60"/>
      <c r="E20" s="61"/>
      <c r="F20" s="50">
        <f>RTR!K10</f>
        <v>77669</v>
      </c>
      <c r="IC20" s="36"/>
      <c r="IK20" s="37"/>
      <c r="IM20" s="38"/>
    </row>
    <row r="21" spans="1:247" ht="10.5" customHeight="1">
      <c r="A21" s="21" t="s">
        <v>40</v>
      </c>
      <c r="B21" s="62"/>
      <c r="C21" s="63"/>
      <c r="D21" s="63"/>
      <c r="E21" s="64"/>
      <c r="F21" s="51">
        <v>1</v>
      </c>
      <c r="IC21" s="36"/>
      <c r="IK21" s="37"/>
      <c r="IM21" s="38"/>
    </row>
    <row r="22" spans="1:247" ht="11.25" customHeight="1">
      <c r="A22" s="21" t="s">
        <v>41</v>
      </c>
      <c r="B22" s="59"/>
      <c r="C22" s="60"/>
      <c r="D22" s="60"/>
      <c r="E22" s="61"/>
      <c r="F22" s="52">
        <f>(F19*F21)-F20</f>
        <v>104421.21958333332</v>
      </c>
      <c r="IC22" s="36"/>
      <c r="IK22" s="37"/>
      <c r="IM22" s="38"/>
    </row>
    <row r="23" spans="1:247" ht="11.25" customHeight="1">
      <c r="A23" s="21" t="s">
        <v>42</v>
      </c>
      <c r="B23" s="68"/>
      <c r="C23" s="68"/>
      <c r="D23" s="68"/>
      <c r="E23" s="68"/>
      <c r="F23" s="53">
        <v>240</v>
      </c>
      <c r="IC23" s="36"/>
      <c r="IK23" s="37"/>
      <c r="IM23" s="38"/>
    </row>
    <row r="24" spans="1:247" ht="15" customHeight="1">
      <c r="A24" s="21" t="s">
        <v>43</v>
      </c>
      <c r="B24" s="68"/>
      <c r="C24" s="68"/>
      <c r="D24" s="68"/>
      <c r="E24" s="68"/>
      <c r="F24" s="51">
        <v>8.7999999999999995E-2</v>
      </c>
      <c r="IC24" s="36"/>
      <c r="IK24" s="37"/>
      <c r="IM24" s="38"/>
    </row>
    <row r="25" spans="1:247">
      <c r="A25" s="21" t="s">
        <v>44</v>
      </c>
      <c r="B25" s="68"/>
      <c r="C25" s="68"/>
      <c r="D25" s="68"/>
      <c r="E25" s="68"/>
      <c r="F25" s="54">
        <f>PMT(F24/12,F23,-100000)</f>
        <v>886.90360484473626</v>
      </c>
      <c r="IC25" s="36"/>
      <c r="IK25" s="37"/>
      <c r="IM25" s="38"/>
    </row>
    <row r="26" spans="1:247">
      <c r="A26" s="21" t="s">
        <v>45</v>
      </c>
      <c r="B26" s="68"/>
      <c r="C26" s="68"/>
      <c r="D26" s="68"/>
      <c r="E26" s="68"/>
      <c r="F26" s="55">
        <f>F22/F25</f>
        <v>117.73683071410403</v>
      </c>
      <c r="IC26" s="36"/>
      <c r="IK26" s="37"/>
      <c r="IM26" s="38"/>
    </row>
    <row r="27" spans="1:247" ht="15.4" customHeight="1">
      <c r="A27" s="66" t="s">
        <v>46</v>
      </c>
      <c r="B27" s="66"/>
      <c r="C27" s="66"/>
      <c r="D27" s="66"/>
      <c r="E27" s="66"/>
      <c r="F27" s="67"/>
    </row>
  </sheetData>
  <sheetProtection selectLockedCells="1" selectUnlockedCells="1"/>
  <mergeCells count="11">
    <mergeCell ref="B1:C1"/>
    <mergeCell ref="A27:F27"/>
    <mergeCell ref="B23:E23"/>
    <mergeCell ref="B24:E24"/>
    <mergeCell ref="B25:E25"/>
    <mergeCell ref="B26:E26"/>
    <mergeCell ref="B18:E18"/>
    <mergeCell ref="B22:E22"/>
    <mergeCell ref="B21:E21"/>
    <mergeCell ref="B20:E20"/>
    <mergeCell ref="B19:E1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topLeftCell="C1" zoomScale="136" zoomScaleNormal="136" workbookViewId="0">
      <selection activeCell="L10" sqref="L10"/>
    </sheetView>
  </sheetViews>
  <sheetFormatPr defaultColWidth="22.140625" defaultRowHeight="12"/>
  <cols>
    <col min="1" max="1" width="5.42578125" style="22" customWidth="1"/>
    <col min="2" max="2" width="22.140625" style="22"/>
    <col min="3" max="3" width="12.28515625" style="22" customWidth="1"/>
    <col min="4" max="4" width="11.85546875" style="22" bestFit="1" customWidth="1"/>
    <col min="5" max="5" width="7.42578125" style="22" customWidth="1"/>
    <col min="6" max="6" width="13.140625" style="22" bestFit="1" customWidth="1"/>
    <col min="7" max="7" width="9" style="22" customWidth="1"/>
    <col min="8" max="8" width="8.42578125" style="22" customWidth="1"/>
    <col min="9" max="9" width="7.7109375" style="22" customWidth="1"/>
    <col min="10" max="10" width="10.140625" style="22" customWidth="1"/>
    <col min="11" max="11" width="13.140625" style="22" customWidth="1"/>
    <col min="12" max="12" width="24.85546875" style="22" customWidth="1"/>
    <col min="13" max="13" width="10.140625" style="22" customWidth="1"/>
    <col min="14" max="250" width="22.140625" style="22"/>
    <col min="251" max="16384" width="22.140625" style="20"/>
  </cols>
  <sheetData>
    <row r="1" spans="1:13" ht="24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32" t="s">
        <v>77</v>
      </c>
      <c r="I1" s="32" t="s">
        <v>76</v>
      </c>
      <c r="J1" s="23" t="s">
        <v>9</v>
      </c>
      <c r="K1" s="23" t="s">
        <v>49</v>
      </c>
      <c r="L1" s="23" t="s">
        <v>10</v>
      </c>
      <c r="M1" s="23" t="s">
        <v>11</v>
      </c>
    </row>
    <row r="2" spans="1:13">
      <c r="A2" s="25">
        <v>1</v>
      </c>
      <c r="B2" s="26" t="s">
        <v>61</v>
      </c>
      <c r="C2" s="25" t="s">
        <v>62</v>
      </c>
      <c r="D2" s="25" t="s">
        <v>63</v>
      </c>
      <c r="E2" s="26" t="s">
        <v>64</v>
      </c>
      <c r="F2" s="27">
        <v>2914500</v>
      </c>
      <c r="G2" s="26">
        <v>60</v>
      </c>
      <c r="H2" s="26">
        <f>60-11</f>
        <v>49</v>
      </c>
      <c r="I2" s="26">
        <v>11</v>
      </c>
      <c r="J2" s="26">
        <v>60150</v>
      </c>
      <c r="K2" s="26" t="s">
        <v>78</v>
      </c>
      <c r="L2" s="28"/>
      <c r="M2" s="26">
        <v>0</v>
      </c>
    </row>
    <row r="3" spans="1:13">
      <c r="A3" s="25">
        <v>2</v>
      </c>
      <c r="B3" s="26">
        <v>44548079</v>
      </c>
      <c r="C3" s="25" t="s">
        <v>62</v>
      </c>
      <c r="D3" s="25" t="s">
        <v>65</v>
      </c>
      <c r="E3" s="26" t="s">
        <v>64</v>
      </c>
      <c r="F3" s="27">
        <v>264000</v>
      </c>
      <c r="G3" s="26">
        <v>47</v>
      </c>
      <c r="H3" s="26">
        <f>49-32</f>
        <v>17</v>
      </c>
      <c r="I3" s="26">
        <v>32</v>
      </c>
      <c r="J3" s="26">
        <v>7410</v>
      </c>
      <c r="K3" s="26" t="s">
        <v>79</v>
      </c>
      <c r="L3" s="28" t="s">
        <v>80</v>
      </c>
      <c r="M3" s="26">
        <v>0</v>
      </c>
    </row>
    <row r="4" spans="1:13">
      <c r="A4" s="25">
        <v>3</v>
      </c>
      <c r="B4" s="26">
        <v>45390947</v>
      </c>
      <c r="C4" s="25" t="s">
        <v>62</v>
      </c>
      <c r="D4" s="25" t="s">
        <v>65</v>
      </c>
      <c r="E4" s="26" t="s">
        <v>64</v>
      </c>
      <c r="F4" s="27">
        <v>587200</v>
      </c>
      <c r="G4" s="26">
        <v>48</v>
      </c>
      <c r="H4" s="26">
        <f>48-31</f>
        <v>17</v>
      </c>
      <c r="I4" s="26">
        <v>31</v>
      </c>
      <c r="J4" s="26">
        <v>14935</v>
      </c>
      <c r="K4" s="26" t="s">
        <v>79</v>
      </c>
      <c r="L4" s="28" t="s">
        <v>80</v>
      </c>
      <c r="M4" s="26">
        <v>0</v>
      </c>
    </row>
    <row r="5" spans="1:13">
      <c r="A5" s="25">
        <v>4</v>
      </c>
      <c r="B5" s="26" t="s">
        <v>66</v>
      </c>
      <c r="C5" s="25" t="s">
        <v>67</v>
      </c>
      <c r="D5" s="25" t="s">
        <v>68</v>
      </c>
      <c r="E5" s="26"/>
      <c r="F5" s="27">
        <v>490000</v>
      </c>
      <c r="G5" s="26">
        <v>60</v>
      </c>
      <c r="H5" s="26">
        <v>6</v>
      </c>
      <c r="I5" s="26">
        <v>54</v>
      </c>
      <c r="J5" s="26">
        <v>10559</v>
      </c>
      <c r="K5" s="26" t="s">
        <v>78</v>
      </c>
      <c r="L5" s="28"/>
      <c r="M5" s="26">
        <v>0</v>
      </c>
    </row>
    <row r="6" spans="1:13">
      <c r="A6" s="25">
        <v>5</v>
      </c>
      <c r="B6" s="26" t="s">
        <v>70</v>
      </c>
      <c r="C6" s="25" t="s">
        <v>67</v>
      </c>
      <c r="D6" s="25" t="s">
        <v>68</v>
      </c>
      <c r="E6" s="26" t="s">
        <v>71</v>
      </c>
      <c r="F6" s="27">
        <v>250000</v>
      </c>
      <c r="G6" s="26">
        <v>48</v>
      </c>
      <c r="H6" s="26">
        <f>48-32</f>
        <v>16</v>
      </c>
      <c r="I6" s="26">
        <v>32</v>
      </c>
      <c r="J6" s="26">
        <v>6960</v>
      </c>
      <c r="K6" s="26" t="s">
        <v>78</v>
      </c>
      <c r="L6" s="28" t="s">
        <v>80</v>
      </c>
      <c r="M6" s="26">
        <v>0</v>
      </c>
    </row>
    <row r="7" spans="1:13">
      <c r="A7" s="25">
        <v>6</v>
      </c>
      <c r="B7" s="26">
        <v>15324</v>
      </c>
      <c r="C7" s="25" t="s">
        <v>62</v>
      </c>
      <c r="D7" s="25" t="s">
        <v>72</v>
      </c>
      <c r="E7" s="26" t="s">
        <v>73</v>
      </c>
      <c r="F7" s="27">
        <v>6000000</v>
      </c>
      <c r="G7" s="26">
        <v>24</v>
      </c>
      <c r="H7" s="34"/>
      <c r="I7" s="34"/>
      <c r="J7" s="26">
        <v>50916</v>
      </c>
      <c r="K7" s="26" t="s">
        <v>53</v>
      </c>
      <c r="L7" s="28" t="s">
        <v>81</v>
      </c>
      <c r="M7" s="26">
        <v>0</v>
      </c>
    </row>
    <row r="8" spans="1:13" ht="24">
      <c r="A8" s="25">
        <v>7</v>
      </c>
      <c r="B8" s="26">
        <v>7865</v>
      </c>
      <c r="C8" s="25" t="s">
        <v>74</v>
      </c>
      <c r="D8" s="25" t="s">
        <v>52</v>
      </c>
      <c r="E8" s="26" t="s">
        <v>75</v>
      </c>
      <c r="F8" s="27">
        <v>15300000</v>
      </c>
      <c r="G8" s="26">
        <v>180</v>
      </c>
      <c r="H8" s="34"/>
      <c r="I8" s="34"/>
      <c r="J8" s="26"/>
      <c r="K8" s="26" t="s">
        <v>79</v>
      </c>
      <c r="L8" s="28"/>
      <c r="M8" s="26">
        <v>0</v>
      </c>
    </row>
    <row r="9" spans="1:13">
      <c r="A9" s="25">
        <v>8</v>
      </c>
      <c r="B9" s="26"/>
      <c r="C9" s="25"/>
      <c r="D9" s="25"/>
      <c r="E9" s="26"/>
      <c r="F9" s="27"/>
      <c r="G9" s="26"/>
      <c r="H9" s="34"/>
      <c r="I9" s="34"/>
      <c r="J9" s="26"/>
      <c r="K9" s="26" t="s">
        <v>79</v>
      </c>
      <c r="L9" s="28"/>
      <c r="M9" s="26">
        <v>0</v>
      </c>
    </row>
    <row r="10" spans="1:13">
      <c r="E10" s="22" t="s">
        <v>69</v>
      </c>
      <c r="H10" s="33"/>
      <c r="I10" s="33"/>
      <c r="K10" s="24">
        <f>SUMIF(K2:K9,"Y",J2:J9)</f>
        <v>77669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78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12</v>
      </c>
      <c r="B1" s="69"/>
      <c r="C1" s="2"/>
    </row>
    <row r="2" spans="1:6" ht="14.25" customHeight="1">
      <c r="A2" s="69" t="s">
        <v>13</v>
      </c>
      <c r="B2" s="69"/>
      <c r="C2" s="2"/>
    </row>
    <row r="5" spans="1:6" ht="30">
      <c r="A5" s="3" t="s">
        <v>2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2019-10-04T08:44:54Z</cp:lastPrinted>
  <dcterms:created xsi:type="dcterms:W3CDTF">2015-09-25T09:25:31Z</dcterms:created>
  <dcterms:modified xsi:type="dcterms:W3CDTF">2019-10-16T09:30:28Z</dcterms:modified>
</cp:coreProperties>
</file>