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/>
  <c r="C18"/>
  <c r="B19"/>
  <c r="B18"/>
  <c r="D18" s="1"/>
  <c r="F18" s="1"/>
  <c r="D20"/>
  <c r="F20" s="1"/>
  <c r="D19"/>
  <c r="F19" s="1"/>
  <c r="C10"/>
  <c r="D10" s="1"/>
  <c r="F10" s="1"/>
  <c r="B9"/>
  <c r="D9" s="1"/>
  <c r="F9" s="1"/>
  <c r="B5"/>
  <c r="L11"/>
  <c r="K11"/>
  <c r="I4" i="2"/>
  <c r="D16" i="1"/>
  <c r="F16" s="1"/>
  <c r="D15"/>
  <c r="F15" s="1"/>
  <c r="D14"/>
  <c r="F14" s="1"/>
  <c r="D13"/>
  <c r="F13" s="1"/>
  <c r="D11"/>
  <c r="F11" s="1"/>
  <c r="D4" l="1"/>
  <c r="F4" s="1"/>
  <c r="D5" l="1"/>
  <c r="F5" s="1"/>
  <c r="D6" l="1"/>
  <c r="F6" s="1"/>
  <c r="F23"/>
  <c r="D3" l="1"/>
  <c r="D7"/>
  <c r="F3" l="1"/>
  <c r="F7"/>
  <c r="E13" i="5"/>
  <c r="F12"/>
  <c r="F11"/>
  <c r="F10"/>
  <c r="F9"/>
  <c r="F13" s="1"/>
  <c r="F8"/>
  <c r="F7"/>
  <c r="F6"/>
  <c r="F28" i="1"/>
  <c r="F22" l="1"/>
  <c r="F25" l="1"/>
  <c r="F29" s="1"/>
</calcChain>
</file>

<file path=xl/sharedStrings.xml><?xml version="1.0" encoding="utf-8"?>
<sst xmlns="http://schemas.openxmlformats.org/spreadsheetml/2006/main" count="107" uniqueCount="77">
  <si>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</si>
  <si>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</si>
  <si>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</si>
  <si>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</si>
  <si>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</si>
  <si>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</si>
  <si>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</si>
  <si>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</si>
  <si>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</si>
  <si>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</si>
  <si>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</si>
  <si>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</si>
  <si>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</si>
  <si>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</si>
  <si>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</si>
  <si>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</si>
  <si>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</si>
  <si>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</si>
  <si>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EMI Amt</t>
  </si>
  <si>
    <t>EMI Considered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</si>
  <si>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</si>
  <si>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</si>
  <si>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</si>
  <si>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</si>
  <si>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</si>
  <si>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</si>
  <si>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</si>
  <si>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</si>
  <si>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</si>
  <si>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</si>
  <si>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</si>
  <si>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</si>
  <si>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</si>
  <si>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</si>
  <si>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</si>
  <si>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</si>
  <si>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</si>
  <si>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</si>
  <si>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</si>
  <si>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</si>
  <si>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</si>
  <si>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</si>
  <si>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</si>
  <si>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</si>
  <si>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Income From Other Sources</t>
  </si>
  <si>
    <t>Payment Made u/s 40 (2)ab</t>
  </si>
  <si>
    <t>Loan Start Date</t>
  </si>
  <si>
    <t xml:space="preserve">Max FOIR  </t>
  </si>
  <si>
    <t xml:space="preserve">Income From House Property </t>
  </si>
  <si>
    <t>Income From Salary</t>
  </si>
  <si>
    <t>Sale Figure</t>
  </si>
  <si>
    <t>n</t>
  </si>
  <si>
    <t>N K Textiles</t>
  </si>
  <si>
    <t>As On Aug 20</t>
  </si>
  <si>
    <t>Niviya</t>
  </si>
  <si>
    <t>Ankush Kakkar</t>
  </si>
  <si>
    <t>Sunita Kakkar</t>
  </si>
  <si>
    <t>Ankur Kakkar</t>
  </si>
  <si>
    <t>W/o Ankush</t>
  </si>
  <si>
    <t>S/o Charanjit</t>
  </si>
  <si>
    <t>Wo Charanjit</t>
  </si>
  <si>
    <t>Main App</t>
  </si>
  <si>
    <t>Property Owner</t>
  </si>
  <si>
    <t>Assessment Year</t>
  </si>
  <si>
    <t>2020-21</t>
  </si>
  <si>
    <t>Niviya (Prop. Of N K Textile)</t>
  </si>
  <si>
    <t>N K Textiles (Dt Oct/10/2020)</t>
  </si>
  <si>
    <t>Income From Business &amp; Profession (Om Kar Astro)</t>
  </si>
  <si>
    <t>Share In Partnership Firm (Sunder Kakkar Hotel)</t>
  </si>
  <si>
    <t>As On 31/Mar/20</t>
  </si>
  <si>
    <t>As On 31/Mar/19</t>
  </si>
  <si>
    <t>Allahabad Bank</t>
  </si>
  <si>
    <t>HL</t>
  </si>
  <si>
    <t>Sunita Rani, Ankur Kakkar, Ankush Kakkar</t>
  </si>
  <si>
    <t>HL Topup</t>
  </si>
  <si>
    <t>2018-19</t>
  </si>
  <si>
    <t>Income From Salary (Ankush Shawls &amp; Om Kar Astro)</t>
  </si>
</sst>
</file>

<file path=xl/styles.xml><?xml version="1.0" encoding="utf-8"?>
<styleSheet xmlns="http://schemas.openxmlformats.org/spreadsheetml/2006/main">
  <numFmts count="5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  <numFmt numFmtId="168" formatCode="[$-409]d\-mmm\-yy;@"/>
  </numFmts>
  <fonts count="17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  <font>
      <sz val="10.5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2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8" fillId="0" borderId="0" applyFill="0" applyAlignment="0" applyProtection="0"/>
    <xf numFmtId="9" fontId="8" fillId="0" borderId="0" applyFill="0" applyBorder="0" applyAlignment="0" applyProtection="0"/>
    <xf numFmtId="0" fontId="8" fillId="0" borderId="0"/>
    <xf numFmtId="0" fontId="6" fillId="0" borderId="0"/>
    <xf numFmtId="165" fontId="5" fillId="0" borderId="0" applyBorder="0" applyProtection="0"/>
    <xf numFmtId="0" fontId="13" fillId="0" borderId="0"/>
  </cellStyleXfs>
  <cellXfs count="71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10" fillId="0" borderId="0" xfId="0" applyFont="1" applyBorder="1" applyAlignment="1">
      <alignment horizontal="center"/>
    </xf>
    <xf numFmtId="0" fontId="10" fillId="0" borderId="0" xfId="0" applyFont="1"/>
    <xf numFmtId="0" fontId="11" fillId="5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left" vertical="center" wrapText="1"/>
    </xf>
    <xf numFmtId="168" fontId="12" fillId="0" borderId="2" xfId="0" applyNumberFormat="1" applyFont="1" applyBorder="1" applyAlignment="1">
      <alignment horizontal="left" vertical="center" wrapText="1"/>
    </xf>
    <xf numFmtId="1" fontId="12" fillId="4" borderId="2" xfId="0" applyNumberFormat="1" applyFont="1" applyFill="1" applyBorder="1" applyAlignment="1">
      <alignment horizontal="left" vertical="center" wrapText="1"/>
    </xf>
    <xf numFmtId="2" fontId="10" fillId="6" borderId="2" xfId="0" applyNumberFormat="1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" fontId="9" fillId="6" borderId="2" xfId="0" applyNumberFormat="1" applyFont="1" applyFill="1" applyBorder="1" applyAlignment="1">
      <alignment horizontal="left" vertical="center"/>
    </xf>
    <xf numFmtId="164" fontId="15" fillId="7" borderId="2" xfId="1" applyNumberFormat="1" applyFont="1" applyFill="1" applyBorder="1" applyAlignment="1" applyProtection="1">
      <alignment horizontal="left" vertical="center" wrapText="1"/>
    </xf>
    <xf numFmtId="164" fontId="16" fillId="6" borderId="2" xfId="1" applyNumberFormat="1" applyFont="1" applyFill="1" applyBorder="1" applyAlignment="1" applyProtection="1">
      <alignment horizontal="left" vertical="center" wrapText="1"/>
    </xf>
    <xf numFmtId="164" fontId="16" fillId="0" borderId="2" xfId="1" applyNumberFormat="1" applyFont="1" applyFill="1" applyBorder="1" applyAlignment="1" applyProtection="1">
      <alignment horizontal="left" vertical="top" wrapText="1"/>
    </xf>
    <xf numFmtId="164" fontId="15" fillId="5" borderId="2" xfId="1" applyNumberFormat="1" applyFont="1" applyFill="1" applyBorder="1" applyAlignment="1" applyProtection="1">
      <alignment horizontal="left" vertical="center" wrapText="1"/>
    </xf>
    <xf numFmtId="0" fontId="14" fillId="6" borderId="0" xfId="3" applyFont="1" applyFill="1" applyBorder="1" applyAlignment="1">
      <alignment horizontal="left" vertical="top" wrapText="1"/>
    </xf>
    <xf numFmtId="0" fontId="14" fillId="0" borderId="0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164" fontId="15" fillId="8" borderId="2" xfId="1" applyNumberFormat="1" applyFont="1" applyFill="1" applyBorder="1" applyAlignment="1" applyProtection="1">
      <alignment horizontal="left" vertical="center" wrapText="1"/>
    </xf>
    <xf numFmtId="9" fontId="15" fillId="8" borderId="2" xfId="1" applyNumberFormat="1" applyFont="1" applyFill="1" applyBorder="1" applyAlignment="1" applyProtection="1">
      <alignment horizontal="left" vertical="center" wrapText="1"/>
    </xf>
    <xf numFmtId="166" fontId="16" fillId="6" borderId="2" xfId="1" applyNumberFormat="1" applyFont="1" applyFill="1" applyBorder="1" applyAlignment="1" applyProtection="1">
      <alignment horizontal="left" vertical="center"/>
    </xf>
    <xf numFmtId="166" fontId="16" fillId="0" borderId="2" xfId="1" applyNumberFormat="1" applyFont="1" applyFill="1" applyBorder="1" applyAlignment="1" applyProtection="1">
      <alignment horizontal="left" vertical="center"/>
    </xf>
    <xf numFmtId="164" fontId="16" fillId="6" borderId="2" xfId="1" applyNumberFormat="1" applyFont="1" applyFill="1" applyBorder="1" applyAlignment="1" applyProtection="1">
      <alignment horizontal="left" vertical="top"/>
    </xf>
    <xf numFmtId="9" fontId="16" fillId="6" borderId="2" xfId="1" applyNumberFormat="1" applyFont="1" applyFill="1" applyBorder="1" applyAlignment="1" applyProtection="1">
      <alignment horizontal="left" vertical="top"/>
    </xf>
    <xf numFmtId="0" fontId="14" fillId="6" borderId="2" xfId="3" applyFont="1" applyFill="1" applyBorder="1" applyAlignment="1">
      <alignment horizontal="left" vertical="top" wrapText="1"/>
    </xf>
    <xf numFmtId="165" fontId="15" fillId="8" borderId="2" xfId="1" applyFont="1" applyFill="1" applyBorder="1" applyAlignment="1" applyProtection="1">
      <alignment horizontal="left" vertical="top" wrapText="1"/>
    </xf>
    <xf numFmtId="167" fontId="15" fillId="8" borderId="2" xfId="1" applyNumberFormat="1" applyFont="1" applyFill="1" applyBorder="1" applyAlignment="1" applyProtection="1">
      <alignment horizontal="left" vertical="top"/>
    </xf>
    <xf numFmtId="10" fontId="16" fillId="0" borderId="2" xfId="1" applyNumberFormat="1" applyFont="1" applyFill="1" applyBorder="1" applyAlignment="1" applyProtection="1">
      <alignment horizontal="left" vertical="top"/>
    </xf>
    <xf numFmtId="164" fontId="16" fillId="8" borderId="2" xfId="1" applyNumberFormat="1" applyFont="1" applyFill="1" applyBorder="1" applyAlignment="1" applyProtection="1">
      <alignment horizontal="left" vertical="top"/>
    </xf>
    <xf numFmtId="164" fontId="16" fillId="0" borderId="2" xfId="1" applyNumberFormat="1" applyFont="1" applyFill="1" applyBorder="1" applyAlignment="1" applyProtection="1">
      <alignment horizontal="left" vertical="top"/>
    </xf>
    <xf numFmtId="2" fontId="16" fillId="8" borderId="2" xfId="5" applyNumberFormat="1" applyFont="1" applyFill="1" applyBorder="1" applyAlignment="1" applyProtection="1">
      <alignment horizontal="left" vertical="top"/>
    </xf>
    <xf numFmtId="165" fontId="16" fillId="8" borderId="2" xfId="5" applyNumberFormat="1" applyFont="1" applyFill="1" applyBorder="1" applyAlignment="1" applyProtection="1">
      <alignment horizontal="left" vertical="top"/>
    </xf>
    <xf numFmtId="166" fontId="16" fillId="9" borderId="2" xfId="1" applyNumberFormat="1" applyFont="1" applyFill="1" applyBorder="1" applyAlignment="1" applyProtection="1">
      <alignment horizontal="left" vertical="center"/>
    </xf>
    <xf numFmtId="164" fontId="15" fillId="5" borderId="2" xfId="1" applyNumberFormat="1" applyFont="1" applyFill="1" applyBorder="1" applyAlignment="1" applyProtection="1">
      <alignment horizontal="left" vertical="center" wrapText="1"/>
    </xf>
    <xf numFmtId="164" fontId="15" fillId="5" borderId="2" xfId="1" applyNumberFormat="1" applyFont="1" applyFill="1" applyBorder="1" applyAlignment="1" applyProtection="1">
      <alignment horizontal="left" vertical="center" wrapText="1"/>
    </xf>
    <xf numFmtId="0" fontId="14" fillId="6" borderId="0" xfId="3" applyFont="1" applyFill="1" applyBorder="1" applyAlignment="1">
      <alignment horizontal="left" vertical="top"/>
    </xf>
    <xf numFmtId="164" fontId="15" fillId="10" borderId="0" xfId="1" applyNumberFormat="1" applyFont="1" applyFill="1" applyBorder="1" applyAlignment="1" applyProtection="1">
      <alignment horizontal="left" vertical="center" wrapText="1"/>
    </xf>
    <xf numFmtId="164" fontId="15" fillId="11" borderId="0" xfId="1" applyNumberFormat="1" applyFont="1" applyFill="1" applyBorder="1" applyAlignment="1" applyProtection="1">
      <alignment horizontal="left" vertical="center" wrapText="1"/>
    </xf>
    <xf numFmtId="164" fontId="16" fillId="9" borderId="0" xfId="1" applyNumberFormat="1" applyFont="1" applyFill="1" applyBorder="1" applyAlignment="1" applyProtection="1">
      <alignment horizontal="left" vertical="top"/>
    </xf>
    <xf numFmtId="167" fontId="15" fillId="11" borderId="0" xfId="1" applyNumberFormat="1" applyFont="1" applyFill="1" applyBorder="1" applyAlignment="1" applyProtection="1">
      <alignment horizontal="left" vertical="top"/>
    </xf>
    <xf numFmtId="10" fontId="16" fillId="4" borderId="0" xfId="1" applyNumberFormat="1" applyFont="1" applyFill="1" applyBorder="1" applyAlignment="1" applyProtection="1">
      <alignment horizontal="left" vertical="top"/>
    </xf>
    <xf numFmtId="164" fontId="16" fillId="11" borderId="0" xfId="1" applyNumberFormat="1" applyFont="1" applyFill="1" applyBorder="1" applyAlignment="1" applyProtection="1">
      <alignment horizontal="left" vertical="top"/>
    </xf>
    <xf numFmtId="164" fontId="16" fillId="4" borderId="0" xfId="1" applyNumberFormat="1" applyFont="1" applyFill="1" applyBorder="1" applyAlignment="1" applyProtection="1">
      <alignment horizontal="left" vertical="top"/>
    </xf>
    <xf numFmtId="2" fontId="16" fillId="11" borderId="0" xfId="5" applyNumberFormat="1" applyFont="1" applyFill="1" applyBorder="1" applyAlignment="1" applyProtection="1">
      <alignment horizontal="left" vertical="top"/>
    </xf>
    <xf numFmtId="165" fontId="16" fillId="11" borderId="0" xfId="5" applyNumberFormat="1" applyFont="1" applyFill="1" applyBorder="1" applyAlignment="1" applyProtection="1">
      <alignment horizontal="left" vertical="top"/>
    </xf>
    <xf numFmtId="0" fontId="14" fillId="9" borderId="0" xfId="3" applyFont="1" applyFill="1" applyBorder="1" applyAlignment="1">
      <alignment horizontal="left" vertical="top" wrapText="1"/>
    </xf>
    <xf numFmtId="0" fontId="16" fillId="0" borderId="2" xfId="0" applyNumberFormat="1" applyFont="1" applyFill="1" applyBorder="1" applyAlignment="1">
      <alignment horizontal="left"/>
    </xf>
    <xf numFmtId="164" fontId="15" fillId="5" borderId="2" xfId="1" applyNumberFormat="1" applyFont="1" applyFill="1" applyBorder="1" applyAlignment="1" applyProtection="1">
      <alignment horizontal="left" vertical="center" wrapText="1"/>
    </xf>
    <xf numFmtId="0" fontId="16" fillId="8" borderId="2" xfId="0" applyNumberFormat="1" applyFont="1" applyFill="1" applyBorder="1" applyAlignment="1">
      <alignment horizontal="left"/>
    </xf>
    <xf numFmtId="164" fontId="15" fillId="0" borderId="2" xfId="1" applyNumberFormat="1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O29"/>
  <sheetViews>
    <sheetView tabSelected="1" zoomScale="107" zoomScaleNormal="107" workbookViewId="0">
      <selection activeCell="K16" sqref="K16"/>
    </sheetView>
  </sheetViews>
  <sheetFormatPr defaultColWidth="31.28515625" defaultRowHeight="14.25"/>
  <cols>
    <col min="1" max="1" width="40.7109375" style="34" customWidth="1"/>
    <col min="2" max="2" width="12.42578125" style="34" customWidth="1"/>
    <col min="3" max="3" width="12" style="34" customWidth="1"/>
    <col min="4" max="4" width="14.140625" style="34" customWidth="1"/>
    <col min="5" max="5" width="14.7109375" style="34" customWidth="1"/>
    <col min="6" max="6" width="17.85546875" style="34" customWidth="1"/>
    <col min="7" max="8" width="17.85546875" style="65" customWidth="1"/>
    <col min="9" max="9" width="14.140625" style="34" bestFit="1" customWidth="1"/>
    <col min="10" max="11" width="15.5703125" style="34" bestFit="1" customWidth="1"/>
    <col min="12" max="12" width="11.5703125" style="34" bestFit="1" customWidth="1"/>
    <col min="13" max="14" width="13.140625" style="34" customWidth="1"/>
    <col min="15" max="15" width="13.5703125" style="34" customWidth="1"/>
    <col min="16" max="16" width="14.140625" style="34" customWidth="1"/>
    <col min="17" max="17" width="11.85546875" style="34" customWidth="1"/>
    <col min="18" max="18" width="12" style="34" customWidth="1"/>
    <col min="19" max="19" width="11" style="34" customWidth="1"/>
    <col min="20" max="20" width="11.5703125" style="34" customWidth="1"/>
    <col min="21" max="21" width="12" style="34" customWidth="1"/>
    <col min="22" max="239" width="31.28515625" style="34"/>
    <col min="240" max="247" width="31.28515625" style="35"/>
    <col min="248" max="249" width="31.28515625" style="36"/>
    <col min="250" max="16384" width="31.28515625" style="37"/>
  </cols>
  <sheetData>
    <row r="1" spans="1:12" ht="12.75" customHeight="1">
      <c r="A1" s="53" t="s">
        <v>66</v>
      </c>
      <c r="B1" s="67" t="s">
        <v>63</v>
      </c>
      <c r="C1" s="67"/>
      <c r="D1" s="33"/>
      <c r="E1" s="33"/>
      <c r="F1" s="54"/>
      <c r="G1" s="56"/>
      <c r="H1" s="56"/>
    </row>
    <row r="2" spans="1:12" ht="12.75" customHeight="1">
      <c r="A2" s="30" t="s">
        <v>65</v>
      </c>
      <c r="B2" s="38" t="s">
        <v>64</v>
      </c>
      <c r="C2" s="38" t="s">
        <v>42</v>
      </c>
      <c r="D2" s="38" t="s">
        <v>0</v>
      </c>
      <c r="E2" s="39" t="s">
        <v>1</v>
      </c>
      <c r="F2" s="38" t="s">
        <v>2</v>
      </c>
      <c r="G2" s="57"/>
      <c r="H2" s="57"/>
    </row>
    <row r="3" spans="1:12" ht="12.75" customHeight="1">
      <c r="A3" s="31" t="s">
        <v>43</v>
      </c>
      <c r="B3" s="52">
        <v>828228</v>
      </c>
      <c r="C3" s="41">
        <v>405035.8</v>
      </c>
      <c r="D3" s="42">
        <f>AVERAGE(B3:C3)</f>
        <v>616631.9</v>
      </c>
      <c r="E3" s="43">
        <v>1</v>
      </c>
      <c r="F3" s="42">
        <f t="shared" ref="F3:F7" si="0">E3*D3</f>
        <v>616631.9</v>
      </c>
      <c r="G3" s="58"/>
      <c r="H3" s="58"/>
      <c r="I3" s="44" t="s">
        <v>54</v>
      </c>
      <c r="J3" s="44" t="s">
        <v>58</v>
      </c>
      <c r="K3" s="44" t="s">
        <v>61</v>
      </c>
    </row>
    <row r="4" spans="1:12" ht="12.75" customHeight="1">
      <c r="A4" s="31" t="s">
        <v>49</v>
      </c>
      <c r="B4" s="52">
        <v>0</v>
      </c>
      <c r="C4" s="41">
        <v>248333</v>
      </c>
      <c r="D4" s="42">
        <f t="shared" ref="D4:D7" si="1">AVERAGE(B4:C4)</f>
        <v>124166.5</v>
      </c>
      <c r="E4" s="43">
        <v>0</v>
      </c>
      <c r="F4" s="42">
        <f t="shared" ref="F4" si="2">E4*D4</f>
        <v>0</v>
      </c>
      <c r="G4" s="58"/>
      <c r="H4" s="58"/>
      <c r="I4" s="44" t="s">
        <v>56</v>
      </c>
      <c r="J4" s="44" t="s">
        <v>60</v>
      </c>
      <c r="K4" s="44" t="s">
        <v>62</v>
      </c>
    </row>
    <row r="5" spans="1:12" ht="12.75" customHeight="1">
      <c r="A5" s="31" t="s">
        <v>45</v>
      </c>
      <c r="B5" s="52">
        <f>350000+354000</f>
        <v>704000</v>
      </c>
      <c r="C5" s="41">
        <v>8000</v>
      </c>
      <c r="D5" s="42">
        <f t="shared" ref="D5" si="3">AVERAGE(B5:C5)</f>
        <v>356000</v>
      </c>
      <c r="E5" s="43">
        <v>1</v>
      </c>
      <c r="F5" s="42">
        <f t="shared" ref="F5" si="4">E5*D5</f>
        <v>356000</v>
      </c>
      <c r="G5" s="58"/>
      <c r="H5" s="58"/>
      <c r="I5" s="44" t="s">
        <v>57</v>
      </c>
      <c r="J5" s="44" t="s">
        <v>59</v>
      </c>
      <c r="K5" s="44" t="s">
        <v>62</v>
      </c>
    </row>
    <row r="6" spans="1:12" ht="12.75" customHeight="1">
      <c r="A6" s="31" t="s">
        <v>44</v>
      </c>
      <c r="B6" s="52">
        <v>2681</v>
      </c>
      <c r="C6" s="41">
        <v>0</v>
      </c>
      <c r="D6" s="42">
        <f t="shared" ref="D6" si="5">AVERAGE(B6:C6)</f>
        <v>1340.5</v>
      </c>
      <c r="E6" s="43">
        <v>0.5</v>
      </c>
      <c r="F6" s="42">
        <f t="shared" ref="F6" si="6">E6*D6</f>
        <v>670.25</v>
      </c>
      <c r="G6" s="58"/>
      <c r="H6" s="58"/>
      <c r="I6" s="44" t="s">
        <v>55</v>
      </c>
      <c r="J6" s="44" t="s">
        <v>59</v>
      </c>
      <c r="K6" s="44" t="s">
        <v>62</v>
      </c>
    </row>
    <row r="7" spans="1:12">
      <c r="A7" s="31" t="s">
        <v>3</v>
      </c>
      <c r="B7" s="52">
        <v>-74006</v>
      </c>
      <c r="C7" s="40">
        <v>-14087</v>
      </c>
      <c r="D7" s="42">
        <f t="shared" si="1"/>
        <v>-44046.5</v>
      </c>
      <c r="E7" s="43">
        <v>1</v>
      </c>
      <c r="F7" s="42">
        <f t="shared" si="0"/>
        <v>-44046.5</v>
      </c>
      <c r="G7" s="58"/>
      <c r="H7" s="58"/>
    </row>
    <row r="8" spans="1:12" ht="12.75" customHeight="1">
      <c r="A8" s="30" t="s">
        <v>55</v>
      </c>
      <c r="B8" s="38" t="s">
        <v>64</v>
      </c>
      <c r="C8" s="38" t="s">
        <v>42</v>
      </c>
      <c r="D8" s="38" t="s">
        <v>0</v>
      </c>
      <c r="E8" s="39" t="s">
        <v>1</v>
      </c>
      <c r="F8" s="38" t="s">
        <v>2</v>
      </c>
      <c r="G8" s="57"/>
      <c r="H8" s="57"/>
    </row>
    <row r="9" spans="1:12" ht="12.75" customHeight="1">
      <c r="A9" s="31" t="s">
        <v>67</v>
      </c>
      <c r="B9" s="52">
        <f>880982+43491</f>
        <v>924473</v>
      </c>
      <c r="C9" s="41">
        <v>576301</v>
      </c>
      <c r="D9" s="42">
        <f>AVERAGE(B9:C9)</f>
        <v>750387</v>
      </c>
      <c r="E9" s="43">
        <v>1</v>
      </c>
      <c r="F9" s="42">
        <f t="shared" ref="F9:F11" si="7">E9*D9</f>
        <v>750387</v>
      </c>
      <c r="G9" s="58"/>
      <c r="H9" s="58"/>
    </row>
    <row r="10" spans="1:12" ht="12.75" customHeight="1">
      <c r="A10" s="31" t="s">
        <v>44</v>
      </c>
      <c r="B10" s="52">
        <v>16973</v>
      </c>
      <c r="C10" s="41">
        <f>7021+342500</f>
        <v>349521</v>
      </c>
      <c r="D10" s="42">
        <f t="shared" ref="D10:D11" si="8">AVERAGE(B10:C10)</f>
        <v>183247</v>
      </c>
      <c r="E10" s="43">
        <v>0.5</v>
      </c>
      <c r="F10" s="42">
        <f t="shared" si="7"/>
        <v>91623.5</v>
      </c>
      <c r="G10" s="58"/>
      <c r="H10" s="58"/>
      <c r="I10" s="44" t="s">
        <v>50</v>
      </c>
      <c r="J10" s="44" t="s">
        <v>70</v>
      </c>
      <c r="K10" s="44" t="s">
        <v>69</v>
      </c>
      <c r="L10" s="44" t="s">
        <v>53</v>
      </c>
    </row>
    <row r="11" spans="1:12">
      <c r="A11" s="31" t="s">
        <v>3</v>
      </c>
      <c r="B11" s="52">
        <v>-17364</v>
      </c>
      <c r="C11" s="40">
        <v>-30202</v>
      </c>
      <c r="D11" s="42">
        <f t="shared" si="8"/>
        <v>-23783</v>
      </c>
      <c r="E11" s="43">
        <v>1</v>
      </c>
      <c r="F11" s="42">
        <f t="shared" si="7"/>
        <v>-23783</v>
      </c>
      <c r="G11" s="58"/>
      <c r="H11" s="58"/>
      <c r="I11" s="44" t="s">
        <v>52</v>
      </c>
      <c r="J11" s="44">
        <v>31094154</v>
      </c>
      <c r="K11" s="44">
        <f>3688859+3494337+3858203+6331603+6714829+9391945+7619933+17067100+6779505+8240104+4219109+2220414</f>
        <v>79625941</v>
      </c>
      <c r="L11" s="44">
        <f>0+1139337+1497120+1870600+2028758</f>
        <v>6535815</v>
      </c>
    </row>
    <row r="12" spans="1:12" ht="12.75" customHeight="1">
      <c r="A12" s="30" t="s">
        <v>56</v>
      </c>
      <c r="B12" s="38" t="s">
        <v>64</v>
      </c>
      <c r="C12" s="38" t="s">
        <v>42</v>
      </c>
      <c r="D12" s="38" t="s">
        <v>0</v>
      </c>
      <c r="E12" s="39" t="s">
        <v>1</v>
      </c>
      <c r="F12" s="38" t="s">
        <v>2</v>
      </c>
      <c r="G12" s="57"/>
      <c r="H12" s="57"/>
    </row>
    <row r="13" spans="1:12" ht="12.75" customHeight="1">
      <c r="A13" s="31" t="s">
        <v>48</v>
      </c>
      <c r="B13" s="52">
        <v>480000</v>
      </c>
      <c r="C13" s="41">
        <v>440000</v>
      </c>
      <c r="D13" s="42">
        <f>AVERAGE(B13:C13)</f>
        <v>460000</v>
      </c>
      <c r="E13" s="43">
        <v>0</v>
      </c>
      <c r="F13" s="42">
        <f t="shared" ref="F13:F16" si="9">E13*D13</f>
        <v>0</v>
      </c>
      <c r="G13" s="58"/>
      <c r="H13" s="58"/>
    </row>
    <row r="14" spans="1:12" ht="12.75" customHeight="1">
      <c r="A14" s="31" t="s">
        <v>68</v>
      </c>
      <c r="B14" s="52">
        <v>278562</v>
      </c>
      <c r="C14" s="41">
        <v>289521</v>
      </c>
      <c r="D14" s="42">
        <f t="shared" ref="D14:D16" si="10">AVERAGE(B14:C14)</f>
        <v>284041.5</v>
      </c>
      <c r="E14" s="43">
        <v>0.5</v>
      </c>
      <c r="F14" s="42">
        <f t="shared" si="9"/>
        <v>142020.75</v>
      </c>
      <c r="G14" s="58"/>
      <c r="H14" s="58"/>
    </row>
    <row r="15" spans="1:12" ht="12.75" customHeight="1">
      <c r="A15" s="31" t="s">
        <v>44</v>
      </c>
      <c r="B15" s="52">
        <v>5812</v>
      </c>
      <c r="C15" s="41">
        <v>0</v>
      </c>
      <c r="D15" s="42">
        <f t="shared" si="10"/>
        <v>2906</v>
      </c>
      <c r="E15" s="43">
        <v>0.5</v>
      </c>
      <c r="F15" s="42">
        <f t="shared" si="9"/>
        <v>1453</v>
      </c>
      <c r="G15" s="58"/>
      <c r="H15" s="58"/>
    </row>
    <row r="16" spans="1:12">
      <c r="A16" s="31" t="s">
        <v>3</v>
      </c>
      <c r="B16" s="52">
        <v>-11887</v>
      </c>
      <c r="C16" s="40">
        <v>0</v>
      </c>
      <c r="D16" s="42">
        <f t="shared" si="10"/>
        <v>-5943.5</v>
      </c>
      <c r="E16" s="43">
        <v>1</v>
      </c>
      <c r="F16" s="42">
        <f t="shared" si="9"/>
        <v>-5943.5</v>
      </c>
      <c r="G16" s="58"/>
      <c r="H16" s="58"/>
    </row>
    <row r="17" spans="1:249" ht="12.75" customHeight="1">
      <c r="A17" s="30" t="s">
        <v>57</v>
      </c>
      <c r="B17" s="38" t="s">
        <v>42</v>
      </c>
      <c r="C17" s="38" t="s">
        <v>75</v>
      </c>
      <c r="D17" s="38" t="s">
        <v>0</v>
      </c>
      <c r="E17" s="39" t="s">
        <v>1</v>
      </c>
      <c r="F17" s="38" t="s">
        <v>2</v>
      </c>
      <c r="G17" s="57"/>
      <c r="H17" s="57"/>
    </row>
    <row r="18" spans="1:249" ht="12.75" customHeight="1">
      <c r="A18" s="31" t="s">
        <v>76</v>
      </c>
      <c r="B18" s="52">
        <f>372500+240000</f>
        <v>612500</v>
      </c>
      <c r="C18" s="41">
        <f>372500+192000</f>
        <v>564500</v>
      </c>
      <c r="D18" s="42">
        <f>AVERAGE(B18:C18)</f>
        <v>588500</v>
      </c>
      <c r="E18" s="43">
        <v>1</v>
      </c>
      <c r="F18" s="42">
        <f t="shared" ref="F18:F20" si="11">E18*D18</f>
        <v>588500</v>
      </c>
      <c r="G18" s="58"/>
      <c r="H18" s="58"/>
    </row>
    <row r="19" spans="1:249" ht="12.75" customHeight="1">
      <c r="A19" s="31" t="s">
        <v>68</v>
      </c>
      <c r="B19" s="52">
        <f>162000+42634</f>
        <v>204634</v>
      </c>
      <c r="C19" s="41">
        <v>162000</v>
      </c>
      <c r="D19" s="42">
        <f t="shared" ref="D19:D20" si="12">AVERAGE(B19:C19)</f>
        <v>183317</v>
      </c>
      <c r="E19" s="43">
        <v>0.5</v>
      </c>
      <c r="F19" s="42">
        <f t="shared" si="11"/>
        <v>91658.5</v>
      </c>
      <c r="G19" s="58"/>
      <c r="H19" s="58"/>
    </row>
    <row r="20" spans="1:249">
      <c r="A20" s="31" t="s">
        <v>3</v>
      </c>
      <c r="B20" s="52">
        <v>-9654</v>
      </c>
      <c r="C20" s="40">
        <v>-8625</v>
      </c>
      <c r="D20" s="42">
        <f t="shared" si="12"/>
        <v>-9139.5</v>
      </c>
      <c r="E20" s="43">
        <v>1</v>
      </c>
      <c r="F20" s="42">
        <f t="shared" si="11"/>
        <v>-9139.5</v>
      </c>
      <c r="G20" s="58"/>
      <c r="H20" s="58"/>
    </row>
    <row r="21" spans="1:249" ht="12.75" customHeight="1">
      <c r="A21" s="45" t="s">
        <v>4</v>
      </c>
      <c r="B21" s="68"/>
      <c r="C21" s="68"/>
      <c r="D21" s="68"/>
      <c r="E21" s="68"/>
      <c r="F21" s="46">
        <f>+SUM(F3:F20)</f>
        <v>2556032.4</v>
      </c>
      <c r="G21" s="59"/>
      <c r="H21" s="59"/>
    </row>
    <row r="22" spans="1:249" ht="12.75" customHeight="1">
      <c r="A22" s="32" t="s">
        <v>5</v>
      </c>
      <c r="B22" s="66"/>
      <c r="C22" s="66"/>
      <c r="D22" s="66"/>
      <c r="E22" s="66"/>
      <c r="F22" s="46">
        <f>F21/12</f>
        <v>213002.69999999998</v>
      </c>
      <c r="G22" s="59"/>
      <c r="H22" s="59"/>
    </row>
    <row r="23" spans="1:249" ht="12.75" customHeight="1">
      <c r="A23" s="32" t="s">
        <v>6</v>
      </c>
      <c r="B23" s="66"/>
      <c r="C23" s="66"/>
      <c r="D23" s="66"/>
      <c r="E23" s="66"/>
      <c r="F23" s="42">
        <f>RTR!I4</f>
        <v>0</v>
      </c>
      <c r="G23" s="58"/>
      <c r="H23" s="58"/>
    </row>
    <row r="24" spans="1:249" ht="12.75" customHeight="1">
      <c r="A24" s="32" t="s">
        <v>47</v>
      </c>
      <c r="B24" s="69"/>
      <c r="C24" s="69"/>
      <c r="D24" s="69"/>
      <c r="E24" s="69"/>
      <c r="F24" s="47">
        <v>1</v>
      </c>
      <c r="G24" s="60"/>
      <c r="H24" s="60"/>
    </row>
    <row r="25" spans="1:249" ht="12.75" customHeight="1">
      <c r="A25" s="32" t="s">
        <v>7</v>
      </c>
      <c r="B25" s="66"/>
      <c r="C25" s="66"/>
      <c r="D25" s="66"/>
      <c r="E25" s="66"/>
      <c r="F25" s="48">
        <f>(F22*F24)-F23</f>
        <v>213002.69999999998</v>
      </c>
      <c r="G25" s="61"/>
      <c r="H25" s="61"/>
      <c r="I25" s="55"/>
    </row>
    <row r="26" spans="1:249" ht="12.75" customHeight="1">
      <c r="A26" s="32" t="s">
        <v>8</v>
      </c>
      <c r="B26" s="66"/>
      <c r="C26" s="66"/>
      <c r="D26" s="66"/>
      <c r="E26" s="66"/>
      <c r="F26" s="49">
        <v>180</v>
      </c>
      <c r="G26" s="62"/>
      <c r="H26" s="62"/>
      <c r="ID26" s="35"/>
      <c r="IE26" s="35"/>
      <c r="IL26" s="36"/>
      <c r="IM26" s="36"/>
      <c r="IN26" s="37"/>
      <c r="IO26" s="37"/>
    </row>
    <row r="27" spans="1:249" ht="12.75" customHeight="1">
      <c r="A27" s="32" t="s">
        <v>9</v>
      </c>
      <c r="B27" s="66"/>
      <c r="C27" s="66"/>
      <c r="D27" s="66"/>
      <c r="E27" s="66"/>
      <c r="F27" s="47">
        <v>0.09</v>
      </c>
      <c r="G27" s="60"/>
      <c r="H27" s="60"/>
      <c r="ID27" s="35"/>
      <c r="IE27" s="35"/>
      <c r="IL27" s="36"/>
      <c r="IM27" s="36"/>
      <c r="IN27" s="37"/>
      <c r="IO27" s="37"/>
    </row>
    <row r="28" spans="1:249" ht="12.75" customHeight="1">
      <c r="A28" s="32" t="s">
        <v>10</v>
      </c>
      <c r="B28" s="66"/>
      <c r="C28" s="66"/>
      <c r="D28" s="66"/>
      <c r="E28" s="66"/>
      <c r="F28" s="50">
        <f>PMT(F27/12,F26,-100000)</f>
        <v>1014.2665841617796</v>
      </c>
      <c r="G28" s="63"/>
      <c r="H28" s="63"/>
      <c r="ID28" s="35"/>
      <c r="IE28" s="35"/>
      <c r="IL28" s="36"/>
      <c r="IM28" s="36"/>
      <c r="IN28" s="37"/>
      <c r="IO28" s="37"/>
    </row>
    <row r="29" spans="1:249" ht="12.75" customHeight="1">
      <c r="A29" s="32" t="s">
        <v>11</v>
      </c>
      <c r="B29" s="66"/>
      <c r="C29" s="66"/>
      <c r="D29" s="66"/>
      <c r="E29" s="66"/>
      <c r="F29" s="51">
        <f>F25/F28</f>
        <v>210.00662284071186</v>
      </c>
      <c r="G29" s="64"/>
      <c r="H29" s="64"/>
      <c r="ID29" s="35"/>
      <c r="IE29" s="35"/>
      <c r="IL29" s="36"/>
      <c r="IM29" s="36"/>
      <c r="IN29" s="37"/>
      <c r="IO29" s="37"/>
    </row>
  </sheetData>
  <sheetProtection selectLockedCells="1" selectUnlockedCells="1"/>
  <mergeCells count="10">
    <mergeCell ref="B1:C1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K4"/>
  <sheetViews>
    <sheetView zoomScale="89" zoomScaleNormal="89" workbookViewId="0">
      <selection activeCell="I3" sqref="I3"/>
    </sheetView>
  </sheetViews>
  <sheetFormatPr defaultColWidth="22.140625" defaultRowHeight="13.5"/>
  <cols>
    <col min="1" max="1" width="4" style="20" bestFit="1" customWidth="1"/>
    <col min="2" max="2" width="18.85546875" style="20" bestFit="1" customWidth="1"/>
    <col min="3" max="3" width="36.28515625" style="20" customWidth="1"/>
    <col min="4" max="4" width="12.42578125" style="20" bestFit="1" customWidth="1"/>
    <col min="5" max="5" width="10.85546875" style="20" bestFit="1" customWidth="1"/>
    <col min="6" max="6" width="10.140625" style="20" bestFit="1" customWidth="1"/>
    <col min="7" max="7" width="10.140625" style="20" customWidth="1"/>
    <col min="8" max="8" width="8.7109375" style="20" bestFit="1" customWidth="1"/>
    <col min="9" max="9" width="11.28515625" style="20" bestFit="1" customWidth="1"/>
    <col min="10" max="245" width="22.140625" style="20"/>
    <col min="246" max="16384" width="22.140625" style="21"/>
  </cols>
  <sheetData>
    <row r="1" spans="1:9" ht="27">
      <c r="A1" s="22" t="s">
        <v>12</v>
      </c>
      <c r="B1" s="22" t="s">
        <v>13</v>
      </c>
      <c r="C1" s="22" t="s">
        <v>14</v>
      </c>
      <c r="D1" s="22" t="s">
        <v>15</v>
      </c>
      <c r="E1" s="22" t="s">
        <v>16</v>
      </c>
      <c r="F1" s="22" t="s">
        <v>17</v>
      </c>
      <c r="G1" s="22" t="s">
        <v>46</v>
      </c>
      <c r="H1" s="22" t="s">
        <v>18</v>
      </c>
      <c r="I1" s="22" t="s">
        <v>19</v>
      </c>
    </row>
    <row r="2" spans="1:9" ht="15.75" customHeight="1">
      <c r="A2" s="23">
        <v>1</v>
      </c>
      <c r="B2" s="24">
        <v>50260256146</v>
      </c>
      <c r="C2" s="23" t="s">
        <v>73</v>
      </c>
      <c r="D2" s="23" t="s">
        <v>71</v>
      </c>
      <c r="E2" s="24" t="s">
        <v>72</v>
      </c>
      <c r="F2" s="24">
        <v>4200000</v>
      </c>
      <c r="G2" s="25">
        <v>42024</v>
      </c>
      <c r="H2" s="26">
        <v>27443</v>
      </c>
      <c r="I2" s="27" t="s">
        <v>51</v>
      </c>
    </row>
    <row r="3" spans="1:9" ht="15.75" customHeight="1">
      <c r="A3" s="23">
        <v>2</v>
      </c>
      <c r="B3" s="24">
        <v>50465098288</v>
      </c>
      <c r="C3" s="23" t="s">
        <v>73</v>
      </c>
      <c r="D3" s="23" t="s">
        <v>71</v>
      </c>
      <c r="E3" s="24" t="s">
        <v>74</v>
      </c>
      <c r="F3" s="24">
        <v>6450000</v>
      </c>
      <c r="G3" s="25">
        <v>43395</v>
      </c>
      <c r="H3" s="26">
        <v>51767</v>
      </c>
      <c r="I3" s="27" t="s">
        <v>51</v>
      </c>
    </row>
    <row r="4" spans="1:9">
      <c r="A4" s="28"/>
      <c r="B4" s="23"/>
      <c r="C4" s="23"/>
      <c r="D4" s="23"/>
      <c r="E4" s="24"/>
      <c r="F4" s="23"/>
      <c r="G4" s="23"/>
      <c r="H4" s="23"/>
      <c r="I4" s="29">
        <f>SUMIF(I2:I3,"Y",H2:H3)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0" t="s">
        <v>20</v>
      </c>
      <c r="B1" s="70"/>
      <c r="C1" s="2"/>
    </row>
    <row r="2" spans="1:6" ht="14.25" customHeight="1">
      <c r="A2" s="70" t="s">
        <v>21</v>
      </c>
      <c r="B2" s="70"/>
      <c r="C2" s="2"/>
    </row>
    <row r="5" spans="1:6" ht="27">
      <c r="A5" s="3" t="s">
        <v>12</v>
      </c>
      <c r="B5" s="4" t="s">
        <v>22</v>
      </c>
      <c r="C5" s="4" t="s">
        <v>23</v>
      </c>
      <c r="D5" s="5" t="s">
        <v>24</v>
      </c>
      <c r="E5" s="1" t="s">
        <v>25</v>
      </c>
      <c r="F5" s="1" t="s">
        <v>26</v>
      </c>
    </row>
    <row r="6" spans="1:6" ht="40.5">
      <c r="A6" s="6">
        <v>1</v>
      </c>
      <c r="B6" s="7" t="s">
        <v>27</v>
      </c>
      <c r="C6" s="8" t="s">
        <v>28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29</v>
      </c>
      <c r="C7" s="8" t="s">
        <v>30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31</v>
      </c>
      <c r="C8" s="8" t="s">
        <v>32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33</v>
      </c>
      <c r="C9" s="12" t="s">
        <v>34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35</v>
      </c>
      <c r="C10" s="8" t="s">
        <v>36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37</v>
      </c>
      <c r="C11" s="14" t="s">
        <v>38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39</v>
      </c>
      <c r="C12" s="15" t="s">
        <v>40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2018-07-05T06:12:00Z</cp:lastPrinted>
  <dcterms:created xsi:type="dcterms:W3CDTF">2015-09-25T09:25:00Z</dcterms:created>
  <dcterms:modified xsi:type="dcterms:W3CDTF">2020-10-13T07:00:46Z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