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5" i="1"/>
  <c r="D25"/>
  <c r="F25" s="1"/>
  <c r="B27"/>
  <c r="D27" s="1"/>
  <c r="F27" s="1"/>
  <c r="D28"/>
  <c r="F28" s="1"/>
  <c r="D26"/>
  <c r="F26" s="1"/>
  <c r="C22"/>
  <c r="B22"/>
  <c r="D23"/>
  <c r="F23" s="1"/>
  <c r="D22"/>
  <c r="F22" s="1"/>
  <c r="D21"/>
  <c r="F21" s="1"/>
  <c r="D20"/>
  <c r="F20" s="1"/>
  <c r="C16"/>
  <c r="D16" s="1"/>
  <c r="F16" s="1"/>
  <c r="C17"/>
  <c r="B17"/>
  <c r="B15"/>
  <c r="D18"/>
  <c r="F18" s="1"/>
  <c r="D17"/>
  <c r="F17" s="1"/>
  <c r="D15"/>
  <c r="F15" s="1"/>
  <c r="B12"/>
  <c r="C12"/>
  <c r="C11"/>
  <c r="B11"/>
  <c r="C8"/>
  <c r="B8"/>
  <c r="I7" i="2" l="1"/>
  <c r="F31" i="1" s="1"/>
  <c r="D11" l="1"/>
  <c r="F11" s="1"/>
  <c r="D7"/>
  <c r="F7" s="1"/>
  <c r="D6"/>
  <c r="F6" s="1"/>
  <c r="D13" l="1"/>
  <c r="F13" s="1"/>
  <c r="D12"/>
  <c r="F12" s="1"/>
  <c r="F29" s="1"/>
  <c r="D3" l="1"/>
  <c r="D4"/>
  <c r="D8"/>
  <c r="D9"/>
  <c r="D5"/>
  <c r="F9" l="1"/>
  <c r="F5"/>
  <c r="F8"/>
  <c r="F36"/>
  <c r="F3" l="1"/>
  <c r="F4"/>
  <c r="F6" i="5"/>
  <c r="F7"/>
  <c r="F8"/>
  <c r="F9"/>
  <c r="F10"/>
  <c r="F11"/>
  <c r="F12"/>
  <c r="E13"/>
  <c r="F30" i="1" l="1"/>
  <c r="F33" s="1"/>
  <c r="F37" s="1"/>
  <c r="F13" i="5"/>
</calcChain>
</file>

<file path=xl/sharedStrings.xml><?xml version="1.0" encoding="utf-8"?>
<sst xmlns="http://schemas.openxmlformats.org/spreadsheetml/2006/main" count="138" uniqueCount="83">
  <si>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</si>
  <si>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</si>
  <si>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</si>
  <si>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</si>
  <si>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</si>
  <si>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</si>
  <si>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</si>
  <si>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</si>
  <si>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</si>
  <si>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</si>
  <si>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</si>
  <si>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</si>
  <si>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</si>
  <si>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</si>
  <si>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</si>
  <si>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</si>
  <si>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</si>
  <si>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</si>
  <si>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</si>
  <si>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</si>
  <si>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</si>
  <si>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</si>
  <si>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</si>
  <si>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</si>
  <si>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</si>
  <si>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</si>
  <si>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</si>
  <si>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</si>
  <si>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</si>
  <si>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</si>
  <si>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</si>
  <si>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</si>
  <si>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</si>
  <si>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</si>
  <si>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</si>
  <si>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</si>
  <si>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</si>
  <si>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</si>
  <si>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</si>
  <si>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</si>
  <si>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</si>
  <si>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</si>
  <si>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</si>
  <si>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</si>
  <si>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Assessment Year</t>
  </si>
  <si>
    <t>2019-20</t>
  </si>
  <si>
    <t xml:space="preserve">Max FOIR)                </t>
  </si>
  <si>
    <t xml:space="preserve">Payment Made U/s 40A(2)b </t>
  </si>
  <si>
    <t>2020-21</t>
  </si>
  <si>
    <t>Type</t>
  </si>
  <si>
    <t>N S Packers</t>
  </si>
  <si>
    <t>(Not in deal)</t>
  </si>
  <si>
    <t>Interest on loan</t>
  </si>
  <si>
    <t>Interest to partners</t>
  </si>
  <si>
    <t>Salary to partners</t>
  </si>
  <si>
    <t>Share in partnership firm (NS packers)</t>
  </si>
  <si>
    <t>Harcharan Singh</t>
  </si>
  <si>
    <t>Jasbir Singh</t>
  </si>
  <si>
    <t>Share in partnership firm (AS Fabrics)</t>
  </si>
  <si>
    <t>Amarjeet Kaur</t>
  </si>
  <si>
    <t>Manpreet Kaur</t>
  </si>
  <si>
    <t>Income from salary</t>
  </si>
  <si>
    <t>y</t>
  </si>
  <si>
    <t>HDFC Limited</t>
  </si>
  <si>
    <t>Equity Loan</t>
  </si>
  <si>
    <t>Loan Start Date</t>
  </si>
  <si>
    <t>Insurance</t>
  </si>
  <si>
    <t>Canara Bank</t>
  </si>
  <si>
    <t>Home Loan</t>
  </si>
  <si>
    <t>Repayment Account No</t>
  </si>
  <si>
    <t>Sale as on 31/03/19</t>
  </si>
  <si>
    <t>Sale as on 31/03/20</t>
  </si>
  <si>
    <t>Till March</t>
  </si>
  <si>
    <t>Main Firm</t>
  </si>
  <si>
    <t>Partner</t>
  </si>
  <si>
    <t>Property Details</t>
  </si>
  <si>
    <t>HB No 164 Abadi Manna Singh Colony</t>
  </si>
  <si>
    <t xml:space="preserve">Type </t>
  </si>
  <si>
    <t>Residential</t>
  </si>
  <si>
    <t xml:space="preserve">Area </t>
  </si>
  <si>
    <t>Owner</t>
  </si>
  <si>
    <t>153 s.yds</t>
  </si>
  <si>
    <t>Manpreet &amp; Amanpreet Kaur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</si>
</sst>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[$-409]d\-mmm\-yy;@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4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4" borderId="2" xfId="1" applyNumberFormat="1" applyFont="1" applyFill="1" applyBorder="1" applyAlignment="1" applyProtection="1">
      <alignment horizontal="left"/>
    </xf>
    <xf numFmtId="9" fontId="10" fillId="4" borderId="2" xfId="1" applyNumberFormat="1" applyFont="1" applyFill="1" applyBorder="1" applyAlignment="1" applyProtection="1">
      <alignment horizontal="left"/>
    </xf>
    <xf numFmtId="165" fontId="10" fillId="8" borderId="2" xfId="1" applyNumberFormat="1" applyFont="1" applyFill="1" applyBorder="1" applyAlignment="1" applyProtection="1">
      <alignment horizontal="left"/>
    </xf>
    <xf numFmtId="9" fontId="10" fillId="8" borderId="2" xfId="1" applyNumberFormat="1" applyFont="1" applyFill="1" applyBorder="1" applyAlignment="1" applyProtection="1">
      <alignment horizontal="left"/>
    </xf>
    <xf numFmtId="164" fontId="10" fillId="4" borderId="2" xfId="1" applyFont="1" applyFill="1" applyBorder="1" applyAlignment="1" applyProtection="1">
      <alignment horizontal="left"/>
    </xf>
    <xf numFmtId="0" fontId="10" fillId="4" borderId="2" xfId="0" applyNumberFormat="1" applyFont="1" applyFill="1" applyBorder="1" applyAlignment="1">
      <alignment horizontal="left"/>
    </xf>
    <xf numFmtId="167" fontId="10" fillId="4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4" borderId="2" xfId="4" applyNumberFormat="1" applyFont="1" applyFill="1" applyBorder="1" applyAlignment="1" applyProtection="1">
      <alignment horizontal="left"/>
    </xf>
    <xf numFmtId="164" fontId="10" fillId="4" borderId="2" xfId="4" applyNumberFormat="1" applyFont="1" applyFill="1" applyBorder="1" applyAlignment="1" applyProtection="1">
      <alignment horizontal="left"/>
    </xf>
    <xf numFmtId="165" fontId="10" fillId="9" borderId="2" xfId="1" applyNumberFormat="1" applyFont="1" applyFill="1" applyBorder="1" applyAlignment="1" applyProtection="1">
      <alignment horizontal="left"/>
    </xf>
    <xf numFmtId="9" fontId="10" fillId="9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8" fillId="7" borderId="2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3" xfId="0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2" fontId="8" fillId="0" borderId="3" xfId="0" applyNumberFormat="1" applyFont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2" fontId="8" fillId="0" borderId="2" xfId="0" applyNumberFormat="1" applyFont="1" applyFill="1" applyBorder="1" applyAlignment="1">
      <alignment horizontal="left"/>
    </xf>
    <xf numFmtId="1" fontId="8" fillId="7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3" xfId="0" applyNumberFormat="1" applyFont="1" applyFill="1" applyBorder="1" applyAlignment="1">
      <alignment horizontal="left"/>
    </xf>
    <xf numFmtId="2" fontId="8" fillId="7" borderId="2" xfId="0" applyNumberFormat="1" applyFont="1" applyFill="1" applyBorder="1" applyAlignment="1">
      <alignment horizontal="left"/>
    </xf>
    <xf numFmtId="166" fontId="11" fillId="9" borderId="2" xfId="1" applyNumberFormat="1" applyFont="1" applyFill="1" applyBorder="1" applyAlignment="1" applyProtection="1">
      <alignment horizontal="left"/>
    </xf>
    <xf numFmtId="166" fontId="10" fillId="9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6" fontId="12" fillId="9" borderId="2" xfId="1" applyNumberFormat="1" applyFont="1" applyFill="1" applyBorder="1" applyAlignment="1" applyProtection="1">
      <alignment horizontal="left"/>
    </xf>
    <xf numFmtId="166" fontId="12" fillId="7" borderId="2" xfId="1" applyNumberFormat="1" applyFont="1" applyFill="1" applyBorder="1" applyAlignment="1" applyProtection="1">
      <alignment horizontal="left"/>
    </xf>
    <xf numFmtId="169" fontId="8" fillId="0" borderId="3" xfId="0" applyNumberFormat="1" applyFont="1" applyBorder="1" applyAlignment="1">
      <alignment horizontal="left"/>
    </xf>
    <xf numFmtId="169" fontId="8" fillId="7" borderId="2" xfId="0" applyNumberFormat="1" applyFont="1" applyFill="1" applyBorder="1" applyAlignment="1">
      <alignment horizontal="left"/>
    </xf>
    <xf numFmtId="169" fontId="8" fillId="0" borderId="2" xfId="0" applyNumberFormat="1" applyFont="1" applyBorder="1" applyAlignment="1">
      <alignment horizontal="left"/>
    </xf>
    <xf numFmtId="0" fontId="13" fillId="10" borderId="2" xfId="0" applyFont="1" applyFill="1" applyBorder="1" applyAlignment="1">
      <alignment horizontal="left"/>
    </xf>
    <xf numFmtId="0" fontId="13" fillId="11" borderId="2" xfId="0" applyFont="1" applyFill="1" applyBorder="1" applyAlignment="1">
      <alignment horizontal="left"/>
    </xf>
    <xf numFmtId="1" fontId="9" fillId="0" borderId="2" xfId="0" applyNumberFormat="1" applyFont="1" applyBorder="1" applyAlignment="1">
      <alignment horizontal="left"/>
    </xf>
    <xf numFmtId="0" fontId="10" fillId="2" borderId="2" xfId="3" applyFont="1" applyFill="1" applyBorder="1" applyAlignment="1">
      <alignment horizontal="left"/>
    </xf>
    <xf numFmtId="1" fontId="10" fillId="2" borderId="2" xfId="3" applyNumberFormat="1" applyFont="1" applyFill="1" applyBorder="1" applyAlignment="1">
      <alignment horizontal="left"/>
    </xf>
    <xf numFmtId="9" fontId="10" fillId="2" borderId="2" xfId="3" applyNumberFormat="1" applyFont="1" applyFill="1" applyBorder="1" applyAlignment="1">
      <alignment horizontal="left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37"/>
  <sheetViews>
    <sheetView topLeftCell="A4" zoomScale="136" zoomScaleNormal="136" workbookViewId="0">
      <selection activeCell="J4" sqref="J4"/>
    </sheetView>
  </sheetViews>
  <sheetFormatPr defaultColWidth="31.28515625" defaultRowHeight="12"/>
  <cols>
    <col min="1" max="1" width="26.5703125" style="24" customWidth="1"/>
    <col min="2" max="2" width="7.85546875" style="24" customWidth="1"/>
    <col min="3" max="3" width="8" style="24" customWidth="1"/>
    <col min="4" max="4" width="7.5703125" style="24" customWidth="1"/>
    <col min="5" max="5" width="8.42578125" style="24" bestFit="1" customWidth="1"/>
    <col min="6" max="6" width="15.7109375" style="24" customWidth="1"/>
    <col min="7" max="7" width="12.7109375" style="24" customWidth="1"/>
    <col min="8" max="8" width="4.85546875" style="24" customWidth="1"/>
    <col min="9" max="9" width="16.140625" style="24" bestFit="1" customWidth="1"/>
    <col min="10" max="10" width="26.5703125" style="24" customWidth="1"/>
    <col min="11" max="11" width="4" style="24" bestFit="1" customWidth="1"/>
    <col min="12" max="12" width="14.140625" style="24" customWidth="1"/>
    <col min="13" max="13" width="11.85546875" style="24" customWidth="1"/>
    <col min="14" max="14" width="12" style="24" customWidth="1"/>
    <col min="15" max="15" width="11" style="24" customWidth="1"/>
    <col min="16" max="16" width="11.5703125" style="24" customWidth="1"/>
    <col min="17" max="17" width="12" style="24" customWidth="1"/>
    <col min="18" max="235" width="31.28515625" style="24"/>
    <col min="236" max="243" width="31.28515625" style="25"/>
    <col min="244" max="245" width="31.28515625" style="26"/>
    <col min="246" max="16384" width="31.28515625" style="22"/>
  </cols>
  <sheetData>
    <row r="1" spans="1:245" ht="12.75" customHeight="1">
      <c r="A1" s="60" t="s">
        <v>50</v>
      </c>
      <c r="B1" s="61" t="s">
        <v>44</v>
      </c>
      <c r="C1" s="61"/>
      <c r="D1" s="41"/>
      <c r="E1" s="41"/>
      <c r="F1" s="4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1"/>
      <c r="IC1" s="21"/>
      <c r="ID1" s="21"/>
      <c r="IE1" s="21"/>
      <c r="IF1" s="21"/>
      <c r="IG1" s="21"/>
      <c r="IH1" s="21"/>
      <c r="II1" s="21"/>
      <c r="IJ1" s="22"/>
      <c r="IK1" s="22"/>
    </row>
    <row r="2" spans="1:245">
      <c r="A2" s="28" t="s">
        <v>50</v>
      </c>
      <c r="B2" s="28" t="s">
        <v>48</v>
      </c>
      <c r="C2" s="28" t="s">
        <v>45</v>
      </c>
      <c r="D2" s="28" t="s">
        <v>29</v>
      </c>
      <c r="E2" s="29" t="s">
        <v>0</v>
      </c>
      <c r="F2" s="28" t="s">
        <v>30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1"/>
      <c r="IC2" s="21"/>
      <c r="ID2" s="21"/>
      <c r="IE2" s="21"/>
      <c r="IF2" s="21"/>
      <c r="IG2" s="21"/>
      <c r="IH2" s="21"/>
      <c r="II2" s="21"/>
      <c r="IJ2" s="22"/>
      <c r="IK2" s="22"/>
    </row>
    <row r="3" spans="1:245">
      <c r="A3" s="39" t="s">
        <v>40</v>
      </c>
      <c r="B3" s="58">
        <v>56835.38</v>
      </c>
      <c r="C3" s="57">
        <v>79945</v>
      </c>
      <c r="D3" s="39">
        <f t="shared" ref="D3:D9" si="0">AVERAGE(B3:C3)</f>
        <v>68390.19</v>
      </c>
      <c r="E3" s="40">
        <v>1</v>
      </c>
      <c r="F3" s="23">
        <f t="shared" ref="F3:F8" si="1">E3*D3</f>
        <v>68390.19</v>
      </c>
      <c r="G3" s="20"/>
      <c r="H3" s="20"/>
      <c r="I3" s="71" t="s">
        <v>70</v>
      </c>
      <c r="J3" s="71">
        <v>16944072.800000001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1"/>
      <c r="IC3" s="21"/>
      <c r="ID3" s="21"/>
      <c r="IE3" s="21"/>
      <c r="IF3" s="21"/>
      <c r="IG3" s="21"/>
      <c r="IH3" s="21"/>
      <c r="II3" s="21"/>
      <c r="IJ3" s="22"/>
      <c r="IK3" s="22"/>
    </row>
    <row r="4" spans="1:245">
      <c r="A4" s="39" t="s">
        <v>41</v>
      </c>
      <c r="B4" s="58">
        <v>51680</v>
      </c>
      <c r="C4" s="57">
        <v>44245</v>
      </c>
      <c r="D4" s="39">
        <f t="shared" si="0"/>
        <v>47962.5</v>
      </c>
      <c r="E4" s="40">
        <v>1</v>
      </c>
      <c r="F4" s="23">
        <f t="shared" si="1"/>
        <v>47962.5</v>
      </c>
      <c r="G4" s="20"/>
      <c r="H4" s="20"/>
      <c r="I4" s="71" t="s">
        <v>71</v>
      </c>
      <c r="J4" s="72">
        <v>12042271.130000001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1"/>
      <c r="HZ4" s="21"/>
      <c r="IA4" s="21"/>
      <c r="IB4" s="21"/>
      <c r="IC4" s="21"/>
      <c r="ID4" s="21"/>
      <c r="IE4" s="21"/>
      <c r="IF4" s="21"/>
      <c r="IG4" s="22"/>
      <c r="IH4" s="22"/>
      <c r="II4" s="22"/>
      <c r="IJ4" s="22"/>
      <c r="IK4" s="22"/>
    </row>
    <row r="5" spans="1:245">
      <c r="A5" s="39" t="s">
        <v>52</v>
      </c>
      <c r="B5" s="58">
        <v>162352</v>
      </c>
      <c r="C5" s="57">
        <v>318704</v>
      </c>
      <c r="D5" s="39">
        <f t="shared" si="0"/>
        <v>240528</v>
      </c>
      <c r="E5" s="40">
        <v>0</v>
      </c>
      <c r="F5" s="23">
        <f t="shared" ref="F5" si="2">E5*D5</f>
        <v>0</v>
      </c>
      <c r="G5" s="20"/>
      <c r="H5" s="20"/>
      <c r="I5" s="71" t="s">
        <v>72</v>
      </c>
      <c r="J5" s="72">
        <f>0+0+179066.93+454181.33+360376.06+837996.05+1155609.21+1489958+1616557+1425655+1364706+2219412</f>
        <v>11103517.58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1"/>
      <c r="HZ5" s="21"/>
      <c r="IA5" s="21"/>
      <c r="IB5" s="21"/>
      <c r="IC5" s="21"/>
      <c r="ID5" s="21"/>
      <c r="IE5" s="21"/>
      <c r="IF5" s="21"/>
      <c r="IG5" s="22"/>
      <c r="IH5" s="22"/>
      <c r="II5" s="22"/>
      <c r="IJ5" s="22"/>
      <c r="IK5" s="22"/>
    </row>
    <row r="6" spans="1:245">
      <c r="A6" s="39" t="s">
        <v>53</v>
      </c>
      <c r="B6" s="58">
        <v>515332</v>
      </c>
      <c r="C6" s="57">
        <v>357650</v>
      </c>
      <c r="D6" s="39">
        <f>AVERAGE(B6:C6)</f>
        <v>436491</v>
      </c>
      <c r="E6" s="40">
        <v>1</v>
      </c>
      <c r="F6" s="23">
        <f t="shared" ref="F6" si="3">E6*D6</f>
        <v>436491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1"/>
      <c r="HZ6" s="21"/>
      <c r="IA6" s="21"/>
      <c r="IB6" s="21"/>
      <c r="IC6" s="21"/>
      <c r="ID6" s="21"/>
      <c r="IE6" s="21"/>
      <c r="IF6" s="21"/>
      <c r="IG6" s="22"/>
      <c r="IH6" s="22"/>
      <c r="II6" s="22"/>
      <c r="IJ6" s="22"/>
      <c r="IK6" s="22"/>
    </row>
    <row r="7" spans="1:245">
      <c r="A7" s="39" t="s">
        <v>54</v>
      </c>
      <c r="B7" s="58">
        <v>360000</v>
      </c>
      <c r="C7" s="57">
        <v>0</v>
      </c>
      <c r="D7" s="39">
        <f t="shared" ref="D7" si="4">AVERAGE(B7:C7)</f>
        <v>180000</v>
      </c>
      <c r="E7" s="40">
        <v>1</v>
      </c>
      <c r="F7" s="23">
        <f t="shared" ref="F7" si="5">E7*D7</f>
        <v>180000</v>
      </c>
      <c r="G7" s="20"/>
      <c r="H7" s="20"/>
      <c r="I7" s="71" t="s">
        <v>50</v>
      </c>
      <c r="J7" s="71" t="s">
        <v>73</v>
      </c>
      <c r="K7" s="7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1"/>
      <c r="HU7" s="21"/>
      <c r="HV7" s="21"/>
      <c r="HW7" s="21"/>
      <c r="HX7" s="21"/>
      <c r="HY7" s="21"/>
      <c r="HZ7" s="21"/>
      <c r="IA7" s="21"/>
      <c r="IB7" s="22"/>
      <c r="IC7" s="22"/>
      <c r="ID7" s="22"/>
      <c r="IE7" s="22"/>
      <c r="IF7" s="22"/>
      <c r="IG7" s="22"/>
      <c r="IH7" s="22"/>
      <c r="II7" s="22"/>
      <c r="IJ7" s="22"/>
      <c r="IK7" s="22"/>
    </row>
    <row r="8" spans="1:245">
      <c r="A8" s="39" t="s">
        <v>47</v>
      </c>
      <c r="B8" s="58">
        <f>5548+7176+149636</f>
        <v>162360</v>
      </c>
      <c r="C8" s="57">
        <f>54698+68637+6676+8626+180067</f>
        <v>318704</v>
      </c>
      <c r="D8" s="39">
        <f t="shared" si="0"/>
        <v>240532</v>
      </c>
      <c r="E8" s="40">
        <v>0</v>
      </c>
      <c r="F8" s="23">
        <f t="shared" si="1"/>
        <v>0</v>
      </c>
      <c r="G8" s="20" t="s">
        <v>51</v>
      </c>
      <c r="H8" s="20"/>
      <c r="I8" s="71" t="s">
        <v>56</v>
      </c>
      <c r="J8" s="71" t="s">
        <v>74</v>
      </c>
      <c r="K8" s="73">
        <v>0.25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1"/>
      <c r="HU8" s="21"/>
      <c r="HV8" s="21"/>
      <c r="HW8" s="21"/>
      <c r="HX8" s="21"/>
      <c r="HY8" s="21"/>
      <c r="HZ8" s="21"/>
      <c r="IA8" s="21"/>
      <c r="IB8" s="22"/>
      <c r="IC8" s="22"/>
      <c r="ID8" s="22"/>
      <c r="IE8" s="22"/>
      <c r="IF8" s="22"/>
      <c r="IG8" s="22"/>
      <c r="IH8" s="22"/>
      <c r="II8" s="22"/>
      <c r="IJ8" s="22"/>
      <c r="IK8" s="22"/>
    </row>
    <row r="9" spans="1:245">
      <c r="A9" s="39" t="s">
        <v>31</v>
      </c>
      <c r="B9" s="58">
        <v>-25248</v>
      </c>
      <c r="C9" s="57">
        <v>-24944</v>
      </c>
      <c r="D9" s="39">
        <f t="shared" si="0"/>
        <v>-25096</v>
      </c>
      <c r="E9" s="40">
        <v>1</v>
      </c>
      <c r="F9" s="23">
        <f>E9*D9</f>
        <v>-25096</v>
      </c>
      <c r="G9" s="20"/>
      <c r="H9" s="20"/>
      <c r="I9" s="71" t="s">
        <v>57</v>
      </c>
      <c r="J9" s="71" t="s">
        <v>74</v>
      </c>
      <c r="K9" s="73">
        <v>0.25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1"/>
      <c r="HU9" s="21"/>
      <c r="HV9" s="21"/>
      <c r="HW9" s="21"/>
      <c r="HX9" s="21"/>
      <c r="HY9" s="21"/>
      <c r="HZ9" s="21"/>
      <c r="IA9" s="21"/>
      <c r="IB9" s="22"/>
      <c r="IC9" s="22"/>
      <c r="ID9" s="22"/>
      <c r="IE9" s="22"/>
      <c r="IF9" s="22"/>
      <c r="IG9" s="22"/>
      <c r="IH9" s="22"/>
      <c r="II9" s="22"/>
      <c r="IJ9" s="22"/>
      <c r="IK9" s="22"/>
    </row>
    <row r="10" spans="1:245">
      <c r="A10" s="30" t="s">
        <v>56</v>
      </c>
      <c r="B10" s="30" t="s">
        <v>48</v>
      </c>
      <c r="C10" s="30" t="s">
        <v>45</v>
      </c>
      <c r="D10" s="30" t="s">
        <v>29</v>
      </c>
      <c r="E10" s="31" t="s">
        <v>0</v>
      </c>
      <c r="F10" s="30" t="s">
        <v>30</v>
      </c>
      <c r="G10" s="20"/>
      <c r="H10" s="20"/>
      <c r="I10" s="71" t="s">
        <v>59</v>
      </c>
      <c r="J10" s="71" t="s">
        <v>74</v>
      </c>
      <c r="K10" s="73">
        <v>0.25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1"/>
      <c r="HU10" s="21"/>
      <c r="HV10" s="21"/>
      <c r="HW10" s="21"/>
      <c r="HX10" s="21"/>
      <c r="HY10" s="21"/>
      <c r="HZ10" s="21"/>
      <c r="IA10" s="21"/>
      <c r="IB10" s="22"/>
      <c r="IC10" s="22"/>
      <c r="ID10" s="22"/>
      <c r="IE10" s="22"/>
      <c r="IF10" s="22"/>
      <c r="IG10" s="22"/>
      <c r="IH10" s="22"/>
      <c r="II10" s="22"/>
      <c r="IJ10" s="22"/>
      <c r="IK10" s="22"/>
    </row>
    <row r="11" spans="1:245">
      <c r="A11" s="39" t="s">
        <v>55</v>
      </c>
      <c r="B11" s="58">
        <f>180000+352804</f>
        <v>532804</v>
      </c>
      <c r="C11" s="59">
        <f>265000+336378</f>
        <v>601378</v>
      </c>
      <c r="D11" s="39">
        <f t="shared" ref="D11" si="6">AVERAGE(B11:C11)</f>
        <v>567091</v>
      </c>
      <c r="E11" s="40">
        <v>0</v>
      </c>
      <c r="F11" s="23">
        <f t="shared" ref="F11" si="7">E11*D11</f>
        <v>0</v>
      </c>
      <c r="G11" s="20"/>
      <c r="H11" s="20"/>
      <c r="I11" s="71" t="s">
        <v>60</v>
      </c>
      <c r="J11" s="71" t="s">
        <v>74</v>
      </c>
      <c r="K11" s="73">
        <v>0.25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1"/>
      <c r="HX11" s="21"/>
      <c r="HY11" s="21"/>
      <c r="HZ11" s="21"/>
      <c r="IA11" s="21"/>
      <c r="IB11" s="21"/>
      <c r="IC11" s="21"/>
      <c r="ID11" s="21"/>
      <c r="IE11" s="22"/>
      <c r="IF11" s="22"/>
      <c r="IG11" s="22"/>
      <c r="IH11" s="22"/>
      <c r="II11" s="22"/>
      <c r="IJ11" s="22"/>
      <c r="IK11" s="22"/>
    </row>
    <row r="12" spans="1:245">
      <c r="A12" s="39" t="s">
        <v>43</v>
      </c>
      <c r="B12" s="63">
        <f>904+236+669+126+100000+120000+62666+100000+1100</f>
        <v>385701</v>
      </c>
      <c r="C12" s="64">
        <f>1186+158000+45000+2100</f>
        <v>206286</v>
      </c>
      <c r="D12" s="39">
        <f t="shared" ref="D12:D13" si="8">AVERAGE(B12:C12)</f>
        <v>295993.5</v>
      </c>
      <c r="E12" s="40">
        <v>0.5</v>
      </c>
      <c r="F12" s="23">
        <f t="shared" ref="F12:F13" si="9">E12*D12</f>
        <v>147996.75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1"/>
      <c r="HX12" s="21"/>
      <c r="HY12" s="21"/>
      <c r="HZ12" s="21"/>
      <c r="IA12" s="21"/>
      <c r="IB12" s="21"/>
      <c r="IC12" s="21"/>
      <c r="ID12" s="21"/>
      <c r="IE12" s="22"/>
      <c r="IF12" s="22"/>
      <c r="IG12" s="22"/>
      <c r="IH12" s="22"/>
      <c r="II12" s="22"/>
      <c r="IJ12" s="22"/>
      <c r="IK12" s="22"/>
    </row>
    <row r="13" spans="1:245">
      <c r="A13" s="39" t="s">
        <v>31</v>
      </c>
      <c r="B13" s="58">
        <v>-22778</v>
      </c>
      <c r="C13" s="58">
        <v>-13865</v>
      </c>
      <c r="D13" s="39">
        <f t="shared" si="8"/>
        <v>-18321.5</v>
      </c>
      <c r="E13" s="40">
        <v>1</v>
      </c>
      <c r="F13" s="23">
        <f t="shared" si="9"/>
        <v>-18321.5</v>
      </c>
      <c r="G13" s="20"/>
      <c r="H13" s="20"/>
      <c r="I13" s="71" t="s">
        <v>75</v>
      </c>
      <c r="J13" s="71" t="s">
        <v>76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1"/>
      <c r="HX13" s="21"/>
      <c r="HY13" s="21"/>
      <c r="HZ13" s="21"/>
      <c r="IA13" s="21"/>
      <c r="IB13" s="21"/>
      <c r="IC13" s="21"/>
      <c r="ID13" s="21"/>
      <c r="IE13" s="22"/>
      <c r="IF13" s="22"/>
      <c r="IG13" s="22"/>
      <c r="IH13" s="22"/>
      <c r="II13" s="22"/>
      <c r="IJ13" s="22"/>
      <c r="IK13" s="22"/>
    </row>
    <row r="14" spans="1:245">
      <c r="A14" s="30" t="s">
        <v>57</v>
      </c>
      <c r="B14" s="30" t="s">
        <v>48</v>
      </c>
      <c r="C14" s="30" t="s">
        <v>45</v>
      </c>
      <c r="D14" s="30" t="s">
        <v>29</v>
      </c>
      <c r="E14" s="31" t="s">
        <v>0</v>
      </c>
      <c r="F14" s="30" t="s">
        <v>30</v>
      </c>
      <c r="G14" s="20"/>
      <c r="H14" s="20"/>
      <c r="I14" s="71" t="s">
        <v>77</v>
      </c>
      <c r="J14" s="71" t="s">
        <v>78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1"/>
      <c r="HU14" s="21"/>
      <c r="HV14" s="21"/>
      <c r="HW14" s="21"/>
      <c r="HX14" s="21"/>
      <c r="HY14" s="21"/>
      <c r="HZ14" s="21"/>
      <c r="IA14" s="21"/>
      <c r="IB14" s="22"/>
      <c r="IC14" s="22"/>
      <c r="ID14" s="22"/>
      <c r="IE14" s="22"/>
      <c r="IF14" s="22"/>
      <c r="IG14" s="22"/>
      <c r="IH14" s="22"/>
      <c r="II14" s="22"/>
      <c r="IJ14" s="22"/>
      <c r="IK14" s="22"/>
    </row>
    <row r="15" spans="1:245">
      <c r="A15" s="39" t="s">
        <v>55</v>
      </c>
      <c r="B15" s="58">
        <f>180000+59301</f>
        <v>239301</v>
      </c>
      <c r="C15" s="59">
        <v>0</v>
      </c>
      <c r="D15" s="39">
        <f t="shared" ref="D15:D18" si="10">AVERAGE(B15:C15)</f>
        <v>119650.5</v>
      </c>
      <c r="E15" s="40">
        <v>0</v>
      </c>
      <c r="F15" s="23">
        <f t="shared" ref="F15:F18" si="11">E15*D15</f>
        <v>0</v>
      </c>
      <c r="G15" s="20"/>
      <c r="H15" s="20"/>
      <c r="I15" s="71" t="s">
        <v>79</v>
      </c>
      <c r="J15" s="71" t="s">
        <v>81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1"/>
      <c r="HX15" s="21"/>
      <c r="HY15" s="21"/>
      <c r="HZ15" s="21"/>
      <c r="IA15" s="21"/>
      <c r="IB15" s="21"/>
      <c r="IC15" s="21"/>
      <c r="ID15" s="21"/>
      <c r="IE15" s="22"/>
      <c r="IF15" s="22"/>
      <c r="IG15" s="22"/>
      <c r="IH15" s="22"/>
      <c r="II15" s="22"/>
      <c r="IJ15" s="22"/>
      <c r="IK15" s="22"/>
    </row>
    <row r="16" spans="1:245">
      <c r="A16" s="39" t="s">
        <v>58</v>
      </c>
      <c r="B16" s="58">
        <v>0</v>
      </c>
      <c r="C16" s="59">
        <f>180000+58478</f>
        <v>238478</v>
      </c>
      <c r="D16" s="39">
        <f t="shared" ref="D16" si="12">AVERAGE(B16:C16)</f>
        <v>119239</v>
      </c>
      <c r="E16" s="40">
        <v>0.25</v>
      </c>
      <c r="F16" s="23">
        <f t="shared" ref="F16" si="13">E16*D16</f>
        <v>29809.75</v>
      </c>
      <c r="G16" s="20"/>
      <c r="H16" s="20"/>
      <c r="I16" s="71" t="s">
        <v>80</v>
      </c>
      <c r="J16" s="71" t="s">
        <v>82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1"/>
      <c r="HX16" s="21"/>
      <c r="HY16" s="21"/>
      <c r="HZ16" s="21"/>
      <c r="IA16" s="21"/>
      <c r="IB16" s="21"/>
      <c r="IC16" s="21"/>
      <c r="ID16" s="21"/>
      <c r="IE16" s="22"/>
      <c r="IF16" s="22"/>
      <c r="IG16" s="22"/>
      <c r="IH16" s="22"/>
      <c r="II16" s="22"/>
      <c r="IJ16" s="22"/>
      <c r="IK16" s="22"/>
    </row>
    <row r="17" spans="1:245">
      <c r="A17" s="39" t="s">
        <v>43</v>
      </c>
      <c r="B17" s="63">
        <f>9850+312+190500+70000</f>
        <v>270662</v>
      </c>
      <c r="C17" s="64">
        <f>68637+265000</f>
        <v>333637</v>
      </c>
      <c r="D17" s="39">
        <f t="shared" si="10"/>
        <v>302149.5</v>
      </c>
      <c r="E17" s="40">
        <v>0.5</v>
      </c>
      <c r="F17" s="23">
        <f t="shared" si="11"/>
        <v>151074.75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1"/>
      <c r="HX17" s="21"/>
      <c r="HY17" s="21"/>
      <c r="HZ17" s="21"/>
      <c r="IA17" s="21"/>
      <c r="IB17" s="21"/>
      <c r="IC17" s="21"/>
      <c r="ID17" s="21"/>
      <c r="IE17" s="22"/>
      <c r="IF17" s="22"/>
      <c r="IG17" s="22"/>
      <c r="IH17" s="22"/>
      <c r="II17" s="22"/>
      <c r="IJ17" s="22"/>
      <c r="IK17" s="22"/>
    </row>
    <row r="18" spans="1:245">
      <c r="A18" s="39" t="s">
        <v>31</v>
      </c>
      <c r="B18" s="58">
        <v>0</v>
      </c>
      <c r="C18" s="58">
        <v>0</v>
      </c>
      <c r="D18" s="39">
        <f t="shared" si="10"/>
        <v>0</v>
      </c>
      <c r="E18" s="40">
        <v>1</v>
      </c>
      <c r="F18" s="23">
        <f t="shared" si="11"/>
        <v>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1"/>
      <c r="HX18" s="21"/>
      <c r="HY18" s="21"/>
      <c r="HZ18" s="21"/>
      <c r="IA18" s="21"/>
      <c r="IB18" s="21"/>
      <c r="IC18" s="21"/>
      <c r="ID18" s="21"/>
      <c r="IE18" s="22"/>
      <c r="IF18" s="22"/>
      <c r="IG18" s="22"/>
      <c r="IH18" s="22"/>
      <c r="II18" s="22"/>
      <c r="IJ18" s="22"/>
      <c r="IK18" s="22"/>
    </row>
    <row r="19" spans="1:245">
      <c r="A19" s="30" t="s">
        <v>59</v>
      </c>
      <c r="B19" s="30" t="s">
        <v>48</v>
      </c>
      <c r="C19" s="30" t="s">
        <v>45</v>
      </c>
      <c r="D19" s="30" t="s">
        <v>29</v>
      </c>
      <c r="E19" s="31" t="s">
        <v>0</v>
      </c>
      <c r="F19" s="30" t="s">
        <v>30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1"/>
      <c r="HU19" s="21"/>
      <c r="HV19" s="21"/>
      <c r="HW19" s="21"/>
      <c r="HX19" s="21"/>
      <c r="HY19" s="21"/>
      <c r="HZ19" s="21"/>
      <c r="IA19" s="21"/>
      <c r="IB19" s="22"/>
      <c r="IC19" s="22"/>
      <c r="ID19" s="22"/>
      <c r="IE19" s="22"/>
      <c r="IF19" s="22"/>
      <c r="IG19" s="22"/>
      <c r="IH19" s="22"/>
      <c r="II19" s="22"/>
      <c r="IJ19" s="22"/>
      <c r="IK19" s="22"/>
    </row>
    <row r="20" spans="1:245">
      <c r="A20" s="39" t="s">
        <v>55</v>
      </c>
      <c r="B20" s="58">
        <v>83135</v>
      </c>
      <c r="C20" s="59">
        <v>0</v>
      </c>
      <c r="D20" s="39">
        <f t="shared" ref="D20:D23" si="14">AVERAGE(B20:C20)</f>
        <v>41567.5</v>
      </c>
      <c r="E20" s="40">
        <v>0</v>
      </c>
      <c r="F20" s="23">
        <f t="shared" ref="F20:F23" si="15">E20*D20</f>
        <v>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1"/>
      <c r="HX20" s="21"/>
      <c r="HY20" s="21"/>
      <c r="HZ20" s="21"/>
      <c r="IA20" s="21"/>
      <c r="IB20" s="21"/>
      <c r="IC20" s="21"/>
      <c r="ID20" s="21"/>
      <c r="IE20" s="22"/>
      <c r="IF20" s="22"/>
      <c r="IG20" s="22"/>
      <c r="IH20" s="22"/>
      <c r="II20" s="22"/>
      <c r="IJ20" s="22"/>
      <c r="IK20" s="22"/>
    </row>
    <row r="21" spans="1:245">
      <c r="A21" s="39" t="s">
        <v>58</v>
      </c>
      <c r="B21" s="58">
        <v>0</v>
      </c>
      <c r="C21" s="59">
        <v>3069</v>
      </c>
      <c r="D21" s="39">
        <f t="shared" si="14"/>
        <v>1534.5</v>
      </c>
      <c r="E21" s="40">
        <v>0.25</v>
      </c>
      <c r="F21" s="23">
        <f t="shared" si="15"/>
        <v>383.625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1"/>
      <c r="HX21" s="21"/>
      <c r="HY21" s="21"/>
      <c r="HZ21" s="21"/>
      <c r="IA21" s="21"/>
      <c r="IB21" s="21"/>
      <c r="IC21" s="21"/>
      <c r="ID21" s="21"/>
      <c r="IE21" s="22"/>
      <c r="IF21" s="22"/>
      <c r="IG21" s="22"/>
      <c r="IH21" s="22"/>
      <c r="II21" s="22"/>
      <c r="IJ21" s="22"/>
      <c r="IK21" s="22"/>
    </row>
    <row r="22" spans="1:245">
      <c r="A22" s="39" t="s">
        <v>43</v>
      </c>
      <c r="B22" s="63">
        <f>160+767+414+364200</f>
        <v>365541</v>
      </c>
      <c r="C22" s="64">
        <f>1801+1747+1471+410+54698</f>
        <v>60127</v>
      </c>
      <c r="D22" s="39">
        <f t="shared" si="14"/>
        <v>212834</v>
      </c>
      <c r="E22" s="40">
        <v>0.5</v>
      </c>
      <c r="F22" s="23">
        <f t="shared" si="15"/>
        <v>106417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1"/>
      <c r="HX22" s="21"/>
      <c r="HY22" s="21"/>
      <c r="HZ22" s="21"/>
      <c r="IA22" s="21"/>
      <c r="IB22" s="21"/>
      <c r="IC22" s="21"/>
      <c r="ID22" s="21"/>
      <c r="IE22" s="22"/>
      <c r="IF22" s="22"/>
      <c r="IG22" s="22"/>
      <c r="IH22" s="22"/>
      <c r="II22" s="22"/>
      <c r="IJ22" s="22"/>
      <c r="IK22" s="22"/>
    </row>
    <row r="23" spans="1:245">
      <c r="A23" s="39" t="s">
        <v>31</v>
      </c>
      <c r="B23" s="58">
        <v>0</v>
      </c>
      <c r="C23" s="58">
        <v>-8067</v>
      </c>
      <c r="D23" s="39">
        <f t="shared" si="14"/>
        <v>-4033.5</v>
      </c>
      <c r="E23" s="40">
        <v>1</v>
      </c>
      <c r="F23" s="23">
        <f t="shared" si="15"/>
        <v>-4033.5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1"/>
      <c r="HX23" s="21"/>
      <c r="HY23" s="21"/>
      <c r="HZ23" s="21"/>
      <c r="IA23" s="21"/>
      <c r="IB23" s="21"/>
      <c r="IC23" s="21"/>
      <c r="ID23" s="21"/>
      <c r="IE23" s="22"/>
      <c r="IF23" s="22"/>
      <c r="IG23" s="22"/>
      <c r="IH23" s="22"/>
      <c r="II23" s="22"/>
      <c r="IJ23" s="22"/>
      <c r="IK23" s="22"/>
    </row>
    <row r="24" spans="1:245">
      <c r="A24" s="30" t="s">
        <v>60</v>
      </c>
      <c r="B24" s="30" t="s">
        <v>48</v>
      </c>
      <c r="C24" s="30" t="s">
        <v>45</v>
      </c>
      <c r="D24" s="30" t="s">
        <v>29</v>
      </c>
      <c r="E24" s="31" t="s">
        <v>0</v>
      </c>
      <c r="F24" s="30" t="s">
        <v>30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1"/>
      <c r="HU24" s="21"/>
      <c r="HV24" s="21"/>
      <c r="HW24" s="21"/>
      <c r="HX24" s="21"/>
      <c r="HY24" s="21"/>
      <c r="HZ24" s="21"/>
      <c r="IA24" s="21"/>
      <c r="IB24" s="22"/>
      <c r="IC24" s="22"/>
      <c r="ID24" s="22"/>
      <c r="IE24" s="22"/>
      <c r="IF24" s="22"/>
      <c r="IG24" s="22"/>
      <c r="IH24" s="22"/>
      <c r="II24" s="22"/>
      <c r="IJ24" s="22"/>
      <c r="IK24" s="22"/>
    </row>
    <row r="25" spans="1:245">
      <c r="A25" s="39" t="s">
        <v>61</v>
      </c>
      <c r="B25" s="58">
        <v>180000</v>
      </c>
      <c r="C25" s="59">
        <v>120000</v>
      </c>
      <c r="D25" s="39">
        <f t="shared" ref="D25" si="16">AVERAGE(B25:C25)</f>
        <v>150000</v>
      </c>
      <c r="E25" s="40">
        <v>0</v>
      </c>
      <c r="F25" s="23">
        <f t="shared" ref="F25" si="17">E25*D25</f>
        <v>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1"/>
      <c r="HX25" s="21"/>
      <c r="HY25" s="21"/>
      <c r="HZ25" s="21"/>
      <c r="IA25" s="21"/>
      <c r="IB25" s="21"/>
      <c r="IC25" s="21"/>
      <c r="ID25" s="21"/>
      <c r="IE25" s="22"/>
      <c r="IF25" s="22"/>
      <c r="IG25" s="22"/>
      <c r="IH25" s="22"/>
      <c r="II25" s="22"/>
      <c r="IJ25" s="22"/>
      <c r="IK25" s="22"/>
    </row>
    <row r="26" spans="1:245">
      <c r="A26" s="39" t="s">
        <v>55</v>
      </c>
      <c r="B26" s="58">
        <v>20092</v>
      </c>
      <c r="C26" s="59">
        <v>21272</v>
      </c>
      <c r="D26" s="39">
        <f t="shared" ref="D26:D28" si="18">AVERAGE(B26:C26)</f>
        <v>20682</v>
      </c>
      <c r="E26" s="40">
        <v>0</v>
      </c>
      <c r="F26" s="23">
        <f t="shared" ref="F26:F28" si="19">E26*D26</f>
        <v>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1"/>
      <c r="HX26" s="21"/>
      <c r="HY26" s="21"/>
      <c r="HZ26" s="21"/>
      <c r="IA26" s="21"/>
      <c r="IB26" s="21"/>
      <c r="IC26" s="21"/>
      <c r="ID26" s="21"/>
      <c r="IE26" s="22"/>
      <c r="IF26" s="22"/>
      <c r="IG26" s="22"/>
      <c r="IH26" s="22"/>
      <c r="II26" s="22"/>
      <c r="IJ26" s="22"/>
      <c r="IK26" s="22"/>
    </row>
    <row r="27" spans="1:245">
      <c r="A27" s="39" t="s">
        <v>43</v>
      </c>
      <c r="B27" s="63">
        <f>12150+248500+100000</f>
        <v>360650</v>
      </c>
      <c r="C27" s="64">
        <v>254500</v>
      </c>
      <c r="D27" s="39">
        <f t="shared" si="18"/>
        <v>307575</v>
      </c>
      <c r="E27" s="40">
        <v>0.5</v>
      </c>
      <c r="F27" s="23">
        <f t="shared" si="19"/>
        <v>153787.5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1"/>
      <c r="HX27" s="21"/>
      <c r="HY27" s="21"/>
      <c r="HZ27" s="21"/>
      <c r="IA27" s="21"/>
      <c r="IB27" s="21"/>
      <c r="IC27" s="21"/>
      <c r="ID27" s="21"/>
      <c r="IE27" s="22"/>
      <c r="IF27" s="22"/>
      <c r="IG27" s="22"/>
      <c r="IH27" s="22"/>
      <c r="II27" s="22"/>
      <c r="IJ27" s="22"/>
      <c r="IK27" s="22"/>
    </row>
    <row r="28" spans="1:245">
      <c r="A28" s="39" t="s">
        <v>31</v>
      </c>
      <c r="B28" s="58">
        <v>0</v>
      </c>
      <c r="C28" s="58">
        <v>-3283</v>
      </c>
      <c r="D28" s="39">
        <f t="shared" si="18"/>
        <v>-1641.5</v>
      </c>
      <c r="E28" s="40">
        <v>1</v>
      </c>
      <c r="F28" s="23">
        <f t="shared" si="19"/>
        <v>-1641.5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1"/>
      <c r="HX28" s="21"/>
      <c r="HY28" s="21"/>
      <c r="HZ28" s="21"/>
      <c r="IA28" s="21"/>
      <c r="IB28" s="21"/>
      <c r="IC28" s="21"/>
      <c r="ID28" s="21"/>
      <c r="IE28" s="22"/>
      <c r="IF28" s="22"/>
      <c r="IG28" s="22"/>
      <c r="IH28" s="22"/>
      <c r="II28" s="22"/>
      <c r="IJ28" s="22"/>
      <c r="IK28" s="22"/>
    </row>
    <row r="29" spans="1:245" ht="10.5" customHeight="1">
      <c r="A29" s="32" t="s">
        <v>32</v>
      </c>
      <c r="B29" s="33"/>
      <c r="C29" s="33"/>
      <c r="D29" s="33"/>
      <c r="E29" s="33"/>
      <c r="F29" s="34">
        <f>+SUM(F3:F28)</f>
        <v>1273220.5649999999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1"/>
      <c r="HY29" s="21"/>
      <c r="HZ29" s="21"/>
      <c r="IA29" s="21"/>
      <c r="IB29" s="21"/>
      <c r="IC29" s="21"/>
      <c r="ID29" s="21"/>
      <c r="IE29" s="21"/>
      <c r="IF29" s="22"/>
      <c r="IG29" s="22"/>
      <c r="IH29" s="22"/>
      <c r="II29" s="22"/>
      <c r="IJ29" s="22"/>
      <c r="IK29" s="22"/>
    </row>
    <row r="30" spans="1:245" ht="10.5" customHeight="1">
      <c r="A30" s="27" t="s">
        <v>33</v>
      </c>
      <c r="B30" s="35"/>
      <c r="C30" s="35"/>
      <c r="D30" s="35"/>
      <c r="E30" s="35"/>
      <c r="F30" s="34">
        <f>F29/12</f>
        <v>106101.71375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1"/>
      <c r="HY30" s="21"/>
      <c r="HZ30" s="21"/>
      <c r="IA30" s="21"/>
      <c r="IB30" s="21"/>
      <c r="IC30" s="21"/>
      <c r="ID30" s="21"/>
      <c r="IE30" s="21"/>
      <c r="IF30" s="22"/>
      <c r="IG30" s="22"/>
      <c r="IH30" s="22"/>
      <c r="II30" s="22"/>
      <c r="IJ30" s="22"/>
      <c r="IK30" s="22"/>
    </row>
    <row r="31" spans="1:245" ht="10.5" customHeight="1">
      <c r="A31" s="27" t="s">
        <v>34</v>
      </c>
      <c r="B31" s="35"/>
      <c r="C31" s="35"/>
      <c r="D31" s="35"/>
      <c r="E31" s="35"/>
      <c r="F31" s="23">
        <f>RTR!I7</f>
        <v>95949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1"/>
      <c r="ID31" s="21"/>
      <c r="IE31" s="21"/>
      <c r="IF31" s="21"/>
      <c r="IG31" s="21"/>
      <c r="IH31" s="21"/>
      <c r="II31" s="21"/>
      <c r="IJ31" s="21"/>
      <c r="IK31" s="22"/>
    </row>
    <row r="32" spans="1:245" ht="10.5" customHeight="1">
      <c r="A32" s="27" t="s">
        <v>46</v>
      </c>
      <c r="B32" s="27"/>
      <c r="C32" s="27"/>
      <c r="D32" s="27"/>
      <c r="E32" s="27"/>
      <c r="F32" s="36">
        <v>1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1"/>
      <c r="ID32" s="21"/>
      <c r="IE32" s="21"/>
      <c r="IF32" s="21"/>
      <c r="IG32" s="21"/>
      <c r="IH32" s="21"/>
      <c r="II32" s="21"/>
      <c r="IJ32" s="21"/>
      <c r="IK32" s="22"/>
    </row>
    <row r="33" spans="1:245" ht="10.5" customHeight="1">
      <c r="A33" s="27" t="s">
        <v>35</v>
      </c>
      <c r="B33" s="35"/>
      <c r="C33" s="35"/>
      <c r="D33" s="35"/>
      <c r="E33" s="35"/>
      <c r="F33" s="28">
        <f>(F30*F32)-F31</f>
        <v>10152.713749999995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1"/>
      <c r="ID33" s="21"/>
      <c r="IE33" s="21"/>
      <c r="IF33" s="21"/>
      <c r="IG33" s="21"/>
      <c r="IH33" s="21"/>
      <c r="II33" s="21"/>
      <c r="IJ33" s="21"/>
      <c r="IK33" s="22"/>
    </row>
    <row r="34" spans="1:245" ht="10.5" customHeight="1">
      <c r="A34" s="27" t="s">
        <v>36</v>
      </c>
      <c r="B34" s="35"/>
      <c r="C34" s="35"/>
      <c r="D34" s="35"/>
      <c r="E34" s="35"/>
      <c r="F34" s="27">
        <v>180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1"/>
      <c r="ID34" s="21"/>
      <c r="IE34" s="21"/>
      <c r="IF34" s="21"/>
      <c r="IG34" s="21"/>
      <c r="IH34" s="21"/>
      <c r="II34" s="21"/>
      <c r="IJ34" s="21"/>
      <c r="IK34" s="22"/>
    </row>
    <row r="35" spans="1:245" ht="10.5" customHeight="1">
      <c r="A35" s="27" t="s">
        <v>37</v>
      </c>
      <c r="B35" s="35"/>
      <c r="C35" s="35"/>
      <c r="D35" s="35"/>
      <c r="E35" s="35"/>
      <c r="F35" s="36">
        <v>9.5000000000000001E-2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1"/>
      <c r="ID35" s="21"/>
      <c r="IE35" s="21"/>
      <c r="IF35" s="21"/>
      <c r="IG35" s="21"/>
      <c r="IH35" s="21"/>
      <c r="II35" s="21"/>
      <c r="IJ35" s="21"/>
      <c r="IK35" s="22"/>
    </row>
    <row r="36" spans="1:245" ht="10.5" customHeight="1">
      <c r="A36" s="27" t="s">
        <v>38</v>
      </c>
      <c r="B36" s="35"/>
      <c r="C36" s="35"/>
      <c r="D36" s="35"/>
      <c r="E36" s="35"/>
      <c r="F36" s="37">
        <f>PMT(F35/12,F34,-100000)</f>
        <v>1044.2246828637926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1"/>
      <c r="ID36" s="21"/>
      <c r="IE36" s="21"/>
      <c r="IF36" s="21"/>
      <c r="IG36" s="21"/>
      <c r="IH36" s="21"/>
      <c r="II36" s="21"/>
      <c r="IJ36" s="21"/>
      <c r="IK36" s="22"/>
    </row>
    <row r="37" spans="1:245" ht="10.5" customHeight="1">
      <c r="A37" s="27" t="s">
        <v>39</v>
      </c>
      <c r="B37" s="35"/>
      <c r="C37" s="35"/>
      <c r="D37" s="35"/>
      <c r="E37" s="35"/>
      <c r="F37" s="38">
        <f>F33/F36</f>
        <v>9.7227291373309761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1"/>
      <c r="ID37" s="21"/>
      <c r="IE37" s="21"/>
      <c r="IF37" s="21"/>
      <c r="IG37" s="21"/>
      <c r="IH37" s="21"/>
      <c r="II37" s="21"/>
      <c r="IJ37" s="21"/>
      <c r="IK37" s="22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16"/>
  <sheetViews>
    <sheetView tabSelected="1" zoomScale="136" zoomScaleNormal="136" workbookViewId="0">
      <selection activeCell="B22" sqref="B22"/>
    </sheetView>
  </sheetViews>
  <sheetFormatPr defaultColWidth="22.140625" defaultRowHeight="8.25" customHeight="1"/>
  <cols>
    <col min="1" max="1" width="5.28515625" style="43" bestFit="1" customWidth="1"/>
    <col min="2" max="2" width="12.140625" style="43" bestFit="1" customWidth="1"/>
    <col min="3" max="3" width="12" style="43" bestFit="1" customWidth="1"/>
    <col min="4" max="4" width="10" style="43" bestFit="1" customWidth="1"/>
    <col min="5" max="5" width="9.140625" style="43" bestFit="1" customWidth="1"/>
    <col min="6" max="6" width="8.7109375" style="43" bestFit="1" customWidth="1"/>
    <col min="7" max="7" width="11.42578125" style="43" bestFit="1" customWidth="1"/>
    <col min="8" max="8" width="6.42578125" style="43" bestFit="1" customWidth="1"/>
    <col min="9" max="9" width="11.140625" style="43" customWidth="1"/>
    <col min="10" max="10" width="16.5703125" style="43" bestFit="1" customWidth="1"/>
    <col min="11" max="11" width="9.42578125" style="43" bestFit="1" customWidth="1"/>
    <col min="12" max="246" width="22.140625" style="43"/>
    <col min="247" max="16384" width="22.140625" style="44"/>
  </cols>
  <sheetData>
    <row r="1" spans="1:246" ht="11.25">
      <c r="A1" s="68" t="s">
        <v>1</v>
      </c>
      <c r="B1" s="68" t="s">
        <v>2</v>
      </c>
      <c r="C1" s="68" t="s">
        <v>3</v>
      </c>
      <c r="D1" s="68" t="s">
        <v>4</v>
      </c>
      <c r="E1" s="68" t="s">
        <v>5</v>
      </c>
      <c r="F1" s="68" t="s">
        <v>49</v>
      </c>
      <c r="G1" s="68" t="s">
        <v>65</v>
      </c>
      <c r="H1" s="68" t="s">
        <v>6</v>
      </c>
      <c r="I1" s="68" t="s">
        <v>42</v>
      </c>
      <c r="J1" s="69" t="s">
        <v>69</v>
      </c>
      <c r="IL1" s="44"/>
    </row>
    <row r="2" spans="1:246" s="46" customFormat="1" ht="11.25">
      <c r="A2" s="47">
        <v>1</v>
      </c>
      <c r="B2" s="48">
        <v>634736569</v>
      </c>
      <c r="C2" s="47" t="s">
        <v>56</v>
      </c>
      <c r="D2" s="47" t="s">
        <v>63</v>
      </c>
      <c r="E2" s="49">
        <v>7000000</v>
      </c>
      <c r="F2" s="48" t="s">
        <v>64</v>
      </c>
      <c r="G2" s="65">
        <v>43374</v>
      </c>
      <c r="H2" s="48">
        <v>76513</v>
      </c>
      <c r="I2" s="48" t="s">
        <v>62</v>
      </c>
      <c r="J2" s="51">
        <v>50100236121576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</row>
    <row r="3" spans="1:246" s="46" customFormat="1" ht="11.25">
      <c r="A3" s="50">
        <v>2</v>
      </c>
      <c r="B3" s="51">
        <v>636196753</v>
      </c>
      <c r="C3" s="50" t="s">
        <v>56</v>
      </c>
      <c r="D3" s="47" t="s">
        <v>63</v>
      </c>
      <c r="E3" s="52">
        <v>74316</v>
      </c>
      <c r="F3" s="53" t="s">
        <v>66</v>
      </c>
      <c r="G3" s="66">
        <v>43374</v>
      </c>
      <c r="H3" s="54">
        <v>2409</v>
      </c>
      <c r="I3" s="42" t="s">
        <v>62</v>
      </c>
      <c r="J3" s="51">
        <v>50100236121576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</row>
    <row r="4" spans="1:246" s="46" customFormat="1" ht="11.25">
      <c r="A4" s="50">
        <v>3</v>
      </c>
      <c r="B4" s="51">
        <v>649201405</v>
      </c>
      <c r="C4" s="50" t="s">
        <v>56</v>
      </c>
      <c r="D4" s="47" t="s">
        <v>63</v>
      </c>
      <c r="E4" s="56">
        <v>1370000</v>
      </c>
      <c r="F4" s="53" t="s">
        <v>64</v>
      </c>
      <c r="G4" s="66">
        <v>43881</v>
      </c>
      <c r="H4" s="51">
        <v>15455</v>
      </c>
      <c r="I4" s="48" t="s">
        <v>62</v>
      </c>
      <c r="J4" s="51">
        <v>50100236121576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</row>
    <row r="5" spans="1:246" ht="11.25">
      <c r="A5" s="50">
        <v>4</v>
      </c>
      <c r="B5" s="51">
        <v>649502428</v>
      </c>
      <c r="C5" s="54" t="s">
        <v>56</v>
      </c>
      <c r="D5" s="55" t="s">
        <v>63</v>
      </c>
      <c r="E5" s="53">
        <v>114225</v>
      </c>
      <c r="F5" s="51" t="s">
        <v>66</v>
      </c>
      <c r="G5" s="67">
        <v>43881</v>
      </c>
      <c r="H5" s="53">
        <v>1572</v>
      </c>
      <c r="I5" s="48" t="s">
        <v>62</v>
      </c>
      <c r="J5" s="51">
        <v>50100236121576</v>
      </c>
      <c r="IK5" s="44"/>
      <c r="IL5" s="44"/>
    </row>
    <row r="6" spans="1:246" ht="11.25">
      <c r="A6" s="50">
        <v>5</v>
      </c>
      <c r="B6" s="51">
        <v>2585619000698</v>
      </c>
      <c r="C6" s="54" t="s">
        <v>57</v>
      </c>
      <c r="D6" s="55" t="s">
        <v>67</v>
      </c>
      <c r="E6" s="53">
        <v>2000000</v>
      </c>
      <c r="F6" s="51" t="s">
        <v>68</v>
      </c>
      <c r="G6" s="67">
        <v>43148</v>
      </c>
      <c r="H6" s="53">
        <v>14060</v>
      </c>
      <c r="I6" s="48" t="s">
        <v>62</v>
      </c>
      <c r="J6" s="51"/>
      <c r="IK6" s="44"/>
      <c r="IL6" s="44"/>
    </row>
    <row r="7" spans="1:246" s="46" customFormat="1" ht="11.25">
      <c r="A7" s="50"/>
      <c r="B7" s="53"/>
      <c r="C7" s="42"/>
      <c r="D7" s="42"/>
      <c r="E7" s="56"/>
      <c r="F7" s="53"/>
      <c r="G7" s="66"/>
      <c r="H7" s="51"/>
      <c r="I7" s="48">
        <f>SUMIF(I2:I5, "Y",H2:H5)</f>
        <v>95949</v>
      </c>
      <c r="J7" s="70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</row>
    <row r="8" spans="1:246" ht="11.25">
      <c r="IL8" s="44"/>
    </row>
    <row r="9" spans="1:246" ht="8.25" customHeight="1">
      <c r="IL9" s="44"/>
    </row>
    <row r="10" spans="1:246" ht="8.25" customHeight="1">
      <c r="IL10" s="44"/>
    </row>
    <row r="11" spans="1:246" ht="8.25" customHeight="1">
      <c r="IL11" s="44"/>
    </row>
    <row r="12" spans="1:246" ht="8.25" customHeight="1">
      <c r="IL12" s="44"/>
    </row>
    <row r="13" spans="1:246" ht="8.25" customHeight="1">
      <c r="IL13" s="44"/>
    </row>
    <row r="14" spans="1:246" ht="8.25" customHeight="1">
      <c r="IL14" s="44"/>
    </row>
    <row r="15" spans="1:246" ht="8.25" customHeight="1">
      <c r="IL15" s="44"/>
    </row>
    <row r="16" spans="1:246" ht="8.25" customHeight="1">
      <c r="IL16" s="4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2" t="s">
        <v>7</v>
      </c>
      <c r="B1" s="62"/>
      <c r="C1" s="2"/>
    </row>
    <row r="2" spans="1:6" ht="14.25" customHeight="1">
      <c r="A2" s="62" t="s">
        <v>8</v>
      </c>
      <c r="B2" s="62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2021-04-13T10:09:05Z</dcterms:modified>
</cp:coreProperties>
</file>