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Eligibility" sheetId="1" r:id="rId1"/>
    <sheet name="RTR" sheetId="2" r:id="rId2"/>
    <sheet name="Sheet1" sheetId="5" state="hidden" r:id="rId3"/>
    <sheet name="GTO" sheetId="6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H20" i="6"/>
  <c r="G20"/>
  <c r="F20"/>
  <c r="H12"/>
  <c r="H13" s="1"/>
  <c r="H15" s="1"/>
  <c r="H17" s="1"/>
  <c r="H21" s="1"/>
  <c r="G12"/>
  <c r="G13" s="1"/>
  <c r="G15" s="1"/>
  <c r="G17" s="1"/>
  <c r="G21" s="1"/>
  <c r="F12"/>
  <c r="F13" s="1"/>
  <c r="F15" s="1"/>
  <c r="F17" s="1"/>
  <c r="F21" s="1"/>
  <c r="E12"/>
  <c r="E13" s="1"/>
  <c r="E15" s="1"/>
  <c r="K8" i="2" l="1"/>
  <c r="I5"/>
  <c r="I4"/>
  <c r="I3"/>
  <c r="F30" i="1"/>
  <c r="D26"/>
  <c r="D27"/>
  <c r="D28"/>
  <c r="D29"/>
  <c r="F29"/>
  <c r="F28"/>
  <c r="F27"/>
  <c r="F26"/>
  <c r="D20"/>
  <c r="D22"/>
  <c r="D23"/>
  <c r="F23" s="1"/>
  <c r="D24"/>
  <c r="F24" s="1"/>
  <c r="B21"/>
  <c r="D21" s="1"/>
  <c r="F21" s="1"/>
  <c r="F22"/>
  <c r="F20"/>
  <c r="D14"/>
  <c r="F14" s="1"/>
  <c r="D15"/>
  <c r="D16"/>
  <c r="D17"/>
  <c r="F17" s="1"/>
  <c r="D18"/>
  <c r="F18" s="1"/>
  <c r="F15"/>
  <c r="F16"/>
  <c r="D9"/>
  <c r="F9" s="1"/>
  <c r="D10"/>
  <c r="F10" s="1"/>
  <c r="D11"/>
  <c r="D12"/>
  <c r="F12" s="1"/>
  <c r="F11"/>
  <c r="D3"/>
  <c r="D4"/>
  <c r="F4" s="1"/>
  <c r="D7"/>
  <c r="F7" s="1"/>
  <c r="C6"/>
  <c r="C5"/>
  <c r="B6"/>
  <c r="D6" s="1"/>
  <c r="B5"/>
  <c r="D5" s="1"/>
  <c r="F3"/>
  <c r="F49"/>
  <c r="F48"/>
  <c r="B43"/>
  <c r="F42"/>
  <c r="F44" s="1"/>
  <c r="F37"/>
  <c r="A75"/>
  <c r="A79"/>
  <c r="F6" i="5"/>
  <c r="F7"/>
  <c r="F13" s="1"/>
  <c r="F8"/>
  <c r="F9"/>
  <c r="F10"/>
  <c r="F11"/>
  <c r="F12"/>
  <c r="E13"/>
  <c r="F32" i="1" l="1"/>
  <c r="E16" i="6"/>
  <c r="E17" s="1"/>
  <c r="E21" s="1"/>
  <c r="F5" i="1"/>
  <c r="F6"/>
  <c r="F31" l="1"/>
  <c r="F34" l="1"/>
  <c r="F38" s="1"/>
  <c r="F45"/>
  <c r="F50" s="1"/>
</calcChain>
</file>

<file path=xl/sharedStrings.xml><?xml version="1.0" encoding="utf-8"?>
<sst xmlns="http://schemas.openxmlformats.org/spreadsheetml/2006/main" count="203" uniqueCount="139">
  <si>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</si>
  <si>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</si>
  <si>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</si>
  <si>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</si>
  <si>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</si>
  <si>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</si>
  <si>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</si>
  <si>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</si>
  <si>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</si>
  <si>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</si>
  <si>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</si>
  <si>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</si>
  <si>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</si>
  <si>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</si>
  <si>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</si>
  <si>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</si>
  <si>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</si>
  <si>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</si>
  <si>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</si>
  <si>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</si>
  <si>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</si>
  <si>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</si>
  <si>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</si>
  <si>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</si>
  <si>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</si>
  <si>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</si>
  <si>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</si>
  <si>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</si>
  <si>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</si>
  <si>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</si>
  <si>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</si>
  <si>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</si>
  <si>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</si>
  <si>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</si>
  <si>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</si>
  <si>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</si>
  <si>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</si>
  <si>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</si>
  <si>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</si>
  <si>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</si>
  <si>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</si>
  <si>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</si>
  <si>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</si>
  <si>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</si>
  <si>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</si>
  <si>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</si>
  <si>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</si>
  <si>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</si>
  <si>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</si>
  <si>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</si>
  <si>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</si>
  <si>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</si>
  <si>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</si>
  <si>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</si>
  <si>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</si>
  <si>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</si>
  <si>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</si>
  <si>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</si>
  <si>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</si>
  <si>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</si>
  <si>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</si>
  <si>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</si>
  <si>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</si>
  <si>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</si>
  <si>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</si>
  <si>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</si>
  <si>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</si>
  <si>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</si>
  <si>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</si>
  <si>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</si>
  <si>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</si>
  <si>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</si>
  <si>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Payment made u/s 40A(2)(b) added back.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</si>
  <si>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</si>
  <si>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</si>
  <si>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</si>
  <si>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</si>
  <si>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</si>
  <si>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</si>
  <si>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</si>
  <si>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</si>
  <si>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</si>
  <si>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</si>
  <si>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</si>
  <si>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</si>
  <si>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</si>
  <si>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</si>
  <si>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</si>
  <si>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</si>
  <si>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</si>
  <si>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</si>
  <si>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</si>
  <si>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</si>
  <si>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 xml:space="preserve">Int. on Loan </t>
  </si>
  <si>
    <t>y</t>
  </si>
  <si>
    <t>EMI Considered</t>
  </si>
  <si>
    <t>Lap</t>
  </si>
  <si>
    <t>2016-17</t>
  </si>
  <si>
    <t>Capital First</t>
  </si>
  <si>
    <t xml:space="preserve">ASSESSMENT YEAR </t>
  </si>
  <si>
    <t>NAND MANGAL STEELS LIMITED</t>
  </si>
  <si>
    <t>Nand Mangal Steels Limited</t>
  </si>
  <si>
    <t>2017-18</t>
  </si>
  <si>
    <t>Ankur Gupta</t>
  </si>
  <si>
    <t xml:space="preserve">Income From Salary </t>
  </si>
  <si>
    <t>Income u/s 44AD</t>
  </si>
  <si>
    <t>Income From Other Sources</t>
  </si>
  <si>
    <t>Sunil Kumar</t>
  </si>
  <si>
    <t>Profits &amp; Gains From Business &amp; Profession</t>
  </si>
  <si>
    <t>Income From House Property</t>
  </si>
  <si>
    <t>Rohit Kumar</t>
  </si>
  <si>
    <t>Income From Salary (Nand Mangal)</t>
  </si>
  <si>
    <t>Income From Salary ( Imperial Coating)</t>
  </si>
  <si>
    <t>Veena Gupta</t>
  </si>
  <si>
    <t>CVL002300149374</t>
  </si>
  <si>
    <t>Nand Mangal Steels</t>
  </si>
  <si>
    <t>Yes Bank</t>
  </si>
  <si>
    <t>CVL</t>
  </si>
  <si>
    <t>n</t>
  </si>
  <si>
    <t>CVL002300278452</t>
  </si>
  <si>
    <t>CVL002300443124</t>
  </si>
  <si>
    <t>HDB Financial Services</t>
  </si>
  <si>
    <t>Applicant 2</t>
  </si>
  <si>
    <t>Applicant 3</t>
  </si>
  <si>
    <t>Applicant 4</t>
  </si>
  <si>
    <t>Client ID</t>
  </si>
  <si>
    <t>Loan Amount</t>
  </si>
  <si>
    <t>Turnover-Current Year</t>
  </si>
  <si>
    <t>Gross Profit-Current Year</t>
  </si>
  <si>
    <t>Total Monthly Income</t>
  </si>
  <si>
    <t>Gross Eligible Income</t>
  </si>
  <si>
    <t>Foir</t>
  </si>
  <si>
    <t>Less – Deductions</t>
  </si>
  <si>
    <t>Net Income Available For Current Loan</t>
  </si>
  <si>
    <t>Rate Of Interest</t>
  </si>
  <si>
    <t>Tenor Applicable</t>
  </si>
  <si>
    <t>Emi Per Lakh</t>
  </si>
  <si>
    <t>Max. Eligible Loan On Foir Basis ( In Rs. )</t>
  </si>
  <si>
    <t>Foir (60%)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</si>
</sst>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9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color indexed="8"/>
      <name val="Zurich BT"/>
    </font>
    <font>
      <sz val="10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indexed="10"/>
      <name val="Cambria"/>
      <family val="1"/>
      <scheme val="major"/>
    </font>
    <font>
      <b/>
      <sz val="10"/>
      <name val="Cambria"/>
      <family val="1"/>
      <scheme val="major"/>
    </font>
    <font>
      <sz val="10.5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rgb="FFFFC000"/>
        <bgColor indexed="26"/>
      </patternFill>
    </fill>
    <fill>
      <patternFill patternType="solid">
        <fgColor indexed="22"/>
        <bgColor indexed="31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164" fontId="11" fillId="0" borderId="0" applyFill="0" applyAlignment="0" applyProtection="0"/>
    <xf numFmtId="9" fontId="11" fillId="0" borderId="0" applyFill="0" applyBorder="0" applyAlignment="0" applyProtection="0"/>
    <xf numFmtId="0" fontId="11" fillId="0" borderId="0"/>
    <xf numFmtId="0" fontId="11" fillId="0" borderId="0"/>
    <xf numFmtId="0" fontId="1" fillId="0" borderId="0" applyBorder="0" applyProtection="0"/>
    <xf numFmtId="164" fontId="1" fillId="0" borderId="0" applyBorder="0" applyProtection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7" fillId="6" borderId="1" xfId="0" applyFont="1" applyFill="1" applyBorder="1" applyAlignment="1" applyProtection="1">
      <alignment vertical="top" wrapText="1"/>
      <protection hidden="1"/>
    </xf>
    <xf numFmtId="0" fontId="7" fillId="6" borderId="1" xfId="0" applyFont="1" applyFill="1" applyBorder="1" applyAlignment="1" applyProtection="1">
      <alignment horizontal="center" vertical="top" wrapText="1"/>
      <protection locked="0" hidden="1"/>
    </xf>
    <xf numFmtId="0" fontId="4" fillId="0" borderId="1" xfId="0" applyFont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horizontal="justify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 applyProtection="1">
      <alignment horizontal="left" vertical="top" wrapText="1"/>
      <protection locked="0"/>
    </xf>
    <xf numFmtId="10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 applyProtection="1">
      <alignment horizontal="left" vertical="top"/>
      <protection locked="0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Fill="1" applyBorder="1" applyAlignment="1" applyProtection="1">
      <alignment vertical="top" wrapText="1"/>
      <protection hidden="1"/>
    </xf>
    <xf numFmtId="0" fontId="1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7" borderId="1" xfId="0" applyFont="1" applyFill="1" applyBorder="1" applyAlignment="1" applyProtection="1">
      <alignment vertical="top" wrapText="1"/>
      <protection hidden="1"/>
    </xf>
    <xf numFmtId="0" fontId="7" fillId="7" borderId="1" xfId="0" applyFont="1" applyFill="1" applyBorder="1" applyAlignment="1" applyProtection="1">
      <alignment vertical="top" wrapText="1"/>
      <protection hidden="1"/>
    </xf>
    <xf numFmtId="0" fontId="7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7" fillId="7" borderId="1" xfId="2" applyNumberFormat="1" applyFont="1" applyFill="1" applyBorder="1" applyAlignment="1" applyProtection="1">
      <alignment horizontal="left" vertical="top" wrapText="1"/>
      <protection hidden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8" borderId="5" xfId="0" applyNumberFormat="1" applyFont="1" applyFill="1" applyBorder="1" applyAlignment="1" applyProtection="1">
      <alignment vertical="center" wrapText="1"/>
    </xf>
    <xf numFmtId="2" fontId="14" fillId="8" borderId="5" xfId="0" applyNumberFormat="1" applyFont="1" applyFill="1" applyBorder="1" applyAlignment="1" applyProtection="1">
      <alignment horizontal="center" vertical="center" wrapText="1"/>
    </xf>
    <xf numFmtId="0" fontId="14" fillId="9" borderId="5" xfId="0" applyNumberFormat="1" applyFont="1" applyFill="1" applyBorder="1" applyAlignment="1" applyProtection="1">
      <alignment vertical="center" wrapText="1"/>
    </xf>
    <xf numFmtId="2" fontId="14" fillId="9" borderId="5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5" xfId="0" applyNumberFormat="1" applyFont="1" applyFill="1" applyBorder="1" applyAlignment="1" applyProtection="1">
      <alignment vertical="center" wrapText="1"/>
    </xf>
    <xf numFmtId="2" fontId="15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16" fillId="0" borderId="5" xfId="0" applyNumberFormat="1" applyFont="1" applyFill="1" applyBorder="1" applyAlignment="1" applyProtection="1">
      <alignment vertical="center" wrapText="1"/>
    </xf>
    <xf numFmtId="2" fontId="16" fillId="0" borderId="5" xfId="0" applyNumberFormat="1" applyFont="1" applyFill="1" applyBorder="1" applyAlignment="1" applyProtection="1">
      <alignment horizontal="right" vertical="center" wrapText="1"/>
      <protection hidden="1"/>
    </xf>
    <xf numFmtId="0" fontId="13" fillId="0" borderId="5" xfId="0" applyNumberFormat="1" applyFont="1" applyFill="1" applyBorder="1" applyAlignment="1" applyProtection="1">
      <alignment vertical="center" wrapText="1"/>
    </xf>
    <xf numFmtId="2" fontId="13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15" fillId="0" borderId="5" xfId="0" applyFont="1" applyBorder="1" applyAlignment="1" applyProtection="1">
      <alignment vertical="center" wrapText="1"/>
    </xf>
    <xf numFmtId="0" fontId="17" fillId="8" borderId="5" xfId="0" applyNumberFormat="1" applyFont="1" applyFill="1" applyBorder="1" applyAlignment="1" applyProtection="1">
      <alignment vertical="center" wrapText="1"/>
    </xf>
    <xf numFmtId="2" fontId="17" fillId="8" borderId="5" xfId="0" applyNumberFormat="1" applyFont="1" applyFill="1" applyBorder="1" applyAlignment="1" applyProtection="1">
      <alignment horizontal="right" vertical="center" wrapText="1"/>
      <protection hidden="1"/>
    </xf>
    <xf numFmtId="165" fontId="18" fillId="3" borderId="1" xfId="1" applyNumberFormat="1" applyFont="1" applyFill="1" applyBorder="1" applyAlignment="1" applyProtection="1">
      <alignment horizontal="center" vertical="center" wrapText="1"/>
    </xf>
    <xf numFmtId="0" fontId="18" fillId="2" borderId="0" xfId="3" applyFont="1" applyFill="1" applyBorder="1" applyAlignment="1">
      <alignment vertical="top" wrapText="1"/>
    </xf>
    <xf numFmtId="0" fontId="18" fillId="0" borderId="0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165" fontId="18" fillId="4" borderId="1" xfId="1" applyNumberFormat="1" applyFont="1" applyFill="1" applyBorder="1" applyAlignment="1" applyProtection="1">
      <alignment horizontal="left" vertical="center" wrapText="1"/>
    </xf>
    <xf numFmtId="165" fontId="18" fillId="4" borderId="1" xfId="1" applyNumberFormat="1" applyFont="1" applyFill="1" applyBorder="1" applyAlignment="1" applyProtection="1">
      <alignment horizontal="center" vertical="center" wrapText="1"/>
    </xf>
    <xf numFmtId="9" fontId="18" fillId="4" borderId="1" xfId="1" applyNumberFormat="1" applyFont="1" applyFill="1" applyBorder="1" applyAlignment="1" applyProtection="1">
      <alignment horizontal="center" vertical="center" wrapText="1"/>
    </xf>
    <xf numFmtId="165" fontId="18" fillId="2" borderId="1" xfId="1" applyNumberFormat="1" applyFont="1" applyFill="1" applyBorder="1" applyAlignment="1" applyProtection="1">
      <alignment horizontal="left" vertical="center" wrapText="1"/>
    </xf>
    <xf numFmtId="166" fontId="18" fillId="2" borderId="1" xfId="1" applyNumberFormat="1" applyFont="1" applyFill="1" applyBorder="1" applyAlignment="1" applyProtection="1">
      <alignment horizontal="center" vertical="center"/>
    </xf>
    <xf numFmtId="166" fontId="18" fillId="0" borderId="1" xfId="1" applyNumberFormat="1" applyFont="1" applyFill="1" applyBorder="1" applyAlignment="1" applyProtection="1">
      <alignment horizontal="center" vertical="center"/>
    </xf>
    <xf numFmtId="165" fontId="18" fillId="2" borderId="1" xfId="1" applyNumberFormat="1" applyFont="1" applyFill="1" applyBorder="1" applyAlignment="1" applyProtection="1">
      <alignment horizontal="center" vertical="top"/>
    </xf>
    <xf numFmtId="9" fontId="18" fillId="2" borderId="1" xfId="1" applyNumberFormat="1" applyFont="1" applyFill="1" applyBorder="1" applyAlignment="1" applyProtection="1">
      <alignment horizontal="center" vertical="top"/>
    </xf>
    <xf numFmtId="0" fontId="18" fillId="2" borderId="0" xfId="3" applyFont="1" applyFill="1" applyBorder="1" applyAlignment="1">
      <alignment horizontal="center" vertical="center" wrapText="1"/>
    </xf>
    <xf numFmtId="164" fontId="18" fillId="4" borderId="1" xfId="1" applyFont="1" applyFill="1" applyBorder="1" applyAlignment="1" applyProtection="1">
      <alignment vertical="top" wrapText="1"/>
    </xf>
    <xf numFmtId="167" fontId="18" fillId="4" borderId="1" xfId="1" applyNumberFormat="1" applyFont="1" applyFill="1" applyBorder="1" applyAlignment="1" applyProtection="1">
      <alignment horizontal="center" vertical="top"/>
    </xf>
    <xf numFmtId="165" fontId="18" fillId="0" borderId="1" xfId="1" applyNumberFormat="1" applyFont="1" applyFill="1" applyBorder="1" applyAlignment="1" applyProtection="1">
      <alignment vertical="top" wrapText="1"/>
    </xf>
    <xf numFmtId="165" fontId="18" fillId="0" borderId="1" xfId="1" applyNumberFormat="1" applyFont="1" applyFill="1" applyBorder="1" applyAlignment="1" applyProtection="1">
      <alignment horizontal="left" vertical="top" wrapText="1"/>
    </xf>
    <xf numFmtId="10" fontId="18" fillId="0" borderId="1" xfId="1" applyNumberFormat="1" applyFont="1" applyFill="1" applyBorder="1" applyAlignment="1" applyProtection="1">
      <alignment horizontal="center" vertical="top"/>
    </xf>
    <xf numFmtId="165" fontId="18" fillId="4" borderId="1" xfId="1" applyNumberFormat="1" applyFont="1" applyFill="1" applyBorder="1" applyAlignment="1" applyProtection="1">
      <alignment horizontal="center" vertical="top"/>
    </xf>
    <xf numFmtId="165" fontId="18" fillId="0" borderId="1" xfId="1" applyNumberFormat="1" applyFont="1" applyFill="1" applyBorder="1" applyAlignment="1" applyProtection="1">
      <alignment horizontal="center" vertical="top"/>
    </xf>
    <xf numFmtId="2" fontId="18" fillId="4" borderId="1" xfId="6" applyNumberFormat="1" applyFont="1" applyFill="1" applyBorder="1" applyAlignment="1" applyProtection="1">
      <alignment horizontal="center" vertical="top"/>
    </xf>
    <xf numFmtId="164" fontId="18" fillId="4" borderId="1" xfId="6" applyNumberFormat="1" applyFont="1" applyFill="1" applyBorder="1" applyAlignment="1" applyProtection="1">
      <alignment horizontal="center" vertical="top"/>
    </xf>
    <xf numFmtId="10" fontId="18" fillId="4" borderId="1" xfId="1" applyNumberFormat="1" applyFont="1" applyFill="1" applyBorder="1" applyAlignment="1" applyProtection="1">
      <alignment horizontal="center" vertical="top"/>
    </xf>
    <xf numFmtId="164" fontId="18" fillId="0" borderId="1" xfId="1" applyNumberFormat="1" applyFont="1" applyFill="1" applyBorder="1" applyAlignment="1" applyProtection="1">
      <alignment horizontal="center" vertical="top"/>
    </xf>
    <xf numFmtId="165" fontId="18" fillId="4" borderId="1" xfId="6" applyNumberFormat="1" applyFont="1" applyFill="1" applyBorder="1" applyAlignment="1" applyProtection="1">
      <alignment horizontal="center" vertical="top"/>
    </xf>
    <xf numFmtId="10" fontId="18" fillId="4" borderId="1" xfId="6" applyNumberFormat="1" applyFont="1" applyFill="1" applyBorder="1" applyAlignment="1" applyProtection="1">
      <alignment horizontal="center" vertical="top"/>
    </xf>
    <xf numFmtId="164" fontId="18" fillId="0" borderId="1" xfId="1" applyNumberFormat="1" applyFont="1" applyFill="1" applyBorder="1" applyAlignment="1" applyProtection="1">
      <alignment vertical="top" wrapText="1"/>
    </xf>
    <xf numFmtId="2" fontId="18" fillId="0" borderId="1" xfId="6" applyNumberFormat="1" applyFont="1" applyFill="1" applyBorder="1" applyAlignment="1" applyProtection="1">
      <alignment horizontal="center" vertical="top"/>
    </xf>
    <xf numFmtId="164" fontId="18" fillId="0" borderId="1" xfId="6" applyNumberFormat="1" applyFont="1" applyFill="1" applyBorder="1" applyAlignment="1" applyProtection="1">
      <alignment horizontal="center" vertical="top"/>
    </xf>
    <xf numFmtId="10" fontId="18" fillId="5" borderId="1" xfId="5" applyNumberFormat="1" applyFont="1" applyFill="1" applyBorder="1" applyAlignment="1" applyProtection="1">
      <alignment horizontal="center" vertical="top"/>
    </xf>
    <xf numFmtId="0" fontId="18" fillId="2" borderId="1" xfId="4" applyFont="1" applyFill="1" applyBorder="1" applyAlignment="1">
      <alignment horizontal="center" vertical="top"/>
    </xf>
    <xf numFmtId="0" fontId="18" fillId="0" borderId="1" xfId="4" applyFont="1" applyBorder="1" applyAlignment="1">
      <alignment horizontal="center" vertical="top" wrapText="1"/>
    </xf>
    <xf numFmtId="0" fontId="18" fillId="0" borderId="1" xfId="4" applyFont="1" applyFill="1" applyBorder="1" applyAlignment="1">
      <alignment horizontal="left" vertical="center" wrapText="1"/>
    </xf>
    <xf numFmtId="0" fontId="18" fillId="0" borderId="1" xfId="4" applyFont="1" applyBorder="1" applyAlignment="1">
      <alignment horizontal="center" vertical="center" wrapText="1"/>
    </xf>
    <xf numFmtId="0" fontId="18" fillId="0" borderId="1" xfId="4" applyNumberFormat="1" applyFont="1" applyBorder="1" applyAlignment="1">
      <alignment horizontal="center" vertical="center" wrapText="1"/>
    </xf>
    <xf numFmtId="0" fontId="18" fillId="0" borderId="0" xfId="3" applyFont="1" applyFill="1" applyBorder="1" applyAlignment="1">
      <alignment vertical="top" wrapText="1"/>
    </xf>
    <xf numFmtId="0" fontId="18" fillId="0" borderId="0" xfId="0" applyFont="1" applyFill="1" applyBorder="1" applyAlignment="1">
      <alignment wrapText="1"/>
    </xf>
    <xf numFmtId="0" fontId="18" fillId="0" borderId="1" xfId="0" applyNumberFormat="1" applyFont="1" applyFill="1" applyBorder="1"/>
    <xf numFmtId="165" fontId="18" fillId="3" borderId="1" xfId="1" applyNumberFormat="1" applyFont="1" applyFill="1" applyBorder="1" applyAlignment="1" applyProtection="1">
      <alignment horizontal="center" vertical="center" wrapText="1"/>
    </xf>
    <xf numFmtId="0" fontId="18" fillId="4" borderId="2" xfId="0" applyNumberFormat="1" applyFont="1" applyFill="1" applyBorder="1"/>
    <xf numFmtId="0" fontId="18" fillId="4" borderId="3" xfId="0" applyNumberFormat="1" applyFont="1" applyFill="1" applyBorder="1"/>
    <xf numFmtId="0" fontId="18" fillId="4" borderId="4" xfId="0" applyNumberFormat="1" applyFont="1" applyFill="1" applyBorder="1"/>
    <xf numFmtId="0" fontId="18" fillId="0" borderId="2" xfId="0" applyNumberFormat="1" applyFont="1" applyFill="1" applyBorder="1"/>
    <xf numFmtId="0" fontId="18" fillId="0" borderId="3" xfId="0" applyNumberFormat="1" applyFont="1" applyFill="1" applyBorder="1"/>
    <xf numFmtId="0" fontId="18" fillId="0" borderId="4" xfId="0" applyNumberFormat="1" applyFont="1" applyFill="1" applyBorder="1"/>
    <xf numFmtId="165" fontId="18" fillId="0" borderId="2" xfId="1" applyNumberFormat="1" applyFont="1" applyFill="1" applyBorder="1" applyAlignment="1" applyProtection="1">
      <alignment horizontal="center" vertical="center"/>
    </xf>
    <xf numFmtId="165" fontId="18" fillId="0" borderId="3" xfId="1" applyNumberFormat="1" applyFont="1" applyFill="1" applyBorder="1" applyAlignment="1" applyProtection="1">
      <alignment horizontal="center" vertical="center"/>
    </xf>
    <xf numFmtId="165" fontId="18" fillId="0" borderId="4" xfId="1" applyNumberFormat="1" applyFont="1" applyFill="1" applyBorder="1" applyAlignment="1" applyProtection="1">
      <alignment horizontal="center" vertical="center"/>
    </xf>
    <xf numFmtId="168" fontId="18" fillId="3" borderId="1" xfId="1" applyNumberFormat="1" applyFont="1" applyFill="1" applyBorder="1" applyAlignment="1" applyProtection="1">
      <alignment horizontal="center" vertical="center" wrapText="1"/>
    </xf>
    <xf numFmtId="165" fontId="18" fillId="0" borderId="1" xfId="1" applyNumberFormat="1" applyFont="1" applyFill="1" applyBorder="1" applyAlignment="1" applyProtection="1">
      <alignment horizontal="center" vertical="top"/>
    </xf>
    <xf numFmtId="0" fontId="18" fillId="0" borderId="1" xfId="4" applyFont="1" applyFill="1" applyBorder="1" applyAlignment="1">
      <alignment horizontal="left" vertical="center" wrapText="1"/>
    </xf>
    <xf numFmtId="0" fontId="18" fillId="0" borderId="1" xfId="0" applyNumberFormat="1" applyFont="1" applyFill="1" applyBorder="1" applyAlignment="1">
      <alignment horizontal="center"/>
    </xf>
    <xf numFmtId="0" fontId="18" fillId="3" borderId="1" xfId="4" applyFont="1" applyFill="1" applyBorder="1" applyAlignment="1">
      <alignment horizontal="center" vertical="top" wrapText="1"/>
    </xf>
    <xf numFmtId="0" fontId="18" fillId="0" borderId="1" xfId="4" applyFont="1" applyBorder="1" applyAlignment="1">
      <alignment horizontal="center" vertical="top" wrapText="1"/>
    </xf>
    <xf numFmtId="10" fontId="18" fillId="0" borderId="1" xfId="4" applyNumberFormat="1" applyFont="1" applyBorder="1" applyAlignment="1">
      <alignment horizontal="center" vertical="center" wrapText="1"/>
    </xf>
    <xf numFmtId="0" fontId="18" fillId="3" borderId="1" xfId="4" applyFont="1" applyFill="1" applyBorder="1" applyAlignment="1">
      <alignment horizontal="center" vertical="center"/>
    </xf>
    <xf numFmtId="0" fontId="18" fillId="2" borderId="1" xfId="3" applyFont="1" applyFill="1" applyBorder="1" applyAlignment="1">
      <alignment vertical="top" wrapText="1"/>
    </xf>
    <xf numFmtId="0" fontId="18" fillId="0" borderId="1" xfId="4" applyFont="1" applyFill="1" applyBorder="1" applyAlignment="1">
      <alignment horizontal="justify" vertical="center" wrapText="1"/>
    </xf>
    <xf numFmtId="0" fontId="18" fillId="3" borderId="1" xfId="4" applyFont="1" applyFill="1" applyBorder="1" applyAlignment="1">
      <alignment horizontal="center" vertical="top"/>
    </xf>
    <xf numFmtId="0" fontId="18" fillId="0" borderId="1" xfId="4" applyFont="1" applyBorder="1" applyAlignment="1">
      <alignment horizontal="left" vertical="center"/>
    </xf>
    <xf numFmtId="0" fontId="7" fillId="6" borderId="1" xfId="0" applyFont="1" applyFill="1" applyBorder="1" applyAlignment="1" applyProtection="1">
      <alignment horizontal="center" vertical="top" wrapText="1"/>
      <protection hidden="1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97"/>
  <sheetViews>
    <sheetView topLeftCell="A27" zoomScale="130" zoomScaleNormal="130" workbookViewId="0">
      <selection activeCell="G34" sqref="G34"/>
    </sheetView>
  </sheetViews>
  <sheetFormatPr defaultColWidth="31.28515625" defaultRowHeight="13.5"/>
  <cols>
    <col min="1" max="1" width="46.7109375" style="52" customWidth="1"/>
    <col min="2" max="2" width="12.42578125" style="52" customWidth="1"/>
    <col min="3" max="3" width="12" style="52" customWidth="1"/>
    <col min="4" max="4" width="14.140625" style="52" customWidth="1"/>
    <col min="5" max="5" width="14.7109375" style="52" customWidth="1"/>
    <col min="6" max="6" width="19.5703125" style="52" customWidth="1"/>
    <col min="7" max="7" width="16.28515625" style="52" customWidth="1"/>
    <col min="8" max="8" width="14.7109375" style="52" customWidth="1"/>
    <col min="9" max="9" width="11.85546875" style="52" customWidth="1"/>
    <col min="10" max="10" width="14.5703125" style="52" customWidth="1"/>
    <col min="11" max="12" width="13.140625" style="52" customWidth="1"/>
    <col min="13" max="13" width="13.7109375" style="52" customWidth="1"/>
    <col min="14" max="14" width="14.140625" style="52" customWidth="1"/>
    <col min="15" max="15" width="11.85546875" style="52" customWidth="1"/>
    <col min="16" max="16" width="12" style="52" customWidth="1"/>
    <col min="17" max="17" width="11" style="52" customWidth="1"/>
    <col min="18" max="18" width="11.5703125" style="52" customWidth="1"/>
    <col min="19" max="19" width="12" style="52" customWidth="1"/>
    <col min="20" max="237" width="31.28515625" style="52"/>
    <col min="238" max="245" width="31.28515625" style="53"/>
    <col min="246" max="247" width="31.28515625" style="54"/>
    <col min="248" max="16384" width="31.28515625" style="55"/>
  </cols>
  <sheetData>
    <row r="1" spans="1:6" ht="26.85" customHeight="1">
      <c r="A1" s="51" t="s">
        <v>100</v>
      </c>
      <c r="B1" s="90" t="s">
        <v>99</v>
      </c>
      <c r="C1" s="90"/>
      <c r="D1" s="51" t="s">
        <v>0</v>
      </c>
      <c r="E1" s="51">
        <v>7720208401</v>
      </c>
      <c r="F1" s="51" t="s">
        <v>1</v>
      </c>
    </row>
    <row r="2" spans="1:6">
      <c r="A2" s="56" t="s">
        <v>101</v>
      </c>
      <c r="B2" s="57" t="s">
        <v>102</v>
      </c>
      <c r="C2" s="57" t="s">
        <v>97</v>
      </c>
      <c r="D2" s="57" t="s">
        <v>69</v>
      </c>
      <c r="E2" s="58" t="s">
        <v>2</v>
      </c>
      <c r="F2" s="57" t="s">
        <v>70</v>
      </c>
    </row>
    <row r="3" spans="1:6">
      <c r="A3" s="59" t="s">
        <v>91</v>
      </c>
      <c r="B3" s="60">
        <v>4839177.3499999996</v>
      </c>
      <c r="C3" s="61">
        <v>2800546.88</v>
      </c>
      <c r="D3" s="62">
        <f>AVERAGE(B3:C3)</f>
        <v>3819862.1149999998</v>
      </c>
      <c r="E3" s="63">
        <v>1</v>
      </c>
      <c r="F3" s="62">
        <f>E3*D3</f>
        <v>3819862.1149999998</v>
      </c>
    </row>
    <row r="4" spans="1:6">
      <c r="A4" s="59" t="s">
        <v>92</v>
      </c>
      <c r="B4" s="60">
        <v>1853987</v>
      </c>
      <c r="C4" s="61">
        <v>2190878</v>
      </c>
      <c r="D4" s="62">
        <f>AVERAGE(B4:C4)</f>
        <v>2022432.5</v>
      </c>
      <c r="E4" s="63">
        <v>1</v>
      </c>
      <c r="F4" s="62">
        <f>E4*D4</f>
        <v>2022432.5</v>
      </c>
    </row>
    <row r="5" spans="1:6">
      <c r="A5" s="59" t="s">
        <v>93</v>
      </c>
      <c r="B5" s="60">
        <f>729495.12+3912+5031163</f>
        <v>5764570.1200000001</v>
      </c>
      <c r="C5" s="61">
        <f>3553+6784270</f>
        <v>6787823</v>
      </c>
      <c r="D5" s="62">
        <f>AVERAGE(B5:C5)</f>
        <v>6276196.5600000005</v>
      </c>
      <c r="E5" s="63">
        <v>1</v>
      </c>
      <c r="F5" s="62">
        <f>E5*D5</f>
        <v>6276196.5600000005</v>
      </c>
    </row>
    <row r="6" spans="1:6">
      <c r="A6" s="59" t="s">
        <v>72</v>
      </c>
      <c r="B6" s="64">
        <f>60000+350000+60000+350000</f>
        <v>820000</v>
      </c>
      <c r="C6" s="60">
        <f>60000+60000+60000+2576</f>
        <v>182576</v>
      </c>
      <c r="D6" s="62">
        <f>AVERAGE(B6:C6)</f>
        <v>501288</v>
      </c>
      <c r="E6" s="63">
        <v>1</v>
      </c>
      <c r="F6" s="62">
        <f>E6*D6</f>
        <v>501288</v>
      </c>
    </row>
    <row r="7" spans="1:6">
      <c r="A7" s="59" t="s">
        <v>71</v>
      </c>
      <c r="B7" s="60">
        <v>-1353027</v>
      </c>
      <c r="C7" s="60">
        <v>-1068220</v>
      </c>
      <c r="D7" s="62">
        <f>AVERAGE(B7:C7)</f>
        <v>-1210623.5</v>
      </c>
      <c r="E7" s="63">
        <v>1</v>
      </c>
      <c r="F7" s="62">
        <f>E7*D7</f>
        <v>-1210623.5</v>
      </c>
    </row>
    <row r="8" spans="1:6">
      <c r="A8" s="56" t="s">
        <v>103</v>
      </c>
      <c r="B8" s="57" t="s">
        <v>102</v>
      </c>
      <c r="C8" s="57" t="s">
        <v>97</v>
      </c>
      <c r="D8" s="57" t="s">
        <v>69</v>
      </c>
      <c r="E8" s="58" t="s">
        <v>2</v>
      </c>
      <c r="F8" s="57" t="s">
        <v>70</v>
      </c>
    </row>
    <row r="9" spans="1:6">
      <c r="A9" s="59" t="s">
        <v>104</v>
      </c>
      <c r="B9" s="60">
        <v>350000</v>
      </c>
      <c r="C9" s="61">
        <v>60000</v>
      </c>
      <c r="D9" s="62">
        <f>AVERAGE(B9:C9)</f>
        <v>205000</v>
      </c>
      <c r="E9" s="63">
        <v>0</v>
      </c>
      <c r="F9" s="62">
        <f>E9*D9</f>
        <v>0</v>
      </c>
    </row>
    <row r="10" spans="1:6">
      <c r="A10" s="59" t="s">
        <v>105</v>
      </c>
      <c r="B10" s="60">
        <v>253800</v>
      </c>
      <c r="C10" s="61">
        <v>511000</v>
      </c>
      <c r="D10" s="62">
        <f>AVERAGE(B10:C10)</f>
        <v>382400</v>
      </c>
      <c r="E10" s="63">
        <v>1</v>
      </c>
      <c r="F10" s="62">
        <f>E10*D10</f>
        <v>382400</v>
      </c>
    </row>
    <row r="11" spans="1:6">
      <c r="A11" s="59" t="s">
        <v>106</v>
      </c>
      <c r="B11" s="60">
        <v>2491</v>
      </c>
      <c r="C11" s="61">
        <v>30620</v>
      </c>
      <c r="D11" s="62">
        <f>AVERAGE(B11:C11)</f>
        <v>16555.5</v>
      </c>
      <c r="E11" s="63">
        <v>0.5</v>
      </c>
      <c r="F11" s="62">
        <f>E11*D11</f>
        <v>8277.75</v>
      </c>
    </row>
    <row r="12" spans="1:6">
      <c r="A12" s="59" t="s">
        <v>71</v>
      </c>
      <c r="B12" s="60">
        <v>-26056</v>
      </c>
      <c r="C12" s="60">
        <v>-17021</v>
      </c>
      <c r="D12" s="62">
        <f>AVERAGE(B12:C12)</f>
        <v>-21538.5</v>
      </c>
      <c r="E12" s="63">
        <v>1</v>
      </c>
      <c r="F12" s="62">
        <f>E12*D12</f>
        <v>-21538.5</v>
      </c>
    </row>
    <row r="13" spans="1:6">
      <c r="A13" s="56" t="s">
        <v>107</v>
      </c>
      <c r="B13" s="57" t="s">
        <v>102</v>
      </c>
      <c r="C13" s="57" t="s">
        <v>97</v>
      </c>
      <c r="D13" s="57" t="s">
        <v>69</v>
      </c>
      <c r="E13" s="58" t="s">
        <v>2</v>
      </c>
      <c r="F13" s="57" t="s">
        <v>70</v>
      </c>
    </row>
    <row r="14" spans="1:6">
      <c r="A14" s="59" t="s">
        <v>104</v>
      </c>
      <c r="B14" s="60">
        <v>60000</v>
      </c>
      <c r="C14" s="61">
        <v>60000</v>
      </c>
      <c r="D14" s="62">
        <f>AVERAGE(B14:C14)</f>
        <v>60000</v>
      </c>
      <c r="E14" s="63">
        <v>0</v>
      </c>
      <c r="F14" s="62">
        <f>E14*D14</f>
        <v>0</v>
      </c>
    </row>
    <row r="15" spans="1:6">
      <c r="A15" s="59" t="s">
        <v>108</v>
      </c>
      <c r="B15" s="60">
        <v>265186</v>
      </c>
      <c r="C15" s="61">
        <v>332587</v>
      </c>
      <c r="D15" s="62">
        <f>AVERAGE(B15:C15)</f>
        <v>298886.5</v>
      </c>
      <c r="E15" s="63">
        <v>0</v>
      </c>
      <c r="F15" s="62">
        <f>E15*D15</f>
        <v>0</v>
      </c>
    </row>
    <row r="16" spans="1:6">
      <c r="A16" s="59" t="s">
        <v>109</v>
      </c>
      <c r="B16" s="60">
        <v>333766</v>
      </c>
      <c r="C16" s="61">
        <v>261293</v>
      </c>
      <c r="D16" s="62">
        <f>AVERAGE(B16:C16)</f>
        <v>297529.5</v>
      </c>
      <c r="E16" s="63">
        <v>1</v>
      </c>
      <c r="F16" s="62">
        <f>E16*D16</f>
        <v>297529.5</v>
      </c>
    </row>
    <row r="17" spans="1:6">
      <c r="A17" s="59" t="s">
        <v>106</v>
      </c>
      <c r="B17" s="60">
        <v>51539</v>
      </c>
      <c r="C17" s="61">
        <v>51387</v>
      </c>
      <c r="D17" s="62">
        <f>AVERAGE(B17:C17)</f>
        <v>51463</v>
      </c>
      <c r="E17" s="63">
        <v>0.5</v>
      </c>
      <c r="F17" s="62">
        <f>E17*D17</f>
        <v>25731.5</v>
      </c>
    </row>
    <row r="18" spans="1:6">
      <c r="A18" s="59" t="s">
        <v>71</v>
      </c>
      <c r="B18" s="60">
        <v>-36237</v>
      </c>
      <c r="C18" s="60">
        <v>-44484</v>
      </c>
      <c r="D18" s="62">
        <f>AVERAGE(B18:C18)</f>
        <v>-40360.5</v>
      </c>
      <c r="E18" s="63">
        <v>1</v>
      </c>
      <c r="F18" s="62">
        <f>E18*D18</f>
        <v>-40360.5</v>
      </c>
    </row>
    <row r="19" spans="1:6">
      <c r="A19" s="56" t="s">
        <v>110</v>
      </c>
      <c r="B19" s="57" t="s">
        <v>102</v>
      </c>
      <c r="C19" s="57" t="s">
        <v>97</v>
      </c>
      <c r="D19" s="57" t="s">
        <v>69</v>
      </c>
      <c r="E19" s="58" t="s">
        <v>2</v>
      </c>
      <c r="F19" s="57" t="s">
        <v>70</v>
      </c>
    </row>
    <row r="20" spans="1:6">
      <c r="A20" s="59" t="s">
        <v>111</v>
      </c>
      <c r="B20" s="60">
        <v>60000</v>
      </c>
      <c r="C20" s="61">
        <v>60000</v>
      </c>
      <c r="D20" s="62">
        <f>AVERAGE(B20:C20)</f>
        <v>60000</v>
      </c>
      <c r="E20" s="63">
        <v>0</v>
      </c>
      <c r="F20" s="62">
        <f>E20*D20</f>
        <v>0</v>
      </c>
    </row>
    <row r="21" spans="1:6">
      <c r="A21" s="59" t="s">
        <v>112</v>
      </c>
      <c r="B21" s="60">
        <f>90869+300000</f>
        <v>390869</v>
      </c>
      <c r="C21" s="61">
        <v>91255</v>
      </c>
      <c r="D21" s="62">
        <f>AVERAGE(B21:C21)</f>
        <v>241062</v>
      </c>
      <c r="E21" s="63">
        <v>0</v>
      </c>
      <c r="F21" s="62">
        <f>E21*D21</f>
        <v>0</v>
      </c>
    </row>
    <row r="22" spans="1:6">
      <c r="A22" s="59" t="s">
        <v>108</v>
      </c>
      <c r="B22" s="60">
        <v>52076</v>
      </c>
      <c r="C22" s="61">
        <v>375112</v>
      </c>
      <c r="D22" s="62">
        <f>AVERAGE(B22:C22)</f>
        <v>213594</v>
      </c>
      <c r="E22" s="63">
        <v>1</v>
      </c>
      <c r="F22" s="62">
        <f>E22*D22</f>
        <v>213594</v>
      </c>
    </row>
    <row r="23" spans="1:6">
      <c r="A23" s="59" t="s">
        <v>106</v>
      </c>
      <c r="B23" s="60">
        <v>99316</v>
      </c>
      <c r="C23" s="61">
        <v>73849</v>
      </c>
      <c r="D23" s="62">
        <f>AVERAGE(B23:C23)</f>
        <v>86582.5</v>
      </c>
      <c r="E23" s="63">
        <v>0.5</v>
      </c>
      <c r="F23" s="62">
        <f>E23*D23</f>
        <v>43291.25</v>
      </c>
    </row>
    <row r="24" spans="1:6">
      <c r="A24" s="59" t="s">
        <v>71</v>
      </c>
      <c r="B24" s="60">
        <v>-11492</v>
      </c>
      <c r="C24" s="60">
        <v>-15601</v>
      </c>
      <c r="D24" s="62">
        <f>AVERAGE(B24:C24)</f>
        <v>-13546.5</v>
      </c>
      <c r="E24" s="63">
        <v>1</v>
      </c>
      <c r="F24" s="62">
        <f>E24*D24</f>
        <v>-13546.5</v>
      </c>
    </row>
    <row r="25" spans="1:6">
      <c r="A25" s="56" t="s">
        <v>113</v>
      </c>
      <c r="B25" s="57" t="s">
        <v>102</v>
      </c>
      <c r="C25" s="57" t="s">
        <v>97</v>
      </c>
      <c r="D25" s="57" t="s">
        <v>69</v>
      </c>
      <c r="E25" s="58" t="s">
        <v>2</v>
      </c>
      <c r="F25" s="57" t="s">
        <v>70</v>
      </c>
    </row>
    <row r="26" spans="1:6">
      <c r="A26" s="59" t="s">
        <v>111</v>
      </c>
      <c r="B26" s="60">
        <v>350000</v>
      </c>
      <c r="C26" s="61">
        <v>0</v>
      </c>
      <c r="D26" s="62">
        <f>AVERAGE(B26:C26)</f>
        <v>175000</v>
      </c>
      <c r="E26" s="63">
        <v>0</v>
      </c>
      <c r="F26" s="62">
        <f>E26*D26</f>
        <v>0</v>
      </c>
    </row>
    <row r="27" spans="1:6">
      <c r="A27" s="59" t="s">
        <v>108</v>
      </c>
      <c r="B27" s="60">
        <v>142850</v>
      </c>
      <c r="C27" s="61">
        <v>432000</v>
      </c>
      <c r="D27" s="62">
        <f>AVERAGE(B27:C27)</f>
        <v>287425</v>
      </c>
      <c r="E27" s="63">
        <v>1</v>
      </c>
      <c r="F27" s="62">
        <f>E27*D27</f>
        <v>287425</v>
      </c>
    </row>
    <row r="28" spans="1:6">
      <c r="A28" s="59" t="s">
        <v>106</v>
      </c>
      <c r="B28" s="60">
        <v>115752</v>
      </c>
      <c r="C28" s="61">
        <v>162252</v>
      </c>
      <c r="D28" s="62">
        <f>AVERAGE(B28:C28)</f>
        <v>139002</v>
      </c>
      <c r="E28" s="63">
        <v>0.5</v>
      </c>
      <c r="F28" s="62">
        <f>E28*D28</f>
        <v>69501</v>
      </c>
    </row>
    <row r="29" spans="1:6">
      <c r="A29" s="59" t="s">
        <v>71</v>
      </c>
      <c r="B29" s="60">
        <v>-19612</v>
      </c>
      <c r="C29" s="60">
        <v>-41272</v>
      </c>
      <c r="D29" s="62">
        <f>AVERAGE(B29:C29)</f>
        <v>-30442</v>
      </c>
      <c r="E29" s="63">
        <v>1</v>
      </c>
      <c r="F29" s="62">
        <f>E29*D29</f>
        <v>-30442</v>
      </c>
    </row>
    <row r="30" spans="1:6" ht="15.4" customHeight="1">
      <c r="A30" s="65" t="s">
        <v>73</v>
      </c>
      <c r="B30" s="91"/>
      <c r="C30" s="92"/>
      <c r="D30" s="92"/>
      <c r="E30" s="93"/>
      <c r="F30" s="66">
        <f>+SUM(F3:F29)</f>
        <v>12631018.175000001</v>
      </c>
    </row>
    <row r="31" spans="1:6" ht="16.350000000000001" customHeight="1">
      <c r="A31" s="67" t="s">
        <v>74</v>
      </c>
      <c r="B31" s="94"/>
      <c r="C31" s="95"/>
      <c r="D31" s="95"/>
      <c r="E31" s="96"/>
      <c r="F31" s="66">
        <f>F30/12</f>
        <v>1052584.8479166667</v>
      </c>
    </row>
    <row r="32" spans="1:6">
      <c r="A32" s="67" t="s">
        <v>75</v>
      </c>
      <c r="B32" s="94"/>
      <c r="C32" s="95"/>
      <c r="D32" s="95"/>
      <c r="E32" s="96"/>
      <c r="F32" s="62">
        <f>RTR!K8</f>
        <v>997995</v>
      </c>
    </row>
    <row r="33" spans="1:6" ht="16.350000000000001" customHeight="1">
      <c r="A33" s="68" t="s">
        <v>76</v>
      </c>
      <c r="B33" s="97"/>
      <c r="C33" s="98"/>
      <c r="D33" s="98"/>
      <c r="E33" s="99"/>
      <c r="F33" s="69">
        <v>1.25</v>
      </c>
    </row>
    <row r="34" spans="1:6" ht="16.350000000000001" customHeight="1">
      <c r="A34" s="67" t="s">
        <v>77</v>
      </c>
      <c r="B34" s="89"/>
      <c r="C34" s="89"/>
      <c r="D34" s="89"/>
      <c r="E34" s="89"/>
      <c r="F34" s="70">
        <f>(F31*F33)-F32</f>
        <v>317736.05989583326</v>
      </c>
    </row>
    <row r="35" spans="1:6" ht="12.75" customHeight="1">
      <c r="A35" s="67" t="s">
        <v>78</v>
      </c>
      <c r="B35" s="89"/>
      <c r="C35" s="89"/>
      <c r="D35" s="89"/>
      <c r="E35" s="89"/>
      <c r="F35" s="71">
        <v>180</v>
      </c>
    </row>
    <row r="36" spans="1:6" ht="12.75" customHeight="1">
      <c r="A36" s="67" t="s">
        <v>79</v>
      </c>
      <c r="B36" s="89"/>
      <c r="C36" s="89"/>
      <c r="D36" s="89"/>
      <c r="E36" s="89"/>
      <c r="F36" s="69">
        <v>0.1</v>
      </c>
    </row>
    <row r="37" spans="1:6">
      <c r="A37" s="67" t="s">
        <v>80</v>
      </c>
      <c r="B37" s="89"/>
      <c r="C37" s="89"/>
      <c r="D37" s="89"/>
      <c r="E37" s="89"/>
      <c r="F37" s="72">
        <f>PMT(F36/12,F35,-100000)</f>
        <v>1074.6051177081183</v>
      </c>
    </row>
    <row r="38" spans="1:6">
      <c r="A38" s="67" t="s">
        <v>81</v>
      </c>
      <c r="B38" s="89"/>
      <c r="C38" s="89"/>
      <c r="D38" s="89"/>
      <c r="E38" s="89"/>
      <c r="F38" s="73">
        <f>F34/F37</f>
        <v>295.67703955615815</v>
      </c>
    </row>
    <row r="39" spans="1:6" ht="15.4" customHeight="1">
      <c r="A39" s="100" t="s">
        <v>82</v>
      </c>
      <c r="B39" s="100"/>
      <c r="C39" s="100"/>
      <c r="D39" s="100"/>
      <c r="E39" s="100"/>
      <c r="F39" s="100"/>
    </row>
    <row r="40" spans="1:6">
      <c r="A40" s="67" t="s">
        <v>78</v>
      </c>
      <c r="B40" s="89"/>
      <c r="C40" s="89"/>
      <c r="D40" s="89"/>
      <c r="E40" s="89"/>
      <c r="F40" s="70">
        <v>180</v>
      </c>
    </row>
    <row r="41" spans="1:6">
      <c r="A41" s="67" t="s">
        <v>79</v>
      </c>
      <c r="B41" s="89"/>
      <c r="C41" s="89"/>
      <c r="D41" s="89"/>
      <c r="E41" s="89"/>
      <c r="F41" s="74">
        <v>9.5500000000000002E-2</v>
      </c>
    </row>
    <row r="42" spans="1:6">
      <c r="A42" s="67" t="s">
        <v>80</v>
      </c>
      <c r="B42" s="89"/>
      <c r="C42" s="89"/>
      <c r="D42" s="89"/>
      <c r="E42" s="89"/>
      <c r="F42" s="73">
        <f>PMT(F41/12,F40,-100000)</f>
        <v>1047.2438674424591</v>
      </c>
    </row>
    <row r="43" spans="1:6">
      <c r="A43" s="67" t="s">
        <v>83</v>
      </c>
      <c r="B43" s="101">
        <f>B33</f>
        <v>0</v>
      </c>
      <c r="C43" s="101"/>
      <c r="D43" s="101"/>
      <c r="E43" s="101"/>
      <c r="F43" s="75">
        <v>0</v>
      </c>
    </row>
    <row r="44" spans="1:6">
      <c r="A44" s="67" t="s">
        <v>84</v>
      </c>
      <c r="B44" s="89"/>
      <c r="C44" s="89"/>
      <c r="D44" s="89"/>
      <c r="E44" s="89"/>
      <c r="F44" s="76">
        <f>F43*F42</f>
        <v>0</v>
      </c>
    </row>
    <row r="45" spans="1:6">
      <c r="A45" s="67" t="s">
        <v>85</v>
      </c>
      <c r="B45" s="89"/>
      <c r="C45" s="89"/>
      <c r="D45" s="89"/>
      <c r="E45" s="89"/>
      <c r="F45" s="77">
        <f>(F44+F32)/F31</f>
        <v>0.94813734206347944</v>
      </c>
    </row>
    <row r="46" spans="1:6">
      <c r="A46" s="78" t="s">
        <v>86</v>
      </c>
      <c r="B46" s="103" t="s">
        <v>3</v>
      </c>
      <c r="C46" s="103"/>
      <c r="D46" s="103"/>
      <c r="E46" s="103"/>
      <c r="F46" s="79">
        <v>0</v>
      </c>
    </row>
    <row r="47" spans="1:6">
      <c r="A47" s="78" t="s">
        <v>87</v>
      </c>
      <c r="B47" s="89"/>
      <c r="C47" s="89"/>
      <c r="D47" s="89"/>
      <c r="E47" s="89"/>
      <c r="F47" s="80"/>
    </row>
    <row r="48" spans="1:6">
      <c r="A48" s="78" t="s">
        <v>88</v>
      </c>
      <c r="B48" s="89"/>
      <c r="C48" s="89"/>
      <c r="D48" s="89"/>
      <c r="E48" s="89"/>
      <c r="F48" s="81" t="e">
        <f>F43/F46</f>
        <v>#DIV/0!</v>
      </c>
    </row>
    <row r="49" spans="1:6">
      <c r="A49" s="67" t="s">
        <v>89</v>
      </c>
      <c r="B49" s="89"/>
      <c r="C49" s="89"/>
      <c r="D49" s="89"/>
      <c r="E49" s="89"/>
      <c r="F49" s="81" t="e">
        <f>(F43+F47)/F46</f>
        <v>#DIV/0!</v>
      </c>
    </row>
    <row r="50" spans="1:6">
      <c r="A50" s="67" t="s">
        <v>90</v>
      </c>
      <c r="B50" s="89"/>
      <c r="C50" s="89"/>
      <c r="D50" s="89"/>
      <c r="E50" s="89"/>
      <c r="F50" s="81" t="e">
        <f>F49+F45</f>
        <v>#DIV/0!</v>
      </c>
    </row>
    <row r="51" spans="1:6" ht="15.4" customHeight="1">
      <c r="A51" s="102"/>
      <c r="B51" s="102"/>
      <c r="C51" s="102"/>
      <c r="D51" s="102"/>
      <c r="E51" s="102"/>
      <c r="F51" s="102"/>
    </row>
    <row r="52" spans="1:6">
      <c r="A52" s="102"/>
      <c r="B52" s="102"/>
      <c r="C52" s="102"/>
      <c r="D52" s="102"/>
      <c r="E52" s="102"/>
      <c r="F52" s="102"/>
    </row>
    <row r="53" spans="1:6" ht="15.4" customHeight="1">
      <c r="A53" s="102"/>
      <c r="B53" s="102"/>
      <c r="C53" s="102"/>
      <c r="D53" s="102"/>
      <c r="E53" s="102"/>
      <c r="F53" s="102"/>
    </row>
    <row r="54" spans="1:6">
      <c r="A54" s="102"/>
      <c r="B54" s="102"/>
      <c r="C54" s="102"/>
      <c r="D54" s="102"/>
      <c r="E54" s="102"/>
      <c r="F54" s="102"/>
    </row>
    <row r="55" spans="1:6">
      <c r="A55" s="102"/>
      <c r="B55" s="102"/>
      <c r="C55" s="102"/>
      <c r="D55" s="102"/>
      <c r="E55" s="102"/>
      <c r="F55" s="102"/>
    </row>
    <row r="56" spans="1:6">
      <c r="A56" s="102"/>
      <c r="B56" s="102"/>
      <c r="C56" s="102"/>
      <c r="D56" s="102"/>
      <c r="E56" s="102"/>
      <c r="F56" s="102"/>
    </row>
    <row r="57" spans="1:6">
      <c r="A57" s="102"/>
      <c r="B57" s="102"/>
      <c r="C57" s="102"/>
      <c r="D57" s="102"/>
      <c r="E57" s="102"/>
      <c r="F57" s="102"/>
    </row>
    <row r="58" spans="1:6" ht="15.4" customHeight="1">
      <c r="A58" s="102"/>
      <c r="B58" s="102"/>
      <c r="C58" s="102"/>
      <c r="D58" s="102"/>
      <c r="E58" s="102"/>
      <c r="F58" s="102"/>
    </row>
    <row r="59" spans="1:6">
      <c r="A59" s="102"/>
      <c r="B59" s="102"/>
      <c r="C59" s="102"/>
      <c r="D59" s="102"/>
      <c r="E59" s="102"/>
      <c r="F59" s="102"/>
    </row>
    <row r="60" spans="1:6">
      <c r="A60" s="104" t="s">
        <v>6</v>
      </c>
      <c r="B60" s="104"/>
      <c r="C60" s="104"/>
      <c r="D60" s="104"/>
      <c r="E60" s="104"/>
      <c r="F60" s="104"/>
    </row>
    <row r="61" spans="1:6">
      <c r="A61" s="102"/>
      <c r="B61" s="102"/>
      <c r="C61" s="102"/>
      <c r="D61" s="102"/>
      <c r="E61" s="102"/>
      <c r="F61" s="102"/>
    </row>
    <row r="62" spans="1:6">
      <c r="A62" s="102" t="s">
        <v>7</v>
      </c>
      <c r="B62" s="102"/>
      <c r="C62" s="102"/>
      <c r="D62" s="102"/>
      <c r="E62" s="102"/>
      <c r="F62" s="102"/>
    </row>
    <row r="63" spans="1:6">
      <c r="A63" s="102"/>
      <c r="B63" s="102"/>
      <c r="C63" s="102"/>
      <c r="D63" s="102"/>
      <c r="E63" s="102"/>
      <c r="F63" s="102"/>
    </row>
    <row r="64" spans="1:6" ht="15.4" customHeight="1">
      <c r="A64" s="102"/>
      <c r="B64" s="102"/>
      <c r="C64" s="102"/>
      <c r="D64" s="102"/>
      <c r="E64" s="102"/>
      <c r="F64" s="102"/>
    </row>
    <row r="65" spans="1:6">
      <c r="A65" s="102"/>
      <c r="B65" s="102"/>
      <c r="C65" s="102"/>
      <c r="D65" s="102"/>
      <c r="E65" s="102"/>
      <c r="F65" s="102"/>
    </row>
    <row r="66" spans="1:6">
      <c r="A66" s="102"/>
      <c r="B66" s="102"/>
      <c r="C66" s="102"/>
      <c r="D66" s="102"/>
      <c r="E66" s="102"/>
      <c r="F66" s="102"/>
    </row>
    <row r="67" spans="1:6">
      <c r="A67" s="104" t="s">
        <v>8</v>
      </c>
      <c r="B67" s="104"/>
      <c r="C67" s="104"/>
      <c r="D67" s="104"/>
      <c r="E67" s="104"/>
      <c r="F67" s="104"/>
    </row>
    <row r="68" spans="1:6" ht="15.4" customHeight="1">
      <c r="A68" s="102"/>
      <c r="B68" s="102"/>
      <c r="C68" s="102"/>
      <c r="D68" s="102"/>
      <c r="E68" s="102"/>
      <c r="F68" s="102"/>
    </row>
    <row r="69" spans="1:6" ht="26.85" customHeight="1">
      <c r="A69" s="102"/>
      <c r="B69" s="102"/>
      <c r="C69" s="102"/>
      <c r="D69" s="102"/>
      <c r="E69" s="102"/>
      <c r="F69" s="102"/>
    </row>
    <row r="70" spans="1:6" ht="15.4" customHeight="1">
      <c r="A70" s="102"/>
      <c r="B70" s="102"/>
      <c r="C70" s="102"/>
      <c r="D70" s="102"/>
      <c r="E70" s="102"/>
      <c r="F70" s="102"/>
    </row>
    <row r="71" spans="1:6" ht="15.4" customHeight="1">
      <c r="A71" s="102"/>
      <c r="B71" s="102"/>
      <c r="C71" s="102"/>
      <c r="D71" s="102"/>
      <c r="E71" s="102"/>
      <c r="F71" s="102"/>
    </row>
    <row r="72" spans="1:6">
      <c r="A72" s="102"/>
      <c r="B72" s="102"/>
      <c r="C72" s="102"/>
      <c r="D72" s="102"/>
      <c r="E72" s="102"/>
      <c r="F72" s="102"/>
    </row>
    <row r="73" spans="1:6" ht="16.350000000000001" customHeight="1">
      <c r="A73" s="104" t="s">
        <v>9</v>
      </c>
      <c r="B73" s="104"/>
      <c r="C73" s="104"/>
      <c r="D73" s="104"/>
      <c r="E73" s="104"/>
      <c r="F73" s="104"/>
    </row>
    <row r="74" spans="1:6" ht="16.350000000000001" customHeight="1">
      <c r="A74" s="82" t="s">
        <v>5</v>
      </c>
      <c r="B74" s="83" t="s">
        <v>10</v>
      </c>
      <c r="C74" s="83" t="s">
        <v>11</v>
      </c>
      <c r="D74" s="83" t="s">
        <v>12</v>
      </c>
      <c r="E74" s="83" t="s">
        <v>13</v>
      </c>
      <c r="F74" s="83" t="s">
        <v>14</v>
      </c>
    </row>
    <row r="75" spans="1:6" ht="16.350000000000001" customHeight="1">
      <c r="A75" s="84" t="str">
        <f>+A46</f>
        <v xml:space="preserve">Value based on Market valuation                </v>
      </c>
      <c r="B75" s="85"/>
      <c r="C75" s="85"/>
      <c r="D75" s="86" t="s">
        <v>15</v>
      </c>
      <c r="E75" s="85" t="s">
        <v>15</v>
      </c>
      <c r="F75" s="85"/>
    </row>
    <row r="76" spans="1:6" ht="16.350000000000001" customHeight="1">
      <c r="A76" s="84" t="s">
        <v>4</v>
      </c>
      <c r="B76" s="85"/>
      <c r="C76" s="85"/>
      <c r="D76" s="86" t="s">
        <v>15</v>
      </c>
      <c r="E76" s="85" t="s">
        <v>15</v>
      </c>
      <c r="F76" s="85"/>
    </row>
    <row r="77" spans="1:6" ht="16.350000000000001" customHeight="1">
      <c r="A77" s="104" t="s">
        <v>16</v>
      </c>
      <c r="B77" s="104"/>
      <c r="C77" s="104"/>
      <c r="D77" s="104"/>
      <c r="E77" s="104"/>
      <c r="F77" s="104"/>
    </row>
    <row r="78" spans="1:6" ht="16.350000000000001" customHeight="1">
      <c r="A78" s="82" t="s">
        <v>5</v>
      </c>
      <c r="B78" s="83" t="s">
        <v>17</v>
      </c>
      <c r="C78" s="83" t="s">
        <v>18</v>
      </c>
      <c r="D78" s="83" t="s">
        <v>19</v>
      </c>
      <c r="E78" s="105" t="s">
        <v>20</v>
      </c>
      <c r="F78" s="105"/>
    </row>
    <row r="79" spans="1:6" ht="16.350000000000001" customHeight="1">
      <c r="A79" s="84" t="str">
        <f>+A46</f>
        <v xml:space="preserve">Value based on Market valuation                </v>
      </c>
      <c r="B79" s="85" t="s">
        <v>15</v>
      </c>
      <c r="C79" s="85"/>
      <c r="D79" s="86" t="s">
        <v>15</v>
      </c>
      <c r="E79" s="106" t="s">
        <v>15</v>
      </c>
      <c r="F79" s="106"/>
    </row>
    <row r="80" spans="1:6" ht="16.350000000000001" customHeight="1">
      <c r="A80" s="84" t="s">
        <v>4</v>
      </c>
      <c r="B80" s="85" t="s">
        <v>15</v>
      </c>
      <c r="C80" s="85"/>
      <c r="D80" s="86" t="s">
        <v>15</v>
      </c>
      <c r="E80" s="106" t="s">
        <v>15</v>
      </c>
      <c r="F80" s="106"/>
    </row>
    <row r="81" spans="1:249" ht="16.350000000000001" customHeight="1">
      <c r="A81" s="107" t="s">
        <v>21</v>
      </c>
      <c r="B81" s="107"/>
      <c r="C81" s="107"/>
      <c r="D81" s="107" t="s">
        <v>22</v>
      </c>
      <c r="E81" s="107"/>
      <c r="F81" s="107"/>
    </row>
    <row r="82" spans="1:249" ht="16.350000000000001" customHeight="1">
      <c r="A82" s="102" t="s">
        <v>23</v>
      </c>
      <c r="B82" s="102"/>
      <c r="C82" s="102"/>
      <c r="D82" s="102"/>
      <c r="E82" s="102"/>
      <c r="F82" s="102"/>
    </row>
    <row r="83" spans="1:249" ht="16.350000000000001" customHeight="1">
      <c r="A83" s="102" t="s">
        <v>24</v>
      </c>
      <c r="B83" s="102"/>
      <c r="C83" s="102"/>
      <c r="D83" s="102"/>
      <c r="E83" s="102"/>
      <c r="F83" s="102"/>
    </row>
    <row r="84" spans="1:249" ht="26.85" customHeight="1">
      <c r="A84" s="102" t="s">
        <v>25</v>
      </c>
      <c r="B84" s="102"/>
      <c r="C84" s="102"/>
      <c r="D84" s="102"/>
      <c r="E84" s="102"/>
      <c r="F84" s="102"/>
    </row>
    <row r="85" spans="1:249" s="87" customFormat="1">
      <c r="A85" s="102" t="s">
        <v>26</v>
      </c>
      <c r="B85" s="102"/>
      <c r="C85" s="102"/>
      <c r="D85" s="102"/>
      <c r="E85" s="102"/>
      <c r="F85" s="10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ID85" s="88"/>
      <c r="IE85" s="88"/>
      <c r="IF85" s="88"/>
      <c r="IG85" s="53"/>
      <c r="IL85" s="54"/>
      <c r="IM85" s="54"/>
      <c r="IN85" s="55"/>
      <c r="IO85" s="55"/>
    </row>
    <row r="86" spans="1:249" s="87" customFormat="1">
      <c r="A86" s="102" t="s">
        <v>27</v>
      </c>
      <c r="B86" s="102"/>
      <c r="C86" s="102"/>
      <c r="D86" s="102"/>
      <c r="E86" s="102"/>
      <c r="F86" s="10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ID86" s="88"/>
      <c r="IE86" s="88"/>
      <c r="IF86" s="88"/>
      <c r="IG86" s="53"/>
      <c r="IL86" s="54"/>
      <c r="IM86" s="54"/>
      <c r="IN86" s="55"/>
      <c r="IO86" s="55"/>
    </row>
    <row r="87" spans="1:249" s="87" customFormat="1">
      <c r="A87" s="102" t="s">
        <v>28</v>
      </c>
      <c r="B87" s="102"/>
      <c r="C87" s="102"/>
      <c r="D87" s="102"/>
      <c r="E87" s="102"/>
      <c r="F87" s="10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ID87" s="88"/>
      <c r="IE87" s="88"/>
      <c r="IF87" s="88"/>
      <c r="IG87" s="53"/>
      <c r="IL87" s="54"/>
      <c r="IM87" s="54"/>
      <c r="IN87" s="55"/>
      <c r="IO87" s="55"/>
    </row>
    <row r="88" spans="1:249">
      <c r="A88" s="102" t="s">
        <v>29</v>
      </c>
      <c r="B88" s="102"/>
      <c r="C88" s="102"/>
      <c r="D88" s="102"/>
      <c r="E88" s="102"/>
      <c r="F88" s="102"/>
    </row>
    <row r="89" spans="1:249">
      <c r="A89" s="102" t="s">
        <v>30</v>
      </c>
      <c r="B89" s="102"/>
      <c r="C89" s="102"/>
      <c r="D89" s="102"/>
      <c r="E89" s="102"/>
      <c r="F89" s="102"/>
    </row>
    <row r="90" spans="1:249">
      <c r="A90" s="102" t="s">
        <v>31</v>
      </c>
      <c r="B90" s="102"/>
      <c r="C90" s="102"/>
      <c r="D90" s="102"/>
      <c r="E90" s="102"/>
      <c r="F90" s="102"/>
    </row>
    <row r="91" spans="1:249">
      <c r="A91" s="102" t="s">
        <v>32</v>
      </c>
      <c r="B91" s="102"/>
      <c r="C91" s="102"/>
      <c r="D91" s="102"/>
      <c r="E91" s="102"/>
      <c r="F91" s="102"/>
    </row>
    <row r="92" spans="1:249">
      <c r="A92" s="102" t="s">
        <v>33</v>
      </c>
      <c r="B92" s="102"/>
      <c r="C92" s="102"/>
      <c r="D92" s="102"/>
      <c r="E92" s="102"/>
      <c r="F92" s="102"/>
    </row>
    <row r="93" spans="1:249">
      <c r="A93" s="102" t="s">
        <v>34</v>
      </c>
      <c r="B93" s="102"/>
      <c r="C93" s="102"/>
      <c r="D93" s="109" t="s">
        <v>35</v>
      </c>
      <c r="E93" s="109"/>
      <c r="F93" s="109"/>
    </row>
    <row r="94" spans="1:249">
      <c r="A94" s="110" t="s">
        <v>36</v>
      </c>
      <c r="B94" s="110"/>
      <c r="C94" s="110"/>
      <c r="D94" s="110"/>
      <c r="E94" s="110"/>
      <c r="F94" s="110"/>
    </row>
    <row r="95" spans="1:249">
      <c r="A95" s="111"/>
      <c r="B95" s="111"/>
      <c r="C95" s="111"/>
      <c r="D95" s="111"/>
      <c r="E95" s="111"/>
      <c r="F95" s="111"/>
    </row>
    <row r="96" spans="1:249">
      <c r="A96" s="111"/>
      <c r="B96" s="111"/>
      <c r="C96" s="111"/>
      <c r="D96" s="111"/>
      <c r="E96" s="111"/>
      <c r="F96" s="111"/>
    </row>
    <row r="97" spans="1:6">
      <c r="A97" s="108"/>
      <c r="B97" s="108"/>
      <c r="C97" s="108"/>
      <c r="D97" s="108"/>
      <c r="E97" s="108"/>
      <c r="F97" s="108"/>
    </row>
  </sheetData>
  <sheetProtection selectLockedCells="1" selectUnlockedCells="1"/>
  <mergeCells count="79">
    <mergeCell ref="A97:F97"/>
    <mergeCell ref="A90:C90"/>
    <mergeCell ref="D90:F90"/>
    <mergeCell ref="A91:C91"/>
    <mergeCell ref="D91:F91"/>
    <mergeCell ref="A92:C92"/>
    <mergeCell ref="D92:F92"/>
    <mergeCell ref="A93:C93"/>
    <mergeCell ref="D93:F93"/>
    <mergeCell ref="A94:F94"/>
    <mergeCell ref="A95:F95"/>
    <mergeCell ref="A96:F96"/>
    <mergeCell ref="A87:C87"/>
    <mergeCell ref="D87:F87"/>
    <mergeCell ref="A88:C88"/>
    <mergeCell ref="D88:F88"/>
    <mergeCell ref="A89:C89"/>
    <mergeCell ref="D89:F89"/>
    <mergeCell ref="A84:C84"/>
    <mergeCell ref="D84:F84"/>
    <mergeCell ref="A85:C85"/>
    <mergeCell ref="D85:F85"/>
    <mergeCell ref="A86:C86"/>
    <mergeCell ref="D86:F86"/>
    <mergeCell ref="A83:C83"/>
    <mergeCell ref="D83:F83"/>
    <mergeCell ref="A71:F71"/>
    <mergeCell ref="A72:F72"/>
    <mergeCell ref="A73:F73"/>
    <mergeCell ref="A77:F77"/>
    <mergeCell ref="E78:F78"/>
    <mergeCell ref="E79:F79"/>
    <mergeCell ref="E80:F80"/>
    <mergeCell ref="A81:C81"/>
    <mergeCell ref="D81:F81"/>
    <mergeCell ref="A82:C82"/>
    <mergeCell ref="D82:F82"/>
    <mergeCell ref="B49:E49"/>
    <mergeCell ref="A70:F70"/>
    <mergeCell ref="A59:F59"/>
    <mergeCell ref="A60:F60"/>
    <mergeCell ref="A61:F61"/>
    <mergeCell ref="A62:F62"/>
    <mergeCell ref="A63:F63"/>
    <mergeCell ref="A64:F64"/>
    <mergeCell ref="A65:F65"/>
    <mergeCell ref="A66:F66"/>
    <mergeCell ref="A67:F67"/>
    <mergeCell ref="A68:F68"/>
    <mergeCell ref="A69:F69"/>
    <mergeCell ref="A58:F58"/>
    <mergeCell ref="A51:F51"/>
    <mergeCell ref="A52:F52"/>
    <mergeCell ref="B44:E44"/>
    <mergeCell ref="B45:E45"/>
    <mergeCell ref="B46:E46"/>
    <mergeCell ref="B47:E47"/>
    <mergeCell ref="B48:E48"/>
    <mergeCell ref="A53:F53"/>
    <mergeCell ref="A54:F54"/>
    <mergeCell ref="A55:F55"/>
    <mergeCell ref="A56:F56"/>
    <mergeCell ref="A57:F57"/>
    <mergeCell ref="B50:E50"/>
    <mergeCell ref="B1:C1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A39:F39"/>
    <mergeCell ref="B40:E40"/>
    <mergeCell ref="B41:E41"/>
    <mergeCell ref="B42:E42"/>
    <mergeCell ref="B43:E43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N8"/>
  <sheetViews>
    <sheetView tabSelected="1" topLeftCell="A3" zoomScale="136" zoomScaleNormal="136" workbookViewId="0">
      <selection activeCell="L5" sqref="L5"/>
    </sheetView>
  </sheetViews>
  <sheetFormatPr defaultColWidth="22.140625" defaultRowHeight="13.5"/>
  <cols>
    <col min="1" max="1" width="5.42578125" style="2" customWidth="1"/>
    <col min="2" max="2" width="22.140625" style="2"/>
    <col min="3" max="3" width="12.28515625" style="2" customWidth="1"/>
    <col min="4" max="4" width="11.85546875" style="2" bestFit="1" customWidth="1"/>
    <col min="5" max="5" width="7.42578125" style="2" customWidth="1"/>
    <col min="6" max="6" width="13.140625" style="2" bestFit="1" customWidth="1"/>
    <col min="7" max="7" width="9" style="2" customWidth="1"/>
    <col min="8" max="8" width="7.7109375" style="2" customWidth="1"/>
    <col min="9" max="9" width="8.42578125" style="2" customWidth="1"/>
    <col min="10" max="10" width="10.140625" style="2" customWidth="1"/>
    <col min="11" max="11" width="13.140625" style="2" customWidth="1"/>
    <col min="12" max="248" width="22.140625" style="2"/>
    <col min="249" max="16384" width="22.140625" style="1"/>
  </cols>
  <sheetData>
    <row r="1" spans="1:11" ht="27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95</v>
      </c>
    </row>
    <row r="2" spans="1:11" ht="40.5">
      <c r="A2" s="4">
        <v>1</v>
      </c>
      <c r="B2" s="5" t="s">
        <v>114</v>
      </c>
      <c r="C2" s="4" t="s">
        <v>115</v>
      </c>
      <c r="D2" s="4" t="s">
        <v>116</v>
      </c>
      <c r="E2" s="5" t="s">
        <v>117</v>
      </c>
      <c r="F2" s="6">
        <v>700000</v>
      </c>
      <c r="G2" s="5">
        <v>36</v>
      </c>
      <c r="H2" s="5">
        <v>31</v>
      </c>
      <c r="I2" s="5">
        <v>5</v>
      </c>
      <c r="J2" s="5">
        <v>22340</v>
      </c>
      <c r="K2" s="5" t="s">
        <v>118</v>
      </c>
    </row>
    <row r="3" spans="1:11" ht="40.5">
      <c r="A3" s="4">
        <v>2</v>
      </c>
      <c r="B3" s="5" t="s">
        <v>119</v>
      </c>
      <c r="C3" s="4" t="s">
        <v>115</v>
      </c>
      <c r="D3" s="4" t="s">
        <v>116</v>
      </c>
      <c r="E3" s="5" t="s">
        <v>117</v>
      </c>
      <c r="F3" s="6">
        <v>800000</v>
      </c>
      <c r="G3" s="5">
        <v>37</v>
      </c>
      <c r="H3" s="5">
        <v>18</v>
      </c>
      <c r="I3" s="5">
        <f>37-18</f>
        <v>19</v>
      </c>
      <c r="J3" s="5">
        <v>25254</v>
      </c>
      <c r="K3" s="5" t="s">
        <v>94</v>
      </c>
    </row>
    <row r="4" spans="1:11" ht="40.5">
      <c r="A4" s="30">
        <v>3</v>
      </c>
      <c r="B4" s="31" t="s">
        <v>120</v>
      </c>
      <c r="C4" s="30" t="s">
        <v>115</v>
      </c>
      <c r="D4" s="30" t="s">
        <v>116</v>
      </c>
      <c r="E4" s="31" t="s">
        <v>117</v>
      </c>
      <c r="F4" s="32">
        <v>800000</v>
      </c>
      <c r="G4" s="31">
        <v>36</v>
      </c>
      <c r="H4" s="31">
        <v>8</v>
      </c>
      <c r="I4" s="31">
        <f>36-8</f>
        <v>28</v>
      </c>
      <c r="J4" s="31">
        <v>25889</v>
      </c>
      <c r="K4" s="5" t="s">
        <v>94</v>
      </c>
    </row>
    <row r="5" spans="1:11" ht="40.5">
      <c r="A5" s="4">
        <v>4</v>
      </c>
      <c r="B5" s="5">
        <v>13584808</v>
      </c>
      <c r="C5" s="4" t="s">
        <v>115</v>
      </c>
      <c r="D5" s="29" t="s">
        <v>98</v>
      </c>
      <c r="E5" s="5" t="s">
        <v>96</v>
      </c>
      <c r="F5" s="6">
        <v>37459000</v>
      </c>
      <c r="G5" s="5">
        <v>120</v>
      </c>
      <c r="H5" s="5">
        <v>18</v>
      </c>
      <c r="I5" s="33">
        <f>120-18</f>
        <v>102</v>
      </c>
      <c r="J5" s="5">
        <v>484711</v>
      </c>
      <c r="K5" s="5" t="s">
        <v>94</v>
      </c>
    </row>
    <row r="6" spans="1:11" ht="40.5">
      <c r="A6" s="4">
        <v>5</v>
      </c>
      <c r="B6" s="5">
        <v>14135537</v>
      </c>
      <c r="C6" s="4" t="s">
        <v>115</v>
      </c>
      <c r="D6" s="29" t="s">
        <v>98</v>
      </c>
      <c r="E6" s="5" t="s">
        <v>96</v>
      </c>
      <c r="F6" s="6">
        <v>17941000</v>
      </c>
      <c r="G6" s="5">
        <v>120</v>
      </c>
      <c r="H6" s="5">
        <v>18</v>
      </c>
      <c r="I6" s="5">
        <v>102</v>
      </c>
      <c r="J6" s="5">
        <v>232153</v>
      </c>
      <c r="K6" s="5" t="s">
        <v>94</v>
      </c>
    </row>
    <row r="7" spans="1:11" ht="40.5">
      <c r="A7" s="4">
        <v>6</v>
      </c>
      <c r="B7" s="7">
        <v>375426</v>
      </c>
      <c r="C7" s="4" t="s">
        <v>115</v>
      </c>
      <c r="D7" s="34" t="s">
        <v>121</v>
      </c>
      <c r="E7" s="35" t="s">
        <v>96</v>
      </c>
      <c r="F7" s="35">
        <v>17587162</v>
      </c>
      <c r="G7" s="7">
        <v>120</v>
      </c>
      <c r="H7" s="7">
        <v>18</v>
      </c>
      <c r="I7" s="7">
        <v>102</v>
      </c>
      <c r="J7" s="36">
        <v>229988</v>
      </c>
      <c r="K7" s="5" t="s">
        <v>94</v>
      </c>
    </row>
    <row r="8" spans="1:11">
      <c r="A8" s="8"/>
      <c r="B8" s="4"/>
      <c r="C8" s="4"/>
      <c r="D8" s="4"/>
      <c r="E8" s="4"/>
      <c r="F8" s="4"/>
      <c r="G8" s="4"/>
      <c r="H8" s="4"/>
      <c r="I8" s="4"/>
      <c r="J8" s="4"/>
      <c r="K8" s="9">
        <f>SUMIF(K2:K7,"Y",J2:J7)</f>
        <v>997995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112" t="s">
        <v>47</v>
      </c>
      <c r="B1" s="112"/>
      <c r="C1" s="11"/>
    </row>
    <row r="2" spans="1:6" ht="14.25" customHeight="1">
      <c r="A2" s="112" t="s">
        <v>48</v>
      </c>
      <c r="B2" s="112"/>
      <c r="C2" s="11"/>
    </row>
    <row r="5" spans="1:6" ht="30">
      <c r="A5" s="12" t="s">
        <v>37</v>
      </c>
      <c r="B5" s="13" t="s">
        <v>49</v>
      </c>
      <c r="C5" s="13" t="s">
        <v>50</v>
      </c>
      <c r="D5" s="14" t="s">
        <v>51</v>
      </c>
      <c r="E5" s="10" t="s">
        <v>52</v>
      </c>
      <c r="F5" s="10" t="s">
        <v>53</v>
      </c>
    </row>
    <row r="6" spans="1:6" ht="42.75">
      <c r="A6" s="15">
        <v>1</v>
      </c>
      <c r="B6" s="16" t="s">
        <v>54</v>
      </c>
      <c r="C6" s="17" t="s">
        <v>55</v>
      </c>
      <c r="D6" s="18"/>
      <c r="E6" s="19">
        <v>0.2</v>
      </c>
      <c r="F6" s="19">
        <f t="shared" ref="F6:F12" si="0">E6/10*D6</f>
        <v>0</v>
      </c>
    </row>
    <row r="7" spans="1:6" ht="42.75">
      <c r="A7" s="15">
        <v>2</v>
      </c>
      <c r="B7" s="16" t="s">
        <v>56</v>
      </c>
      <c r="C7" s="17" t="s">
        <v>57</v>
      </c>
      <c r="D7" s="20"/>
      <c r="E7" s="19">
        <v>0.15</v>
      </c>
      <c r="F7" s="19">
        <f t="shared" si="0"/>
        <v>0</v>
      </c>
    </row>
    <row r="8" spans="1:6" ht="42.75">
      <c r="A8" s="15">
        <v>3</v>
      </c>
      <c r="B8" s="16" t="s">
        <v>58</v>
      </c>
      <c r="C8" s="17" t="s">
        <v>59</v>
      </c>
      <c r="D8" s="20"/>
      <c r="E8" s="19">
        <v>0.1</v>
      </c>
      <c r="F8" s="19">
        <f t="shared" si="0"/>
        <v>0</v>
      </c>
    </row>
    <row r="9" spans="1:6" ht="57">
      <c r="A9" s="15">
        <v>4</v>
      </c>
      <c r="B9" s="16" t="s">
        <v>60</v>
      </c>
      <c r="C9" s="21" t="s">
        <v>61</v>
      </c>
      <c r="D9" s="20"/>
      <c r="E9" s="19">
        <v>0.1</v>
      </c>
      <c r="F9" s="19">
        <f t="shared" si="0"/>
        <v>0</v>
      </c>
    </row>
    <row r="10" spans="1:6" ht="85.5">
      <c r="A10" s="15">
        <v>5</v>
      </c>
      <c r="B10" s="16" t="s">
        <v>62</v>
      </c>
      <c r="C10" s="17" t="s">
        <v>63</v>
      </c>
      <c r="D10" s="20"/>
      <c r="E10" s="19">
        <v>0.1</v>
      </c>
      <c r="F10" s="19">
        <f t="shared" si="0"/>
        <v>0</v>
      </c>
    </row>
    <row r="11" spans="1:6" ht="128.25">
      <c r="A11" s="15">
        <v>6</v>
      </c>
      <c r="B11" s="22" t="s">
        <v>64</v>
      </c>
      <c r="C11" s="23" t="s">
        <v>65</v>
      </c>
      <c r="D11" s="20"/>
      <c r="E11" s="19">
        <v>0.1</v>
      </c>
      <c r="F11" s="19">
        <f t="shared" si="0"/>
        <v>0</v>
      </c>
    </row>
    <row r="12" spans="1:6" ht="28.5">
      <c r="A12" s="15">
        <v>7</v>
      </c>
      <c r="B12" s="15" t="s">
        <v>66</v>
      </c>
      <c r="C12" s="24" t="s">
        <v>67</v>
      </c>
      <c r="D12" s="20"/>
      <c r="E12" s="19">
        <v>0.25</v>
      </c>
      <c r="F12" s="19">
        <f t="shared" si="0"/>
        <v>0</v>
      </c>
    </row>
    <row r="13" spans="1:6" ht="15">
      <c r="A13" s="25"/>
      <c r="B13" s="26" t="s">
        <v>68</v>
      </c>
      <c r="C13" s="26"/>
      <c r="D13" s="27"/>
      <c r="E13" s="28">
        <f>SUM(E6:E12)</f>
        <v>0.99999999999999989</v>
      </c>
      <c r="F13" s="28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C7:I21"/>
  <sheetViews>
    <sheetView topLeftCell="A6" workbookViewId="0">
      <selection activeCell="F22" sqref="F22"/>
    </sheetView>
  </sheetViews>
  <sheetFormatPr defaultRowHeight="12.75"/>
  <cols>
    <col min="4" max="4" width="13.140625" customWidth="1"/>
    <col min="5" max="5" width="22.42578125" customWidth="1"/>
    <col min="6" max="6" width="15.85546875" customWidth="1"/>
    <col min="7" max="7" width="16.7109375" customWidth="1"/>
    <col min="8" max="8" width="19.7109375" customWidth="1"/>
  </cols>
  <sheetData>
    <row r="7" spans="3:9">
      <c r="C7" s="37"/>
      <c r="D7" s="38" t="s">
        <v>49</v>
      </c>
      <c r="E7" s="39" t="s">
        <v>115</v>
      </c>
      <c r="F7" s="39" t="s">
        <v>122</v>
      </c>
      <c r="G7" s="39" t="s">
        <v>123</v>
      </c>
      <c r="H7" s="39" t="s">
        <v>124</v>
      </c>
      <c r="I7" s="37"/>
    </row>
    <row r="8" spans="3:9">
      <c r="C8" s="37"/>
      <c r="D8" s="40" t="s">
        <v>125</v>
      </c>
      <c r="E8" s="41">
        <v>1</v>
      </c>
      <c r="F8" s="41">
        <v>2</v>
      </c>
      <c r="G8" s="41">
        <v>3</v>
      </c>
      <c r="H8" s="41">
        <v>4</v>
      </c>
      <c r="I8" s="37"/>
    </row>
    <row r="9" spans="3:9" ht="14.25" customHeight="1">
      <c r="C9" s="37"/>
      <c r="D9" s="42" t="s">
        <v>126</v>
      </c>
      <c r="E9" s="43">
        <v>60000000</v>
      </c>
      <c r="F9" s="43">
        <v>0</v>
      </c>
      <c r="G9" s="43">
        <v>0</v>
      </c>
      <c r="H9" s="43">
        <v>0</v>
      </c>
      <c r="I9" s="37"/>
    </row>
    <row r="10" spans="3:9" ht="14.25" customHeight="1">
      <c r="C10" s="37"/>
      <c r="D10" s="42" t="s">
        <v>127</v>
      </c>
      <c r="E10" s="43">
        <v>795143359.34000003</v>
      </c>
      <c r="F10" s="43">
        <v>0</v>
      </c>
      <c r="G10" s="43">
        <v>0</v>
      </c>
      <c r="H10" s="43">
        <v>0</v>
      </c>
      <c r="I10" s="37"/>
    </row>
    <row r="11" spans="3:9" ht="14.25" customHeight="1">
      <c r="C11" s="37"/>
      <c r="D11" s="42" t="s">
        <v>128</v>
      </c>
      <c r="E11" s="43">
        <v>12549568.470000001</v>
      </c>
      <c r="F11" s="43">
        <v>0</v>
      </c>
      <c r="G11" s="43">
        <v>0</v>
      </c>
      <c r="H11" s="43">
        <v>0</v>
      </c>
      <c r="I11" s="37"/>
    </row>
    <row r="12" spans="3:9" ht="14.25" customHeight="1">
      <c r="C12" s="37"/>
      <c r="D12" s="44" t="s">
        <v>129</v>
      </c>
      <c r="E12" s="45">
        <f>MAX(E11,IF(E9&gt;7500000,E10*10.25%,E10*10.25%))/12</f>
        <v>6791849.5276958337</v>
      </c>
      <c r="F12" s="45">
        <f>MIN(F11,IF(F9&gt;7500000,F10*7%,F10*10%))/12</f>
        <v>0</v>
      </c>
      <c r="G12" s="45">
        <f>MIN(G11,IF(G9&gt;7500000,G10*7%,G10*10%))/12</f>
        <v>0</v>
      </c>
      <c r="H12" s="45">
        <f>MIN(H11,IF(H9&gt;7500000,H10*7%,H10*10%))/12</f>
        <v>0</v>
      </c>
      <c r="I12" s="37"/>
    </row>
    <row r="13" spans="3:9" ht="14.25" customHeight="1">
      <c r="C13" s="37"/>
      <c r="D13" s="44" t="s">
        <v>130</v>
      </c>
      <c r="E13" s="45">
        <f>E12</f>
        <v>6791849.5276958337</v>
      </c>
      <c r="F13" s="45">
        <f>F12</f>
        <v>0</v>
      </c>
      <c r="G13" s="45">
        <f>G12</f>
        <v>0</v>
      </c>
      <c r="H13" s="45">
        <f>H12</f>
        <v>0</v>
      </c>
      <c r="I13" s="37"/>
    </row>
    <row r="14" spans="3:9" ht="14.25" customHeight="1">
      <c r="C14" s="37"/>
      <c r="D14" s="42" t="s">
        <v>131</v>
      </c>
      <c r="E14" s="43">
        <v>60</v>
      </c>
      <c r="F14" s="43">
        <v>60</v>
      </c>
      <c r="G14" s="43">
        <v>0</v>
      </c>
      <c r="H14" s="43">
        <v>0</v>
      </c>
      <c r="I14" s="37"/>
    </row>
    <row r="15" spans="3:9" ht="14.25" customHeight="1">
      <c r="C15" s="37"/>
      <c r="D15" s="44" t="s">
        <v>138</v>
      </c>
      <c r="E15" s="45">
        <f>E13*E14%</f>
        <v>4075109.7166174999</v>
      </c>
      <c r="F15" s="45">
        <f>F13*F14%</f>
        <v>0</v>
      </c>
      <c r="G15" s="45">
        <f>G13*G14%</f>
        <v>0</v>
      </c>
      <c r="H15" s="45">
        <f>H13*H14%</f>
        <v>0</v>
      </c>
      <c r="I15" s="37"/>
    </row>
    <row r="16" spans="3:9" ht="14.25" customHeight="1">
      <c r="C16" s="37"/>
      <c r="D16" s="46" t="s">
        <v>132</v>
      </c>
      <c r="E16" s="47">
        <f>RTR!K8</f>
        <v>997995</v>
      </c>
      <c r="F16" s="47">
        <v>0</v>
      </c>
      <c r="G16" s="47">
        <v>0</v>
      </c>
      <c r="H16" s="47">
        <v>0</v>
      </c>
      <c r="I16" s="37"/>
    </row>
    <row r="17" spans="3:9" ht="14.25" customHeight="1">
      <c r="C17" s="37"/>
      <c r="D17" s="44" t="s">
        <v>133</v>
      </c>
      <c r="E17" s="45">
        <f>E15-E16</f>
        <v>3077114.7166174999</v>
      </c>
      <c r="F17" s="45">
        <f>F15-F16</f>
        <v>0</v>
      </c>
      <c r="G17" s="45">
        <f>G15-G16</f>
        <v>0</v>
      </c>
      <c r="H17" s="45">
        <f>H15-H16</f>
        <v>0</v>
      </c>
      <c r="I17" s="37"/>
    </row>
    <row r="18" spans="3:9" ht="14.25" customHeight="1">
      <c r="C18" s="37"/>
      <c r="D18" s="48" t="s">
        <v>134</v>
      </c>
      <c r="E18" s="43">
        <v>10</v>
      </c>
      <c r="F18" s="43">
        <v>0.11</v>
      </c>
      <c r="G18" s="43">
        <v>0.11</v>
      </c>
      <c r="H18" s="43">
        <v>0.11</v>
      </c>
      <c r="I18" s="37"/>
    </row>
    <row r="19" spans="3:9" ht="14.25" customHeight="1">
      <c r="C19" s="37"/>
      <c r="D19" s="48" t="s">
        <v>135</v>
      </c>
      <c r="E19" s="43">
        <v>180</v>
      </c>
      <c r="F19" s="43">
        <v>180</v>
      </c>
      <c r="G19" s="43">
        <v>240</v>
      </c>
      <c r="H19" s="43">
        <v>240</v>
      </c>
      <c r="I19" s="37"/>
    </row>
    <row r="20" spans="3:9" ht="14.25" customHeight="1">
      <c r="C20" s="37"/>
      <c r="D20" s="44" t="s">
        <v>136</v>
      </c>
      <c r="E20" s="45">
        <v>1074.6099999999999</v>
      </c>
      <c r="F20" s="45">
        <f>(PMT(F18/12,F19,-100000))</f>
        <v>1136.5969345560843</v>
      </c>
      <c r="G20" s="45">
        <f>(PMT(G18/12,G19,-100000))</f>
        <v>1032.188392376054</v>
      </c>
      <c r="H20" s="45">
        <f>(PMT(H18/12,H19,-100000))</f>
        <v>1032.188392376054</v>
      </c>
      <c r="I20" s="37"/>
    </row>
    <row r="21" spans="3:9" ht="14.25" customHeight="1">
      <c r="C21" s="37"/>
      <c r="D21" s="49" t="s">
        <v>137</v>
      </c>
      <c r="E21" s="50">
        <f>(E17/E20)*100000</f>
        <v>286347113.52188236</v>
      </c>
      <c r="F21" s="50">
        <f>(F17/F20)*100000</f>
        <v>0</v>
      </c>
      <c r="G21" s="50">
        <f>(G17/G20)*100000</f>
        <v>0</v>
      </c>
      <c r="H21" s="50">
        <f>(H17/H20)*100000</f>
        <v>0</v>
      </c>
      <c r="I21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GTO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2017-09-05T09:41:13Z</cp:lastPrinted>
  <dcterms:created xsi:type="dcterms:W3CDTF">2015-09-25T09:25:31Z</dcterms:created>
  <dcterms:modified xsi:type="dcterms:W3CDTF">2019-09-13T12:00:08Z</dcterms:modified>
</cp:coreProperties>
</file>