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/>
  <c r="I4"/>
  <c r="C21"/>
  <c r="B21"/>
  <c r="D22"/>
  <c r="F22" s="1"/>
  <c r="D20"/>
  <c r="F20" s="1"/>
  <c r="C17"/>
  <c r="B17"/>
  <c r="D18"/>
  <c r="F18" s="1"/>
  <c r="C14"/>
  <c r="B14"/>
  <c r="D15"/>
  <c r="F15" s="1"/>
  <c r="D13"/>
  <c r="F13" s="1"/>
  <c r="C6"/>
  <c r="C9"/>
  <c r="C8"/>
  <c r="B6"/>
  <c r="B9"/>
  <c r="B8"/>
  <c r="J4" i="2"/>
  <c r="K3"/>
  <c r="M9"/>
  <c r="D7" i="1"/>
  <c r="F7" s="1"/>
  <c r="D10"/>
  <c r="F10" s="1"/>
  <c r="D11"/>
  <c r="F11" s="1"/>
  <c r="D5"/>
  <c r="F5" s="1"/>
  <c r="D4"/>
  <c r="F4" s="1"/>
  <c r="D3"/>
  <c r="F3" s="1"/>
  <c r="F30"/>
  <c r="D21" l="1"/>
  <c r="F21" s="1"/>
  <c r="D17"/>
  <c r="F17" s="1"/>
  <c r="D6"/>
  <c r="F6" s="1"/>
  <c r="D14"/>
  <c r="F14" s="1"/>
  <c r="D9"/>
  <c r="F9" s="1"/>
  <c r="D8"/>
  <c r="F8" s="1"/>
  <c r="F23" s="1"/>
  <c r="E13" i="5" l="1"/>
  <c r="F12"/>
  <c r="F11"/>
  <c r="F10"/>
  <c r="F9"/>
  <c r="F8"/>
  <c r="F7"/>
  <c r="F6"/>
  <c r="F25" i="1"/>
  <c r="F24" l="1"/>
  <c r="F27" s="1"/>
  <c r="F31" s="1"/>
  <c r="F13" i="5"/>
</calcChain>
</file>

<file path=xl/sharedStrings.xml><?xml version="1.0" encoding="utf-8"?>
<sst xmlns="http://schemas.openxmlformats.org/spreadsheetml/2006/main" count="119" uniqueCount="81">
  <si>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</si>
  <si>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</si>
  <si>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</si>
  <si>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</si>
  <si>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</si>
  <si>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</si>
  <si>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</si>
  <si>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</si>
  <si>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</si>
  <si>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</si>
  <si>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</si>
  <si>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</si>
  <si>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</si>
  <si>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</si>
  <si>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</si>
  <si>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</si>
  <si>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</si>
  <si>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</si>
  <si>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</si>
  <si>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</si>
  <si>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</si>
  <si>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</si>
  <si>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</si>
  <si>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</si>
  <si>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</si>
  <si>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</si>
  <si>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</si>
  <si>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</si>
  <si>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</si>
  <si>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</si>
  <si>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</si>
  <si>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</si>
  <si>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</si>
  <si>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</si>
  <si>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</si>
  <si>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</si>
  <si>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</si>
  <si>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</si>
  <si>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</si>
  <si>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</si>
  <si>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</si>
  <si>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</si>
  <si>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</si>
  <si>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</si>
  <si>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</si>
  <si>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</si>
  <si>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</si>
  <si>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</si>
  <si>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</si>
  <si>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Loan Start Date</t>
  </si>
  <si>
    <t xml:space="preserve">Max FOIR            </t>
  </si>
  <si>
    <t>Payment made u/s 40A(2)b</t>
  </si>
  <si>
    <t>Bank Interest</t>
  </si>
  <si>
    <t xml:space="preserve"> </t>
  </si>
  <si>
    <t>n</t>
  </si>
  <si>
    <t>2020-21</t>
  </si>
  <si>
    <t>POS</t>
  </si>
  <si>
    <t>Income from other sources</t>
  </si>
  <si>
    <t>Payment made u/s 40A(2)b (Not in deal)</t>
  </si>
  <si>
    <t>Interest on car loan</t>
  </si>
  <si>
    <t>Interest on unsecured loans</t>
  </si>
  <si>
    <t>Car Loan</t>
  </si>
  <si>
    <t>Income from salary</t>
  </si>
  <si>
    <t>Main Firm</t>
  </si>
  <si>
    <t>PNB</t>
  </si>
  <si>
    <t>Pearl Polymers</t>
  </si>
  <si>
    <t>AUR004202011963</t>
  </si>
  <si>
    <t>Axis Bank</t>
  </si>
  <si>
    <t>AUR004204534331</t>
  </si>
  <si>
    <t>CF-14899799</t>
  </si>
  <si>
    <t>Kotak</t>
  </si>
  <si>
    <t>Repayment account no</t>
  </si>
  <si>
    <t>Limit</t>
  </si>
  <si>
    <t>Partner's Remuneration</t>
  </si>
  <si>
    <t>Narinder Nath Nagrath</t>
  </si>
  <si>
    <t>Business Income u/s 44AD</t>
  </si>
  <si>
    <t>Manmohan Khanna</t>
  </si>
  <si>
    <t>Geeta Nagrath</t>
  </si>
  <si>
    <t>Sale as on 31 mar 19</t>
  </si>
  <si>
    <t>Sale as on 31 mar 20</t>
  </si>
  <si>
    <t>Sale as on 31 mar 21</t>
  </si>
</sst>
</file>

<file path=xl/styles.xml><?xml version="1.0" encoding="utf-8"?>
<styleSheet xmlns="http://schemas.openxmlformats.org/spreadsheetml/2006/main">
  <numFmts count="5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  <numFmt numFmtId="168" formatCode="[$-409]d\-mmm\-yy;@"/>
  </numFmts>
  <fonts count="20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Cambria"/>
      <family val="1"/>
      <scheme val="maj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2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1" fillId="0" borderId="0"/>
  </cellStyleXfs>
  <cellXfs count="70">
    <xf numFmtId="0" fontId="0" fillId="0" borderId="0" xfId="0"/>
    <xf numFmtId="0" fontId="3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2" borderId="1" xfId="0" applyFont="1" applyFill="1" applyBorder="1" applyAlignment="1" applyProtection="1">
      <alignment vertical="top" wrapText="1"/>
      <protection hidden="1"/>
    </xf>
    <xf numFmtId="0" fontId="3" fillId="2" borderId="1" xfId="0" applyFont="1" applyFill="1" applyBorder="1" applyAlignment="1" applyProtection="1">
      <alignment vertical="top" wrapText="1"/>
      <protection hidden="1"/>
    </xf>
    <xf numFmtId="0" fontId="3" fillId="2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vertical="top" wrapText="1"/>
      <protection hidden="1"/>
    </xf>
    <xf numFmtId="0" fontId="3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3" borderId="1" xfId="2" applyNumberFormat="1" applyFont="1" applyFill="1" applyBorder="1" applyAlignment="1" applyProtection="1">
      <alignment horizontal="left" vertical="top" wrapText="1"/>
      <protection hidden="1"/>
    </xf>
    <xf numFmtId="0" fontId="12" fillId="5" borderId="0" xfId="3" applyFont="1" applyFill="1" applyBorder="1" applyAlignment="1">
      <alignment horizontal="left" vertical="top"/>
    </xf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13" fillId="7" borderId="2" xfId="1" applyNumberFormat="1" applyFont="1" applyFill="1" applyBorder="1" applyAlignment="1" applyProtection="1">
      <alignment horizontal="left" vertical="center"/>
    </xf>
    <xf numFmtId="164" fontId="14" fillId="7" borderId="2" xfId="1" applyNumberFormat="1" applyFont="1" applyFill="1" applyBorder="1" applyAlignment="1" applyProtection="1">
      <alignment vertical="center"/>
    </xf>
    <xf numFmtId="164" fontId="14" fillId="7" borderId="2" xfId="1" applyNumberFormat="1" applyFont="1" applyFill="1" applyBorder="1" applyAlignment="1" applyProtection="1">
      <alignment horizontal="left" vertical="center"/>
    </xf>
    <xf numFmtId="164" fontId="14" fillId="5" borderId="2" xfId="1" applyNumberFormat="1" applyFont="1" applyFill="1" applyBorder="1" applyAlignment="1" applyProtection="1">
      <alignment horizontal="left" vertical="center"/>
    </xf>
    <xf numFmtId="166" fontId="15" fillId="6" borderId="2" xfId="1" applyNumberFormat="1" applyFont="1" applyFill="1" applyBorder="1" applyAlignment="1" applyProtection="1">
      <alignment horizontal="left" vertical="center"/>
    </xf>
    <xf numFmtId="166" fontId="15" fillId="4" borderId="2" xfId="1" applyNumberFormat="1" applyFont="1" applyFill="1" applyBorder="1" applyAlignment="1" applyProtection="1">
      <alignment horizontal="left" vertical="center"/>
    </xf>
    <xf numFmtId="164" fontId="14" fillId="5" borderId="2" xfId="1" applyNumberFormat="1" applyFont="1" applyFill="1" applyBorder="1" applyAlignment="1" applyProtection="1">
      <alignment horizontal="left" vertical="top"/>
    </xf>
    <xf numFmtId="9" fontId="14" fillId="5" borderId="2" xfId="1" applyNumberFormat="1" applyFont="1" applyFill="1" applyBorder="1" applyAlignment="1" applyProtection="1">
      <alignment horizontal="left" vertical="top"/>
    </xf>
    <xf numFmtId="164" fontId="14" fillId="0" borderId="2" xfId="1" applyNumberFormat="1" applyFont="1" applyFill="1" applyBorder="1" applyAlignment="1" applyProtection="1">
      <alignment horizontal="left" vertical="top"/>
    </xf>
    <xf numFmtId="0" fontId="14" fillId="0" borderId="2" xfId="0" applyNumberFormat="1" applyFont="1" applyFill="1" applyBorder="1" applyAlignment="1"/>
    <xf numFmtId="164" fontId="14" fillId="0" borderId="2" xfId="1" applyNumberFormat="1" applyFont="1" applyFill="1" applyBorder="1" applyAlignment="1" applyProtection="1">
      <alignment vertical="center"/>
    </xf>
    <xf numFmtId="10" fontId="14" fillId="0" borderId="2" xfId="1" applyNumberFormat="1" applyFont="1" applyFill="1" applyBorder="1" applyAlignment="1" applyProtection="1">
      <alignment horizontal="left" vertical="top"/>
    </xf>
    <xf numFmtId="164" fontId="13" fillId="9" borderId="2" xfId="1" applyNumberFormat="1" applyFont="1" applyFill="1" applyBorder="1" applyAlignment="1" applyProtection="1">
      <alignment horizontal="left" vertical="center"/>
    </xf>
    <xf numFmtId="9" fontId="13" fillId="9" borderId="2" xfId="1" applyNumberFormat="1" applyFont="1" applyFill="1" applyBorder="1" applyAlignment="1" applyProtection="1">
      <alignment horizontal="left" vertical="center"/>
    </xf>
    <xf numFmtId="165" fontId="13" fillId="9" borderId="2" xfId="1" applyFont="1" applyFill="1" applyBorder="1" applyAlignment="1" applyProtection="1">
      <alignment horizontal="left" vertical="top"/>
    </xf>
    <xf numFmtId="0" fontId="13" fillId="9" borderId="2" xfId="0" applyNumberFormat="1" applyFont="1" applyFill="1" applyBorder="1" applyAlignment="1"/>
    <xf numFmtId="167" fontId="13" fillId="9" borderId="2" xfId="1" applyNumberFormat="1" applyFont="1" applyFill="1" applyBorder="1" applyAlignment="1" applyProtection="1">
      <alignment horizontal="left" vertical="top"/>
    </xf>
    <xf numFmtId="164" fontId="13" fillId="9" borderId="2" xfId="1" applyNumberFormat="1" applyFont="1" applyFill="1" applyBorder="1" applyAlignment="1" applyProtection="1">
      <alignment horizontal="left" vertical="top"/>
    </xf>
    <xf numFmtId="2" fontId="13" fillId="9" borderId="2" xfId="5" applyNumberFormat="1" applyFont="1" applyFill="1" applyBorder="1" applyAlignment="1" applyProtection="1">
      <alignment horizontal="left" vertical="top"/>
    </xf>
    <xf numFmtId="165" fontId="13" fillId="9" borderId="2" xfId="5" applyNumberFormat="1" applyFont="1" applyFill="1" applyBorder="1" applyAlignment="1" applyProtection="1">
      <alignment horizontal="left" vertical="top"/>
    </xf>
    <xf numFmtId="0" fontId="16" fillId="7" borderId="2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left"/>
    </xf>
    <xf numFmtId="0" fontId="17" fillId="0" borderId="0" xfId="0" applyFont="1" applyAlignment="1">
      <alignment horizontal="left"/>
    </xf>
    <xf numFmtId="1" fontId="17" fillId="4" borderId="2" xfId="0" applyNumberFormat="1" applyFont="1" applyFill="1" applyBorder="1" applyAlignment="1">
      <alignment horizontal="left" vertical="center" wrapText="1"/>
    </xf>
    <xf numFmtId="168" fontId="17" fillId="4" borderId="2" xfId="0" applyNumberFormat="1" applyFont="1" applyFill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 wrapText="1"/>
    </xf>
    <xf numFmtId="1" fontId="19" fillId="0" borderId="2" xfId="0" applyNumberFormat="1" applyFont="1" applyBorder="1" applyAlignment="1">
      <alignment horizontal="left" vertical="center" wrapText="1"/>
    </xf>
    <xf numFmtId="1" fontId="18" fillId="5" borderId="2" xfId="0" applyNumberFormat="1" applyFont="1" applyFill="1" applyBorder="1" applyAlignment="1">
      <alignment horizontal="left" vertical="center"/>
    </xf>
    <xf numFmtId="0" fontId="14" fillId="5" borderId="2" xfId="3" applyFont="1" applyFill="1" applyBorder="1" applyAlignment="1">
      <alignment horizontal="left" vertical="top"/>
    </xf>
    <xf numFmtId="1" fontId="19" fillId="0" borderId="2" xfId="0" applyNumberFormat="1" applyFont="1" applyFill="1" applyBorder="1" applyAlignment="1">
      <alignment horizontal="left" vertical="center" wrapText="1"/>
    </xf>
    <xf numFmtId="0" fontId="17" fillId="4" borderId="2" xfId="0" applyFont="1" applyFill="1" applyBorder="1" applyAlignment="1">
      <alignment horizontal="left" vertical="center" wrapText="1"/>
    </xf>
    <xf numFmtId="2" fontId="17" fillId="6" borderId="2" xfId="0" applyNumberFormat="1" applyFont="1" applyFill="1" applyBorder="1" applyAlignment="1">
      <alignment horizontal="left" vertical="center"/>
    </xf>
    <xf numFmtId="0" fontId="17" fillId="4" borderId="0" xfId="0" applyFont="1" applyFill="1" applyBorder="1" applyAlignment="1">
      <alignment horizontal="left"/>
    </xf>
    <xf numFmtId="0" fontId="17" fillId="4" borderId="0" xfId="0" applyFont="1" applyFill="1" applyAlignment="1">
      <alignment horizontal="left"/>
    </xf>
    <xf numFmtId="0" fontId="2" fillId="0" borderId="2" xfId="0" applyFont="1" applyFill="1" applyBorder="1" applyAlignment="1">
      <alignment horizontal="left" vertical="center" wrapText="1"/>
    </xf>
    <xf numFmtId="1" fontId="2" fillId="4" borderId="2" xfId="0" applyNumberFormat="1" applyFont="1" applyFill="1" applyBorder="1" applyAlignment="1">
      <alignment horizontal="left" vertical="center" wrapText="1"/>
    </xf>
    <xf numFmtId="2" fontId="2" fillId="5" borderId="2" xfId="0" applyNumberFormat="1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 wrapText="1"/>
    </xf>
    <xf numFmtId="168" fontId="2" fillId="4" borderId="2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 applyProtection="1">
      <alignment horizontal="center" vertical="top" wrapText="1"/>
      <protection hidden="1"/>
    </xf>
    <xf numFmtId="0" fontId="17" fillId="0" borderId="2" xfId="0" applyFont="1" applyBorder="1" applyAlignment="1">
      <alignment horizontal="left"/>
    </xf>
    <xf numFmtId="0" fontId="17" fillId="4" borderId="2" xfId="0" applyFont="1" applyFill="1" applyBorder="1" applyAlignment="1">
      <alignment horizontal="left"/>
    </xf>
    <xf numFmtId="0" fontId="18" fillId="8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 vertical="center" wrapText="1"/>
    </xf>
    <xf numFmtId="1" fontId="1" fillId="4" borderId="2" xfId="0" applyNumberFormat="1" applyFont="1" applyFill="1" applyBorder="1" applyAlignment="1">
      <alignment horizontal="left" vertical="center" wrapText="1"/>
    </xf>
    <xf numFmtId="9" fontId="14" fillId="5" borderId="2" xfId="3" applyNumberFormat="1" applyFont="1" applyFill="1" applyBorder="1" applyAlignment="1">
      <alignment horizontal="left" vertical="top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D31"/>
  <sheetViews>
    <sheetView tabSelected="1" zoomScale="160" zoomScaleNormal="160" workbookViewId="0">
      <selection activeCell="E9" sqref="E9"/>
    </sheetView>
  </sheetViews>
  <sheetFormatPr defaultColWidth="31.28515625" defaultRowHeight="12"/>
  <cols>
    <col min="1" max="1" width="29.7109375" style="20" bestFit="1" customWidth="1"/>
    <col min="2" max="4" width="8.140625" style="20" bestFit="1" customWidth="1"/>
    <col min="5" max="5" width="7.140625" style="20" bestFit="1" customWidth="1"/>
    <col min="6" max="6" width="12.5703125" style="20" bestFit="1" customWidth="1"/>
    <col min="7" max="7" width="14.140625" style="20" customWidth="1"/>
    <col min="8" max="8" width="16.5703125" style="20" bestFit="1" customWidth="1"/>
    <col min="9" max="9" width="12" style="20" customWidth="1"/>
    <col min="10" max="10" width="11" style="20" customWidth="1"/>
    <col min="11" max="11" width="11.5703125" style="20" customWidth="1"/>
    <col min="12" max="12" width="12" style="20" customWidth="1"/>
    <col min="13" max="230" width="31.28515625" style="20"/>
    <col min="231" max="238" width="31.28515625" style="21"/>
    <col min="239" max="16384" width="31.28515625" style="22"/>
  </cols>
  <sheetData>
    <row r="1" spans="1:9" ht="11.25" customHeight="1">
      <c r="A1" s="23" t="s">
        <v>65</v>
      </c>
      <c r="B1" s="24"/>
      <c r="C1" s="24"/>
      <c r="D1" s="25"/>
      <c r="E1" s="25"/>
      <c r="F1" s="25"/>
    </row>
    <row r="2" spans="1:9" ht="11.25" customHeight="1">
      <c r="A2" s="23" t="s">
        <v>65</v>
      </c>
      <c r="B2" s="35" t="s">
        <v>55</v>
      </c>
      <c r="C2" s="35" t="s">
        <v>46</v>
      </c>
      <c r="D2" s="35" t="s">
        <v>0</v>
      </c>
      <c r="E2" s="36" t="s">
        <v>1</v>
      </c>
      <c r="F2" s="35" t="s">
        <v>2</v>
      </c>
      <c r="H2" s="52" t="s">
        <v>78</v>
      </c>
      <c r="I2" s="52">
        <v>802131637</v>
      </c>
    </row>
    <row r="3" spans="1:9" ht="11.25" customHeight="1">
      <c r="A3" s="26" t="s">
        <v>47</v>
      </c>
      <c r="B3" s="27">
        <v>20746971</v>
      </c>
      <c r="C3" s="28">
        <v>19830173</v>
      </c>
      <c r="D3" s="29">
        <f>AVERAGE(B3:C3)</f>
        <v>20288572</v>
      </c>
      <c r="E3" s="30">
        <v>1</v>
      </c>
      <c r="F3" s="29">
        <f t="shared" ref="F3:F11" si="0">E3*D3</f>
        <v>20288572</v>
      </c>
      <c r="H3" s="52" t="s">
        <v>79</v>
      </c>
      <c r="I3" s="52">
        <f>675282988+8788326</f>
        <v>684071314</v>
      </c>
    </row>
    <row r="4" spans="1:9" ht="11.25" customHeight="1">
      <c r="A4" s="26" t="s">
        <v>48</v>
      </c>
      <c r="B4" s="27">
        <v>10123875</v>
      </c>
      <c r="C4" s="28">
        <v>13299017</v>
      </c>
      <c r="D4" s="29">
        <f t="shared" ref="D4:D11" si="1">AVERAGE(B4:C4)</f>
        <v>11711446</v>
      </c>
      <c r="E4" s="30">
        <v>1</v>
      </c>
      <c r="F4" s="29">
        <f t="shared" si="0"/>
        <v>11711446</v>
      </c>
      <c r="H4" s="52" t="s">
        <v>80</v>
      </c>
      <c r="I4" s="52">
        <f>0+18763241+44981313+55429659+53804762+69266293+74500022+59697509+66609433+67469147+73137600+78774869+68827995</f>
        <v>731261843</v>
      </c>
    </row>
    <row r="5" spans="1:9" ht="11.25" customHeight="1">
      <c r="A5" s="26" t="s">
        <v>52</v>
      </c>
      <c r="B5" s="27">
        <v>3946296</v>
      </c>
      <c r="C5" s="28">
        <v>2741842</v>
      </c>
      <c r="D5" s="29">
        <f t="shared" si="1"/>
        <v>3344069</v>
      </c>
      <c r="E5" s="30">
        <v>0</v>
      </c>
      <c r="F5" s="29">
        <f t="shared" si="0"/>
        <v>0</v>
      </c>
    </row>
    <row r="6" spans="1:9" ht="11.25" customHeight="1">
      <c r="A6" s="26" t="s">
        <v>59</v>
      </c>
      <c r="B6" s="27">
        <f>177600+148851</f>
        <v>326451</v>
      </c>
      <c r="C6" s="28">
        <f>218750+189043</f>
        <v>407793</v>
      </c>
      <c r="D6" s="29">
        <f t="shared" si="1"/>
        <v>367122</v>
      </c>
      <c r="E6" s="30">
        <v>1</v>
      </c>
      <c r="F6" s="29">
        <f t="shared" si="0"/>
        <v>367122</v>
      </c>
    </row>
    <row r="7" spans="1:9" ht="11.25" customHeight="1">
      <c r="A7" s="26" t="s">
        <v>60</v>
      </c>
      <c r="B7" s="27">
        <v>4075899</v>
      </c>
      <c r="C7" s="28">
        <v>4129975</v>
      </c>
      <c r="D7" s="29">
        <f t="shared" si="1"/>
        <v>4102937</v>
      </c>
      <c r="E7" s="30">
        <v>0</v>
      </c>
      <c r="F7" s="29">
        <f t="shared" si="0"/>
        <v>0</v>
      </c>
      <c r="H7" s="52" t="s">
        <v>65</v>
      </c>
      <c r="I7" s="52" t="s">
        <v>63</v>
      </c>
    </row>
    <row r="8" spans="1:9" ht="11.25" customHeight="1">
      <c r="A8" s="26" t="s">
        <v>51</v>
      </c>
      <c r="B8" s="27">
        <f>314455+690000+4762834+3345235+759428+900000</f>
        <v>10771952</v>
      </c>
      <c r="C8" s="28">
        <f>381338+600000+4191894+4105782+445485</f>
        <v>9724499</v>
      </c>
      <c r="D8" s="29">
        <f t="shared" ref="D8" si="2">AVERAGE(B8:C8)</f>
        <v>10248225.5</v>
      </c>
      <c r="E8" s="30">
        <v>1</v>
      </c>
      <c r="F8" s="29">
        <f t="shared" ref="F8" si="3">E8*D8</f>
        <v>10248225.5</v>
      </c>
      <c r="H8" s="52" t="s">
        <v>74</v>
      </c>
      <c r="I8" s="69">
        <v>0.75</v>
      </c>
    </row>
    <row r="9" spans="1:9" ht="11.25" customHeight="1">
      <c r="A9" s="26" t="s">
        <v>58</v>
      </c>
      <c r="B9" s="27">
        <f>726320+900000+62734</f>
        <v>1689054</v>
      </c>
      <c r="C9" s="28">
        <f>393337+240000+240000+300000</f>
        <v>1173337</v>
      </c>
      <c r="D9" s="29">
        <f t="shared" si="1"/>
        <v>1431195.5</v>
      </c>
      <c r="E9" s="30">
        <v>0</v>
      </c>
      <c r="F9" s="29">
        <f t="shared" si="0"/>
        <v>0</v>
      </c>
      <c r="H9" s="52" t="s">
        <v>77</v>
      </c>
      <c r="I9" s="69">
        <v>0.1</v>
      </c>
    </row>
    <row r="10" spans="1:9" ht="11.25" customHeight="1">
      <c r="A10" s="26" t="s">
        <v>73</v>
      </c>
      <c r="B10" s="27">
        <v>2490000</v>
      </c>
      <c r="C10" s="27">
        <v>5412054</v>
      </c>
      <c r="D10" s="29">
        <f t="shared" ref="D10" si="4">AVERAGE(B10:C10)</f>
        <v>3951027</v>
      </c>
      <c r="E10" s="30">
        <v>1</v>
      </c>
      <c r="F10" s="29">
        <f t="shared" ref="F10" si="5">E10*D10</f>
        <v>3951027</v>
      </c>
      <c r="H10" s="52" t="s">
        <v>76</v>
      </c>
      <c r="I10" s="69">
        <v>0.05</v>
      </c>
    </row>
    <row r="11" spans="1:9" ht="10.5" customHeight="1">
      <c r="A11" s="26" t="s">
        <v>3</v>
      </c>
      <c r="B11" s="27">
        <v>-7347482</v>
      </c>
      <c r="C11" s="27">
        <v>-7095991</v>
      </c>
      <c r="D11" s="29">
        <f t="shared" si="1"/>
        <v>-7221736.5</v>
      </c>
      <c r="E11" s="30">
        <v>1</v>
      </c>
      <c r="F11" s="29">
        <f t="shared" si="0"/>
        <v>-7221736.5</v>
      </c>
    </row>
    <row r="12" spans="1:9" ht="11.25" customHeight="1">
      <c r="A12" s="23" t="s">
        <v>74</v>
      </c>
      <c r="B12" s="35" t="s">
        <v>55</v>
      </c>
      <c r="C12" s="35" t="s">
        <v>46</v>
      </c>
      <c r="D12" s="35" t="s">
        <v>0</v>
      </c>
      <c r="E12" s="36" t="s">
        <v>1</v>
      </c>
      <c r="F12" s="35" t="s">
        <v>2</v>
      </c>
    </row>
    <row r="13" spans="1:9" ht="11.25" customHeight="1">
      <c r="A13" s="26" t="s">
        <v>75</v>
      </c>
      <c r="B13" s="27">
        <v>344974</v>
      </c>
      <c r="C13" s="28">
        <v>411901</v>
      </c>
      <c r="D13" s="29">
        <f t="shared" ref="D13:D15" si="6">AVERAGE(B13:C13)</f>
        <v>378437.5</v>
      </c>
      <c r="E13" s="30">
        <v>0</v>
      </c>
      <c r="F13" s="29">
        <f t="shared" ref="F13:F15" si="7">E13*D13</f>
        <v>0</v>
      </c>
    </row>
    <row r="14" spans="1:9" ht="11.25" customHeight="1">
      <c r="A14" s="26" t="s">
        <v>57</v>
      </c>
      <c r="B14" s="27">
        <f>81528+7404+2780+858</f>
        <v>92570</v>
      </c>
      <c r="C14" s="28">
        <f>15693+9451+3152+858</f>
        <v>29154</v>
      </c>
      <c r="D14" s="29">
        <f t="shared" si="6"/>
        <v>60862</v>
      </c>
      <c r="E14" s="30">
        <v>0</v>
      </c>
      <c r="F14" s="29">
        <f t="shared" si="7"/>
        <v>0</v>
      </c>
    </row>
    <row r="15" spans="1:9" ht="10.5" customHeight="1">
      <c r="A15" s="26" t="s">
        <v>3</v>
      </c>
      <c r="B15" s="27">
        <v>-1989628</v>
      </c>
      <c r="C15" s="27">
        <v>-2068938</v>
      </c>
      <c r="D15" s="29">
        <f t="shared" si="6"/>
        <v>-2029283</v>
      </c>
      <c r="E15" s="30">
        <v>1</v>
      </c>
      <c r="F15" s="29">
        <f t="shared" si="7"/>
        <v>-2029283</v>
      </c>
    </row>
    <row r="16" spans="1:9" ht="11.25" customHeight="1">
      <c r="A16" s="23" t="s">
        <v>76</v>
      </c>
      <c r="B16" s="35" t="s">
        <v>55</v>
      </c>
      <c r="C16" s="35" t="s">
        <v>46</v>
      </c>
      <c r="D16" s="35" t="s">
        <v>0</v>
      </c>
      <c r="E16" s="36" t="s">
        <v>1</v>
      </c>
      <c r="F16" s="35" t="s">
        <v>2</v>
      </c>
    </row>
    <row r="17" spans="1:6" ht="11.25" customHeight="1">
      <c r="A17" s="26" t="s">
        <v>57</v>
      </c>
      <c r="B17" s="27">
        <f>4696+1831</f>
        <v>6527</v>
      </c>
      <c r="C17" s="28">
        <f>29750+852+3200</f>
        <v>33802</v>
      </c>
      <c r="D17" s="29">
        <f t="shared" ref="D17:D18" si="8">AVERAGE(B17:C17)</f>
        <v>20164.5</v>
      </c>
      <c r="E17" s="30">
        <v>0</v>
      </c>
      <c r="F17" s="29">
        <f t="shared" ref="F17:F18" si="9">E17*D17</f>
        <v>0</v>
      </c>
    </row>
    <row r="18" spans="1:6" ht="10.5" customHeight="1">
      <c r="A18" s="26" t="s">
        <v>3</v>
      </c>
      <c r="B18" s="27">
        <v>-53085</v>
      </c>
      <c r="C18" s="27">
        <v>-36801</v>
      </c>
      <c r="D18" s="29">
        <f t="shared" si="8"/>
        <v>-44943</v>
      </c>
      <c r="E18" s="30">
        <v>1</v>
      </c>
      <c r="F18" s="29">
        <f t="shared" si="9"/>
        <v>-44943</v>
      </c>
    </row>
    <row r="19" spans="1:6" ht="11.25" customHeight="1">
      <c r="A19" s="23" t="s">
        <v>77</v>
      </c>
      <c r="B19" s="35" t="s">
        <v>55</v>
      </c>
      <c r="C19" s="35" t="s">
        <v>46</v>
      </c>
      <c r="D19" s="35" t="s">
        <v>0</v>
      </c>
      <c r="E19" s="36" t="s">
        <v>1</v>
      </c>
      <c r="F19" s="35" t="s">
        <v>2</v>
      </c>
    </row>
    <row r="20" spans="1:6" ht="11.25" customHeight="1">
      <c r="A20" s="26" t="s">
        <v>62</v>
      </c>
      <c r="B20" s="27">
        <v>120000</v>
      </c>
      <c r="C20" s="28">
        <v>120000</v>
      </c>
      <c r="D20" s="29">
        <f t="shared" ref="D20:D22" si="10">AVERAGE(B20:C20)</f>
        <v>120000</v>
      </c>
      <c r="E20" s="30">
        <v>0</v>
      </c>
      <c r="F20" s="29">
        <f t="shared" ref="F20:F22" si="11">E20*D20</f>
        <v>0</v>
      </c>
    </row>
    <row r="21" spans="1:6" ht="11.25" customHeight="1">
      <c r="A21" s="26" t="s">
        <v>57</v>
      </c>
      <c r="B21" s="27">
        <f>11943+33014</f>
        <v>44957</v>
      </c>
      <c r="C21" s="28">
        <f>7913+66283+19</f>
        <v>74215</v>
      </c>
      <c r="D21" s="29">
        <f t="shared" si="10"/>
        <v>59586</v>
      </c>
      <c r="E21" s="30">
        <v>0</v>
      </c>
      <c r="F21" s="29">
        <f t="shared" si="11"/>
        <v>0</v>
      </c>
    </row>
    <row r="22" spans="1:6" ht="10.5" customHeight="1">
      <c r="A22" s="26" t="s">
        <v>3</v>
      </c>
      <c r="B22" s="27">
        <v>-394895</v>
      </c>
      <c r="C22" s="27">
        <v>-72636</v>
      </c>
      <c r="D22" s="29">
        <f t="shared" si="10"/>
        <v>-233765.5</v>
      </c>
      <c r="E22" s="30">
        <v>1</v>
      </c>
      <c r="F22" s="29">
        <f t="shared" si="11"/>
        <v>-233765.5</v>
      </c>
    </row>
    <row r="23" spans="1:6" ht="11.25" customHeight="1">
      <c r="A23" s="37" t="s">
        <v>4</v>
      </c>
      <c r="B23" s="38"/>
      <c r="C23" s="38"/>
      <c r="D23" s="38"/>
      <c r="E23" s="38"/>
      <c r="F23" s="39">
        <f>+SUM(F2:F22)</f>
        <v>37036664.5</v>
      </c>
    </row>
    <row r="24" spans="1:6" ht="11.25" customHeight="1">
      <c r="A24" s="31" t="s">
        <v>5</v>
      </c>
      <c r="B24" s="32"/>
      <c r="C24" s="32"/>
      <c r="D24" s="32"/>
      <c r="E24" s="32"/>
      <c r="F24" s="39">
        <f>F23/12</f>
        <v>3086388.7083333335</v>
      </c>
    </row>
    <row r="25" spans="1:6" ht="11.25" customHeight="1">
      <c r="A25" s="31" t="s">
        <v>6</v>
      </c>
      <c r="B25" s="32"/>
      <c r="C25" s="32"/>
      <c r="D25" s="32"/>
      <c r="E25" s="32"/>
      <c r="F25" s="29">
        <f>RTR!M9</f>
        <v>188576</v>
      </c>
    </row>
    <row r="26" spans="1:6" ht="11.25" customHeight="1">
      <c r="A26" s="31" t="s">
        <v>50</v>
      </c>
      <c r="B26" s="33"/>
      <c r="C26" s="33"/>
      <c r="D26" s="33"/>
      <c r="E26" s="33"/>
      <c r="F26" s="34">
        <v>1</v>
      </c>
    </row>
    <row r="27" spans="1:6" ht="11.25" customHeight="1">
      <c r="A27" s="31" t="s">
        <v>7</v>
      </c>
      <c r="B27" s="32"/>
      <c r="C27" s="32"/>
      <c r="D27" s="32"/>
      <c r="E27" s="32"/>
      <c r="F27" s="40">
        <f>(F24*F26)-F25</f>
        <v>2897812.7083333335</v>
      </c>
    </row>
    <row r="28" spans="1:6" ht="11.25" customHeight="1">
      <c r="A28" s="31" t="s">
        <v>8</v>
      </c>
      <c r="B28" s="32"/>
      <c r="C28" s="32"/>
      <c r="D28" s="32"/>
      <c r="E28" s="32"/>
      <c r="F28" s="31">
        <v>180</v>
      </c>
    </row>
    <row r="29" spans="1:6" ht="11.25" customHeight="1">
      <c r="A29" s="31" t="s">
        <v>9</v>
      </c>
      <c r="B29" s="32"/>
      <c r="C29" s="32"/>
      <c r="D29" s="32"/>
      <c r="E29" s="32"/>
      <c r="F29" s="34">
        <v>9.7500000000000003E-2</v>
      </c>
    </row>
    <row r="30" spans="1:6" ht="11.25" customHeight="1">
      <c r="A30" s="31" t="s">
        <v>10</v>
      </c>
      <c r="B30" s="32"/>
      <c r="C30" s="32"/>
      <c r="D30" s="32"/>
      <c r="E30" s="32"/>
      <c r="F30" s="41">
        <f>PMT(F29/12,F28,-100000)</f>
        <v>1059.362663542757</v>
      </c>
    </row>
    <row r="31" spans="1:6" ht="11.25" customHeight="1">
      <c r="A31" s="31" t="s">
        <v>11</v>
      </c>
      <c r="B31" s="32"/>
      <c r="C31" s="32"/>
      <c r="D31" s="32"/>
      <c r="E31" s="32"/>
      <c r="F31" s="42">
        <f>F27/F30</f>
        <v>2735.4302809222754</v>
      </c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K32"/>
  <sheetViews>
    <sheetView zoomScale="118" zoomScaleNormal="118" workbookViewId="0">
      <selection activeCell="G8" sqref="G8"/>
    </sheetView>
  </sheetViews>
  <sheetFormatPr defaultColWidth="22.140625" defaultRowHeight="15"/>
  <cols>
    <col min="1" max="1" width="7.140625" style="44" bestFit="1" customWidth="1"/>
    <col min="2" max="2" width="20" style="44" customWidth="1"/>
    <col min="3" max="3" width="17.7109375" style="44" bestFit="1" customWidth="1"/>
    <col min="4" max="4" width="11" style="44" bestFit="1" customWidth="1"/>
    <col min="5" max="5" width="10.85546875" style="44" bestFit="1" customWidth="1"/>
    <col min="6" max="6" width="11" style="44" bestFit="1" customWidth="1"/>
    <col min="7" max="7" width="14.85546875" style="44" customWidth="1"/>
    <col min="8" max="8" width="8.7109375" style="44" bestFit="1" customWidth="1"/>
    <col min="9" max="9" width="7.28515625" style="44" bestFit="1" customWidth="1"/>
    <col min="10" max="10" width="9.28515625" style="44" bestFit="1" customWidth="1"/>
    <col min="11" max="11" width="8.140625" style="44" bestFit="1" customWidth="1"/>
    <col min="12" max="12" width="8.7109375" style="44" bestFit="1" customWidth="1"/>
    <col min="13" max="13" width="15.140625" style="44" bestFit="1" customWidth="1"/>
    <col min="14" max="245" width="22.140625" style="44"/>
    <col min="246" max="16384" width="22.140625" style="45"/>
  </cols>
  <sheetData>
    <row r="1" spans="1:245" ht="13.5" customHeight="1">
      <c r="A1" s="43" t="s">
        <v>12</v>
      </c>
      <c r="B1" s="43" t="s">
        <v>13</v>
      </c>
      <c r="C1" s="43" t="s">
        <v>14</v>
      </c>
      <c r="D1" s="43" t="s">
        <v>15</v>
      </c>
      <c r="E1" s="43" t="s">
        <v>16</v>
      </c>
      <c r="F1" s="43" t="s">
        <v>17</v>
      </c>
      <c r="G1" s="43" t="s">
        <v>49</v>
      </c>
      <c r="H1" s="43" t="s">
        <v>56</v>
      </c>
      <c r="I1" s="43" t="s">
        <v>18</v>
      </c>
      <c r="J1" s="43" t="s">
        <v>19</v>
      </c>
      <c r="K1" s="43" t="s">
        <v>20</v>
      </c>
      <c r="L1" s="43" t="s">
        <v>21</v>
      </c>
      <c r="M1" s="43" t="s">
        <v>22</v>
      </c>
      <c r="N1" s="66" t="s">
        <v>71</v>
      </c>
    </row>
    <row r="2" spans="1:245" s="57" customFormat="1" ht="15.75" customHeight="1">
      <c r="A2" s="54">
        <v>1</v>
      </c>
      <c r="B2" s="46" t="s">
        <v>66</v>
      </c>
      <c r="C2" s="54" t="s">
        <v>65</v>
      </c>
      <c r="D2" s="54" t="s">
        <v>67</v>
      </c>
      <c r="E2" s="46" t="s">
        <v>61</v>
      </c>
      <c r="F2" s="46">
        <v>1576000</v>
      </c>
      <c r="G2" s="47">
        <v>42628</v>
      </c>
      <c r="H2" s="46">
        <v>24142</v>
      </c>
      <c r="I2" s="46">
        <v>60</v>
      </c>
      <c r="J2" s="46">
        <v>58</v>
      </c>
      <c r="K2" s="46">
        <v>2</v>
      </c>
      <c r="L2" s="46">
        <v>33024</v>
      </c>
      <c r="M2" s="55" t="s">
        <v>54</v>
      </c>
      <c r="N2" s="65">
        <v>8796</v>
      </c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56"/>
      <c r="FI2" s="56"/>
      <c r="FJ2" s="56"/>
      <c r="FK2" s="56"/>
      <c r="FL2" s="56"/>
      <c r="FM2" s="56"/>
      <c r="FN2" s="56"/>
      <c r="FO2" s="56"/>
      <c r="FP2" s="56"/>
      <c r="FQ2" s="56"/>
      <c r="FR2" s="56"/>
      <c r="FS2" s="56"/>
      <c r="FT2" s="56"/>
      <c r="FU2" s="56"/>
      <c r="FV2" s="56"/>
      <c r="FW2" s="56"/>
      <c r="FX2" s="56"/>
      <c r="FY2" s="56"/>
      <c r="FZ2" s="56"/>
      <c r="GA2" s="56"/>
      <c r="GB2" s="56"/>
      <c r="GC2" s="56"/>
      <c r="GD2" s="56"/>
      <c r="GE2" s="56"/>
      <c r="GF2" s="56"/>
      <c r="GG2" s="56"/>
      <c r="GH2" s="56"/>
      <c r="GI2" s="56"/>
      <c r="GJ2" s="56"/>
      <c r="GK2" s="56"/>
      <c r="GL2" s="56"/>
      <c r="GM2" s="56"/>
      <c r="GN2" s="56"/>
      <c r="GO2" s="56"/>
      <c r="GP2" s="56"/>
      <c r="GQ2" s="56"/>
      <c r="GR2" s="56"/>
      <c r="GS2" s="56"/>
      <c r="GT2" s="56"/>
      <c r="GU2" s="56"/>
      <c r="GV2" s="56"/>
      <c r="GW2" s="56"/>
      <c r="GX2" s="56"/>
      <c r="GY2" s="56"/>
      <c r="GZ2" s="56"/>
      <c r="HA2" s="56"/>
      <c r="HB2" s="56"/>
      <c r="HC2" s="56"/>
      <c r="HD2" s="56"/>
      <c r="HE2" s="56"/>
      <c r="HF2" s="56"/>
      <c r="HG2" s="56"/>
      <c r="HH2" s="56"/>
      <c r="HI2" s="56"/>
      <c r="HJ2" s="56"/>
      <c r="HK2" s="56"/>
      <c r="HL2" s="56"/>
      <c r="HM2" s="56"/>
      <c r="HN2" s="56"/>
      <c r="HO2" s="56"/>
      <c r="HP2" s="56"/>
      <c r="HQ2" s="56"/>
      <c r="HR2" s="56"/>
      <c r="HS2" s="56"/>
      <c r="HT2" s="56"/>
      <c r="HU2" s="56"/>
      <c r="HV2" s="56"/>
      <c r="HW2" s="56"/>
      <c r="HX2" s="56"/>
      <c r="HY2" s="56"/>
      <c r="HZ2" s="56"/>
      <c r="IA2" s="56"/>
      <c r="IB2" s="56"/>
      <c r="IC2" s="56"/>
      <c r="ID2" s="56"/>
      <c r="IE2" s="56"/>
      <c r="IF2" s="56"/>
      <c r="IG2" s="56"/>
      <c r="IH2" s="56"/>
      <c r="II2" s="56"/>
      <c r="IJ2" s="56"/>
      <c r="IK2" s="56"/>
    </row>
    <row r="3" spans="1:245" s="57" customFormat="1">
      <c r="A3" s="54">
        <v>2</v>
      </c>
      <c r="B3" s="46" t="s">
        <v>68</v>
      </c>
      <c r="C3" s="54" t="s">
        <v>65</v>
      </c>
      <c r="D3" s="54" t="s">
        <v>67</v>
      </c>
      <c r="E3" s="46" t="s">
        <v>61</v>
      </c>
      <c r="F3" s="46">
        <v>1778800</v>
      </c>
      <c r="G3" s="47">
        <v>43748</v>
      </c>
      <c r="H3" s="46">
        <v>37278</v>
      </c>
      <c r="I3" s="46">
        <v>60</v>
      </c>
      <c r="J3" s="46">
        <v>21</v>
      </c>
      <c r="K3" s="46">
        <f>60-21</f>
        <v>39</v>
      </c>
      <c r="L3" s="46">
        <v>37278</v>
      </c>
      <c r="M3" s="55" t="s">
        <v>23</v>
      </c>
      <c r="N3" s="65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N3" s="56"/>
      <c r="EO3" s="56"/>
      <c r="EP3" s="56"/>
      <c r="EQ3" s="56"/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6"/>
      <c r="FD3" s="56"/>
      <c r="FE3" s="56"/>
      <c r="FF3" s="56"/>
      <c r="FG3" s="56"/>
      <c r="FH3" s="56"/>
      <c r="FI3" s="56"/>
      <c r="FJ3" s="56"/>
      <c r="FK3" s="56"/>
      <c r="FL3" s="56"/>
      <c r="FM3" s="56"/>
      <c r="FN3" s="56"/>
      <c r="FO3" s="56"/>
      <c r="FP3" s="56"/>
      <c r="FQ3" s="56"/>
      <c r="FR3" s="56"/>
      <c r="FS3" s="56"/>
      <c r="FT3" s="56"/>
      <c r="FU3" s="56"/>
      <c r="FV3" s="56"/>
      <c r="FW3" s="56"/>
      <c r="FX3" s="56"/>
      <c r="FY3" s="56"/>
      <c r="FZ3" s="56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  <c r="GO3" s="56"/>
      <c r="GP3" s="56"/>
      <c r="GQ3" s="56"/>
      <c r="GR3" s="56"/>
      <c r="GS3" s="56"/>
      <c r="GT3" s="56"/>
      <c r="GU3" s="56"/>
      <c r="GV3" s="56"/>
      <c r="GW3" s="56"/>
      <c r="GX3" s="56"/>
      <c r="GY3" s="56"/>
      <c r="GZ3" s="56"/>
      <c r="HA3" s="56"/>
      <c r="HB3" s="56"/>
      <c r="HC3" s="56"/>
      <c r="HD3" s="56"/>
      <c r="HE3" s="56"/>
      <c r="HF3" s="56"/>
      <c r="HG3" s="56"/>
      <c r="HH3" s="56"/>
      <c r="HI3" s="56"/>
      <c r="HJ3" s="56"/>
      <c r="HK3" s="56"/>
      <c r="HL3" s="56"/>
      <c r="HM3" s="56"/>
      <c r="HN3" s="56"/>
      <c r="HO3" s="56"/>
      <c r="HP3" s="56"/>
      <c r="HQ3" s="56"/>
      <c r="HR3" s="56"/>
      <c r="HS3" s="56"/>
      <c r="HT3" s="56"/>
      <c r="HU3" s="56"/>
      <c r="HV3" s="56"/>
      <c r="HW3" s="56"/>
      <c r="HX3" s="56"/>
      <c r="HY3" s="56"/>
      <c r="HZ3" s="56"/>
      <c r="IA3" s="56"/>
      <c r="IB3" s="56"/>
      <c r="IC3" s="56"/>
      <c r="ID3" s="56"/>
      <c r="IE3" s="56"/>
      <c r="IF3" s="56"/>
      <c r="IG3" s="56"/>
      <c r="IH3" s="56"/>
      <c r="II3" s="56"/>
      <c r="IJ3" s="56"/>
      <c r="IK3" s="56"/>
    </row>
    <row r="4" spans="1:245" s="57" customFormat="1" ht="15.75" customHeight="1">
      <c r="A4" s="54">
        <v>3</v>
      </c>
      <c r="B4" s="46" t="s">
        <v>69</v>
      </c>
      <c r="C4" s="54" t="s">
        <v>65</v>
      </c>
      <c r="D4" s="54" t="s">
        <v>70</v>
      </c>
      <c r="E4" s="46" t="s">
        <v>61</v>
      </c>
      <c r="F4" s="46">
        <v>2700000</v>
      </c>
      <c r="G4" s="47">
        <v>43007</v>
      </c>
      <c r="H4" s="46"/>
      <c r="I4" s="46">
        <v>60</v>
      </c>
      <c r="J4" s="46">
        <f>60-15</f>
        <v>45</v>
      </c>
      <c r="K4" s="46">
        <v>15</v>
      </c>
      <c r="L4" s="46">
        <v>55070</v>
      </c>
      <c r="M4" s="55" t="s">
        <v>23</v>
      </c>
      <c r="N4" s="65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6"/>
      <c r="EX4" s="56"/>
      <c r="EY4" s="56"/>
      <c r="EZ4" s="56"/>
      <c r="FA4" s="56"/>
      <c r="FB4" s="56"/>
      <c r="FC4" s="56"/>
      <c r="FD4" s="56"/>
      <c r="FE4" s="56"/>
      <c r="FF4" s="56"/>
      <c r="FG4" s="56"/>
      <c r="FH4" s="56"/>
      <c r="FI4" s="56"/>
      <c r="FJ4" s="56"/>
      <c r="FK4" s="56"/>
      <c r="FL4" s="56"/>
      <c r="FM4" s="56"/>
      <c r="FN4" s="56"/>
      <c r="FO4" s="56"/>
      <c r="FP4" s="56"/>
      <c r="FQ4" s="56"/>
      <c r="FR4" s="56"/>
      <c r="FS4" s="56"/>
      <c r="FT4" s="56"/>
      <c r="FU4" s="56"/>
      <c r="FV4" s="56"/>
      <c r="FW4" s="56"/>
      <c r="FX4" s="56"/>
      <c r="FY4" s="56"/>
      <c r="FZ4" s="56"/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  <c r="GO4" s="56"/>
      <c r="GP4" s="56"/>
      <c r="GQ4" s="56"/>
      <c r="GR4" s="56"/>
      <c r="GS4" s="56"/>
      <c r="GT4" s="56"/>
      <c r="GU4" s="56"/>
      <c r="GV4" s="56"/>
      <c r="GW4" s="56"/>
      <c r="GX4" s="56"/>
      <c r="GY4" s="56"/>
      <c r="GZ4" s="56"/>
      <c r="HA4" s="56"/>
      <c r="HB4" s="56"/>
      <c r="HC4" s="56"/>
      <c r="HD4" s="56"/>
      <c r="HE4" s="56"/>
      <c r="HF4" s="56"/>
      <c r="HG4" s="56"/>
      <c r="HH4" s="56"/>
      <c r="HI4" s="56"/>
      <c r="HJ4" s="56"/>
      <c r="HK4" s="56"/>
      <c r="HL4" s="56"/>
      <c r="HM4" s="56"/>
      <c r="HN4" s="56"/>
      <c r="HO4" s="56"/>
      <c r="HP4" s="56"/>
      <c r="HQ4" s="56"/>
      <c r="HR4" s="56"/>
      <c r="HS4" s="56"/>
      <c r="HT4" s="56"/>
      <c r="HU4" s="56"/>
      <c r="HV4" s="56"/>
      <c r="HW4" s="56"/>
      <c r="HX4" s="56"/>
      <c r="HY4" s="56"/>
      <c r="HZ4" s="56"/>
      <c r="IA4" s="56"/>
      <c r="IB4" s="56"/>
      <c r="IC4" s="56"/>
      <c r="ID4" s="56"/>
      <c r="IE4" s="56"/>
      <c r="IF4" s="56"/>
      <c r="IG4" s="56"/>
      <c r="IH4" s="56"/>
      <c r="II4" s="56"/>
      <c r="IJ4" s="56"/>
      <c r="IK4" s="56"/>
    </row>
    <row r="5" spans="1:245" s="57" customFormat="1" ht="15.75" customHeight="1">
      <c r="A5" s="54">
        <v>4</v>
      </c>
      <c r="B5" s="46"/>
      <c r="C5" s="54"/>
      <c r="D5" s="54"/>
      <c r="E5" s="46"/>
      <c r="F5" s="46"/>
      <c r="G5" s="47"/>
      <c r="H5" s="46"/>
      <c r="I5" s="46"/>
      <c r="J5" s="46"/>
      <c r="K5" s="46"/>
      <c r="L5" s="46">
        <v>32352</v>
      </c>
      <c r="M5" s="55" t="s">
        <v>23</v>
      </c>
      <c r="N5" s="65">
        <v>108804</v>
      </c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6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6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6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56"/>
      <c r="GI5" s="56"/>
      <c r="GJ5" s="56"/>
      <c r="GK5" s="56"/>
      <c r="GL5" s="56"/>
      <c r="GM5" s="56"/>
      <c r="GN5" s="56"/>
      <c r="GO5" s="56"/>
      <c r="GP5" s="56"/>
      <c r="GQ5" s="56"/>
      <c r="GR5" s="56"/>
      <c r="GS5" s="56"/>
      <c r="GT5" s="56"/>
      <c r="GU5" s="56"/>
      <c r="GV5" s="56"/>
      <c r="GW5" s="56"/>
      <c r="GX5" s="56"/>
      <c r="GY5" s="56"/>
      <c r="GZ5" s="56"/>
      <c r="HA5" s="56"/>
      <c r="HB5" s="56"/>
      <c r="HC5" s="56"/>
      <c r="HD5" s="56"/>
      <c r="HE5" s="56"/>
      <c r="HF5" s="56"/>
      <c r="HG5" s="56"/>
      <c r="HH5" s="56"/>
      <c r="HI5" s="56"/>
      <c r="HJ5" s="56"/>
      <c r="HK5" s="56"/>
      <c r="HL5" s="56"/>
      <c r="HM5" s="56"/>
      <c r="HN5" s="56"/>
      <c r="HO5" s="56"/>
      <c r="HP5" s="56"/>
      <c r="HQ5" s="56"/>
      <c r="HR5" s="56"/>
      <c r="HS5" s="56"/>
      <c r="HT5" s="56"/>
      <c r="HU5" s="56"/>
      <c r="HV5" s="56"/>
      <c r="HW5" s="56"/>
      <c r="HX5" s="56"/>
      <c r="HY5" s="56"/>
      <c r="HZ5" s="56"/>
      <c r="IA5" s="56"/>
      <c r="IB5" s="56"/>
      <c r="IC5" s="56"/>
      <c r="ID5" s="56"/>
      <c r="IE5" s="56"/>
      <c r="IF5" s="56"/>
      <c r="IG5" s="56"/>
      <c r="IH5" s="56"/>
      <c r="II5" s="56"/>
      <c r="IJ5" s="56"/>
      <c r="IK5" s="56"/>
    </row>
    <row r="6" spans="1:245" s="57" customFormat="1">
      <c r="A6" s="54">
        <v>5</v>
      </c>
      <c r="B6" s="46"/>
      <c r="C6" s="54"/>
      <c r="D6" s="54"/>
      <c r="E6" s="46"/>
      <c r="F6" s="46"/>
      <c r="G6" s="47"/>
      <c r="H6" s="46"/>
      <c r="I6" s="46"/>
      <c r="J6" s="46"/>
      <c r="K6" s="46"/>
      <c r="L6" s="46">
        <v>53325</v>
      </c>
      <c r="M6" s="55" t="s">
        <v>23</v>
      </c>
      <c r="N6" s="65">
        <v>108804</v>
      </c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6"/>
      <c r="DQ6" s="56"/>
      <c r="DR6" s="56"/>
      <c r="DS6" s="56"/>
      <c r="DT6" s="56"/>
      <c r="DU6" s="56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N6" s="56"/>
      <c r="EO6" s="56"/>
      <c r="EP6" s="56"/>
      <c r="EQ6" s="56"/>
      <c r="ER6" s="56"/>
      <c r="ES6" s="56"/>
      <c r="ET6" s="56"/>
      <c r="EU6" s="56"/>
      <c r="EV6" s="56"/>
      <c r="EW6" s="56"/>
      <c r="EX6" s="56"/>
      <c r="EY6" s="56"/>
      <c r="EZ6" s="56"/>
      <c r="FA6" s="56"/>
      <c r="FB6" s="56"/>
      <c r="FC6" s="56"/>
      <c r="FD6" s="56"/>
      <c r="FE6" s="56"/>
      <c r="FF6" s="56"/>
      <c r="FG6" s="56"/>
      <c r="FH6" s="56"/>
      <c r="FI6" s="56"/>
      <c r="FJ6" s="56"/>
      <c r="FK6" s="56"/>
      <c r="FL6" s="56"/>
      <c r="FM6" s="56"/>
      <c r="FN6" s="56"/>
      <c r="FO6" s="56"/>
      <c r="FP6" s="56"/>
      <c r="FQ6" s="56"/>
      <c r="FR6" s="56"/>
      <c r="FS6" s="56"/>
      <c r="FT6" s="56"/>
      <c r="FU6" s="56"/>
      <c r="FV6" s="56"/>
      <c r="FW6" s="56"/>
      <c r="FX6" s="56"/>
      <c r="FY6" s="56"/>
      <c r="FZ6" s="56"/>
      <c r="GA6" s="56"/>
      <c r="GB6" s="56"/>
      <c r="GC6" s="56"/>
      <c r="GD6" s="56"/>
      <c r="GE6" s="56"/>
      <c r="GF6" s="56"/>
      <c r="GG6" s="56"/>
      <c r="GH6" s="56"/>
      <c r="GI6" s="56"/>
      <c r="GJ6" s="56"/>
      <c r="GK6" s="56"/>
      <c r="GL6" s="56"/>
      <c r="GM6" s="56"/>
      <c r="GN6" s="56"/>
      <c r="GO6" s="56"/>
      <c r="GP6" s="56"/>
      <c r="GQ6" s="56"/>
      <c r="GR6" s="56"/>
      <c r="GS6" s="56"/>
      <c r="GT6" s="56"/>
      <c r="GU6" s="56"/>
      <c r="GV6" s="56"/>
      <c r="GW6" s="56"/>
      <c r="GX6" s="56"/>
      <c r="GY6" s="56"/>
      <c r="GZ6" s="56"/>
      <c r="HA6" s="56"/>
      <c r="HB6" s="56"/>
      <c r="HC6" s="56"/>
      <c r="HD6" s="56"/>
      <c r="HE6" s="56"/>
      <c r="HF6" s="56"/>
      <c r="HG6" s="56"/>
      <c r="HH6" s="56"/>
      <c r="HI6" s="56"/>
      <c r="HJ6" s="56"/>
      <c r="HK6" s="56"/>
      <c r="HL6" s="56"/>
      <c r="HM6" s="56"/>
      <c r="HN6" s="56"/>
      <c r="HO6" s="56"/>
      <c r="HP6" s="56"/>
      <c r="HQ6" s="56"/>
      <c r="HR6" s="56"/>
      <c r="HS6" s="56"/>
      <c r="HT6" s="56"/>
      <c r="HU6" s="56"/>
      <c r="HV6" s="56"/>
      <c r="HW6" s="56"/>
      <c r="HX6" s="56"/>
      <c r="HY6" s="56"/>
      <c r="HZ6" s="56"/>
      <c r="IA6" s="56"/>
      <c r="IB6" s="56"/>
      <c r="IC6" s="56"/>
      <c r="ID6" s="56"/>
      <c r="IE6" s="56"/>
      <c r="IF6" s="56"/>
      <c r="IG6" s="56"/>
      <c r="IH6" s="56"/>
      <c r="II6" s="56"/>
      <c r="IJ6" s="56"/>
      <c r="IK6" s="56"/>
    </row>
    <row r="7" spans="1:245" ht="15.75" customHeight="1">
      <c r="A7" s="58">
        <v>6</v>
      </c>
      <c r="B7" s="59"/>
      <c r="C7" s="61"/>
      <c r="D7" s="61"/>
      <c r="E7" s="59"/>
      <c r="F7" s="59"/>
      <c r="G7" s="62"/>
      <c r="H7" s="59"/>
      <c r="I7" s="59"/>
      <c r="J7" s="59"/>
      <c r="K7" s="59"/>
      <c r="L7" s="59">
        <v>10551</v>
      </c>
      <c r="M7" s="60" t="s">
        <v>23</v>
      </c>
      <c r="N7" s="64">
        <v>8796</v>
      </c>
    </row>
    <row r="8" spans="1:245" ht="15.75" customHeight="1">
      <c r="A8" s="58">
        <v>7</v>
      </c>
      <c r="B8" s="59">
        <v>8713</v>
      </c>
      <c r="C8" s="67" t="s">
        <v>65</v>
      </c>
      <c r="D8" s="67" t="s">
        <v>64</v>
      </c>
      <c r="E8" s="68" t="s">
        <v>72</v>
      </c>
      <c r="F8" s="59">
        <v>37500000</v>
      </c>
      <c r="G8" s="62"/>
      <c r="H8" s="59"/>
      <c r="I8" s="59"/>
      <c r="J8" s="59"/>
      <c r="K8" s="59"/>
      <c r="L8" s="59">
        <v>10551</v>
      </c>
      <c r="M8" s="60" t="s">
        <v>23</v>
      </c>
      <c r="N8" s="64">
        <v>8796</v>
      </c>
    </row>
    <row r="9" spans="1:245">
      <c r="A9" s="48"/>
      <c r="B9" s="49"/>
      <c r="C9" s="49"/>
      <c r="D9" s="49"/>
      <c r="E9" s="50"/>
      <c r="F9" s="49"/>
      <c r="G9" s="49"/>
      <c r="H9" s="53"/>
      <c r="I9" s="49"/>
      <c r="J9" s="49"/>
      <c r="K9" s="49"/>
      <c r="L9" s="49"/>
      <c r="M9" s="51">
        <f>SUMIF(M2:M7,"Y",L2:L7)</f>
        <v>188576</v>
      </c>
      <c r="N9" s="64"/>
    </row>
    <row r="32" spans="6:6">
      <c r="F32" s="44" t="s">
        <v>53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3" t="s">
        <v>24</v>
      </c>
      <c r="B1" s="63"/>
      <c r="C1" s="2"/>
    </row>
    <row r="2" spans="1:6" ht="14.25" customHeight="1">
      <c r="A2" s="63" t="s">
        <v>25</v>
      </c>
      <c r="B2" s="63"/>
      <c r="C2" s="2"/>
    </row>
    <row r="5" spans="1:6" ht="27">
      <c r="A5" s="3" t="s">
        <v>12</v>
      </c>
      <c r="B5" s="4" t="s">
        <v>26</v>
      </c>
      <c r="C5" s="4" t="s">
        <v>27</v>
      </c>
      <c r="D5" s="5" t="s">
        <v>28</v>
      </c>
      <c r="E5" s="1" t="s">
        <v>29</v>
      </c>
      <c r="F5" s="1" t="s">
        <v>30</v>
      </c>
    </row>
    <row r="6" spans="1:6" ht="40.5">
      <c r="A6" s="6">
        <v>1</v>
      </c>
      <c r="B6" s="7" t="s">
        <v>31</v>
      </c>
      <c r="C6" s="8" t="s">
        <v>32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33</v>
      </c>
      <c r="C7" s="8" t="s">
        <v>34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35</v>
      </c>
      <c r="C8" s="8" t="s">
        <v>36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37</v>
      </c>
      <c r="C9" s="12" t="s">
        <v>38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39</v>
      </c>
      <c r="C10" s="8" t="s">
        <v>40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41</v>
      </c>
      <c r="C11" s="14" t="s">
        <v>42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43</v>
      </c>
      <c r="C12" s="15" t="s">
        <v>44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45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2018-07-05T06:12:00Z</cp:lastPrinted>
  <dcterms:created xsi:type="dcterms:W3CDTF">2015-09-25T09:25:00Z</dcterms:created>
  <dcterms:modified xsi:type="dcterms:W3CDTF">2021-07-06T11:59:04Z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