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4370" windowHeight="7515" activeTab="2"/>
  </bookViews>
  <sheets>
    <sheet name="Eligibility" sheetId="1" r:id="rId1"/>
    <sheet name="RTR" sheetId="2" r:id="rId2"/>
    <sheet name="Banking" sheetId="6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6"/>
  <c r="G10"/>
  <c r="E10"/>
  <c r="F10"/>
  <c r="H10"/>
  <c r="I10"/>
  <c r="J10"/>
  <c r="K10"/>
  <c r="L10"/>
  <c r="M10"/>
  <c r="N10"/>
  <c r="O10"/>
  <c r="D10"/>
  <c r="C15" i="1"/>
  <c r="B15"/>
  <c r="J3" i="2"/>
  <c r="J2"/>
  <c r="D15" i="1"/>
  <c r="F15" s="1"/>
  <c r="D17"/>
  <c r="F17" s="1"/>
  <c r="D16"/>
  <c r="F16" s="1"/>
  <c r="C12"/>
  <c r="C8" l="1"/>
  <c r="B8"/>
  <c r="D8" s="1"/>
  <c r="F8" s="1"/>
  <c r="D5"/>
  <c r="F5" s="1"/>
  <c r="D7"/>
  <c r="F7" s="1"/>
  <c r="D6"/>
  <c r="F6" s="1"/>
  <c r="D9"/>
  <c r="F9" s="1"/>
  <c r="D12" l="1"/>
  <c r="F12" s="1"/>
  <c r="L5" i="2"/>
  <c r="D3" i="1"/>
  <c r="D4"/>
  <c r="D10"/>
  <c r="D13" l="1"/>
  <c r="F13" s="1"/>
  <c r="F3" l="1"/>
  <c r="F4"/>
  <c r="F10"/>
  <c r="E13" i="5"/>
  <c r="F12"/>
  <c r="F11"/>
  <c r="F10"/>
  <c r="F9"/>
  <c r="F8"/>
  <c r="F7"/>
  <c r="F6"/>
  <c r="F13"/>
  <c r="F20" i="1"/>
  <c r="F22" s="1"/>
  <c r="F25"/>
  <c r="F18" l="1"/>
  <c r="F19" s="1"/>
  <c r="F26" s="1"/>
</calcChain>
</file>

<file path=xl/sharedStrings.xml><?xml version="1.0" encoding="utf-8"?>
<sst xmlns="http://schemas.openxmlformats.org/spreadsheetml/2006/main" count="116" uniqueCount="94">
  <si>
    <t>ASSESSMENT YEAR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</si>
  <si>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</si>
  <si>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</si>
  <si>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</si>
  <si>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</si>
  <si>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</si>
  <si>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</si>
  <si>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</si>
  <si>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</si>
  <si>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</si>
  <si>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</si>
  <si>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</si>
  <si>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</si>
  <si>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</si>
  <si>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</si>
  <si>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</si>
  <si>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</si>
  <si>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</si>
  <si>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</si>
  <si>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</si>
  <si>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</si>
  <si>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</si>
  <si>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</si>
  <si>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</si>
  <si>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</si>
  <si>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</si>
  <si>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</si>
  <si>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</si>
  <si>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</si>
  <si>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</si>
  <si>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</si>
  <si>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</si>
  <si>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</si>
  <si>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</si>
  <si>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</si>
  <si>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</si>
  <si>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</si>
  <si>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</si>
  <si>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</si>
  <si>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</si>
  <si>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</si>
  <si>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</si>
  <si>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</si>
  <si>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</si>
  <si>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</si>
  <si>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</si>
  <si>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</si>
  <si>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</si>
  <si>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</si>
  <si>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</si>
  <si>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Bank Interest</t>
  </si>
  <si>
    <t>Punjab Timber (Prop. Vishal Verma)</t>
  </si>
  <si>
    <t>Income From Other Sources</t>
  </si>
  <si>
    <t xml:space="preserve">Interest On Car Loan </t>
  </si>
  <si>
    <t>Interest On Unsecured Loans</t>
  </si>
  <si>
    <t>Payment Made u/s 40A(2)b</t>
  </si>
  <si>
    <t xml:space="preserve">Prince Verma </t>
  </si>
  <si>
    <t>Ashwani Kumar</t>
  </si>
  <si>
    <t xml:space="preserve">Income From House Property </t>
  </si>
  <si>
    <t>ALN002300290215</t>
  </si>
  <si>
    <t>Punjab Timber</t>
  </si>
  <si>
    <t>Yes Bank</t>
  </si>
  <si>
    <t>Car Loan</t>
  </si>
  <si>
    <t>ALN002300359172</t>
  </si>
  <si>
    <t>DOD</t>
  </si>
  <si>
    <t>n</t>
  </si>
  <si>
    <t xml:space="preserve">Max FOIR    </t>
  </si>
  <si>
    <t xml:space="preserve">Huf / Jyoti Verma /Priya Verma /Meena </t>
  </si>
  <si>
    <t>POS</t>
  </si>
  <si>
    <t>y</t>
  </si>
  <si>
    <t>Sale</t>
  </si>
  <si>
    <t>GP</t>
  </si>
  <si>
    <t>NP</t>
  </si>
  <si>
    <t>To Be added</t>
  </si>
  <si>
    <t xml:space="preserve">as on </t>
  </si>
  <si>
    <t>10 cr approx</t>
  </si>
  <si>
    <t>7th</t>
  </si>
  <si>
    <t>14th</t>
  </si>
  <si>
    <t>21th</t>
  </si>
  <si>
    <t>28th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</si>
  <si>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</si>
  <si>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</si>
  <si>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</si>
  <si>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</si>
  <si>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</si>
  <si>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</si>
  <si>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</si>
  <si>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</si>
  <si>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</si>
  <si>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</si>
  <si>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</si>
  <si>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</si>
  <si>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No of Cr</t>
  </si>
  <si>
    <t>HDFC Punjab Timber A/c 30653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</si>
</sst>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8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 wrapText="1"/>
    </xf>
    <xf numFmtId="1" fontId="14" fillId="4" borderId="4" xfId="0" applyNumberFormat="1" applyFont="1" applyFill="1" applyBorder="1" applyAlignment="1">
      <alignment horizontal="center" vertical="center" wrapText="1"/>
    </xf>
    <xf numFmtId="2" fontId="12" fillId="6" borderId="4" xfId="0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1" fontId="11" fillId="6" borderId="4" xfId="0" applyNumberFormat="1" applyFont="1" applyFill="1" applyBorder="1" applyAlignment="1">
      <alignment horizontal="center" vertical="center"/>
    </xf>
    <xf numFmtId="1" fontId="14" fillId="9" borderId="4" xfId="0" applyNumberFormat="1" applyFont="1" applyFill="1" applyBorder="1" applyAlignment="1">
      <alignment horizontal="center" vertical="center" wrapText="1"/>
    </xf>
    <xf numFmtId="0" fontId="5" fillId="12" borderId="4" xfId="3" applyFont="1" applyFill="1" applyBorder="1" applyAlignment="1">
      <alignment vertical="top" wrapText="1"/>
    </xf>
    <xf numFmtId="0" fontId="0" fillId="0" borderId="4" xfId="0" applyBorder="1"/>
    <xf numFmtId="0" fontId="0" fillId="13" borderId="4" xfId="0" applyFill="1" applyBorder="1"/>
    <xf numFmtId="164" fontId="11" fillId="5" borderId="4" xfId="1" applyNumberFormat="1" applyFont="1" applyFill="1" applyBorder="1" applyAlignment="1" applyProtection="1">
      <alignment horizontal="center" vertical="center" wrapText="1"/>
    </xf>
    <xf numFmtId="164" fontId="11" fillId="7" borderId="4" xfId="1" applyNumberFormat="1" applyFont="1" applyFill="1" applyBorder="1" applyAlignment="1" applyProtection="1">
      <alignment horizontal="left" vertical="center" wrapText="1"/>
    </xf>
    <xf numFmtId="164" fontId="11" fillId="8" borderId="4" xfId="1" applyNumberFormat="1" applyFont="1" applyFill="1" applyBorder="1" applyAlignment="1" applyProtection="1">
      <alignment horizontal="center" vertical="center" wrapText="1"/>
    </xf>
    <xf numFmtId="9" fontId="11" fillId="8" borderId="4" xfId="1" applyNumberFormat="1" applyFont="1" applyFill="1" applyBorder="1" applyAlignment="1" applyProtection="1">
      <alignment horizontal="center" vertical="center" wrapText="1"/>
    </xf>
    <xf numFmtId="164" fontId="12" fillId="10" borderId="4" xfId="1" applyNumberFormat="1" applyFont="1" applyFill="1" applyBorder="1" applyAlignment="1" applyProtection="1">
      <alignment horizontal="left" vertical="center" wrapText="1"/>
    </xf>
    <xf numFmtId="166" fontId="12" fillId="10" borderId="4" xfId="1" applyNumberFormat="1" applyFont="1" applyFill="1" applyBorder="1" applyAlignment="1" applyProtection="1">
      <alignment horizontal="center" vertical="center"/>
    </xf>
    <xf numFmtId="166" fontId="12" fillId="11" borderId="4" xfId="1" applyNumberFormat="1" applyFont="1" applyFill="1" applyBorder="1" applyAlignment="1" applyProtection="1">
      <alignment horizontal="center" vertical="center"/>
    </xf>
    <xf numFmtId="164" fontId="12" fillId="10" borderId="4" xfId="1" applyNumberFormat="1" applyFont="1" applyFill="1" applyBorder="1" applyAlignment="1" applyProtection="1">
      <alignment horizontal="center" vertical="top"/>
    </xf>
    <xf numFmtId="9" fontId="12" fillId="10" borderId="4" xfId="1" applyNumberFormat="1" applyFont="1" applyFill="1" applyBorder="1" applyAlignment="1" applyProtection="1">
      <alignment horizontal="center" vertical="top"/>
    </xf>
    <xf numFmtId="164" fontId="12" fillId="10" borderId="6" xfId="1" applyNumberFormat="1" applyFont="1" applyFill="1" applyBorder="1" applyAlignment="1" applyProtection="1">
      <alignment horizontal="left" vertical="center" wrapText="1"/>
    </xf>
    <xf numFmtId="166" fontId="12" fillId="10" borderId="6" xfId="1" applyNumberFormat="1" applyFont="1" applyFill="1" applyBorder="1" applyAlignment="1" applyProtection="1">
      <alignment horizontal="center" vertical="center"/>
    </xf>
    <xf numFmtId="164" fontId="12" fillId="10" borderId="6" xfId="1" applyNumberFormat="1" applyFont="1" applyFill="1" applyBorder="1" applyAlignment="1" applyProtection="1">
      <alignment horizontal="center" vertical="top"/>
    </xf>
    <xf numFmtId="9" fontId="12" fillId="10" borderId="6" xfId="1" applyNumberFormat="1" applyFont="1" applyFill="1" applyBorder="1" applyAlignment="1" applyProtection="1">
      <alignment horizontal="center" vertical="top"/>
    </xf>
    <xf numFmtId="165" fontId="11" fillId="8" borderId="4" xfId="1" applyFont="1" applyFill="1" applyBorder="1" applyAlignment="1" applyProtection="1">
      <alignment vertical="top" wrapText="1"/>
    </xf>
    <xf numFmtId="167" fontId="11" fillId="8" borderId="4" xfId="1" applyNumberFormat="1" applyFont="1" applyFill="1" applyBorder="1" applyAlignment="1" applyProtection="1">
      <alignment horizontal="center" vertical="top"/>
    </xf>
    <xf numFmtId="164" fontId="12" fillId="0" borderId="4" xfId="1" applyNumberFormat="1" applyFont="1" applyFill="1" applyBorder="1" applyAlignment="1" applyProtection="1">
      <alignment vertical="top" wrapText="1"/>
    </xf>
    <xf numFmtId="164" fontId="12" fillId="6" borderId="4" xfId="1" applyNumberFormat="1" applyFont="1" applyFill="1" applyBorder="1" applyAlignment="1" applyProtection="1">
      <alignment horizontal="center" vertical="top"/>
    </xf>
    <xf numFmtId="164" fontId="12" fillId="0" borderId="4" xfId="1" applyNumberFormat="1" applyFont="1" applyFill="1" applyBorder="1" applyAlignment="1" applyProtection="1">
      <alignment horizontal="left" vertical="top" wrapText="1"/>
    </xf>
    <xf numFmtId="10" fontId="12" fillId="0" borderId="4" xfId="1" applyNumberFormat="1" applyFont="1" applyFill="1" applyBorder="1" applyAlignment="1" applyProtection="1">
      <alignment horizontal="center" vertical="top"/>
    </xf>
    <xf numFmtId="164" fontId="12" fillId="8" borderId="4" xfId="1" applyNumberFormat="1" applyFont="1" applyFill="1" applyBorder="1" applyAlignment="1" applyProtection="1">
      <alignment horizontal="center" vertical="top"/>
    </xf>
    <xf numFmtId="164" fontId="12" fillId="0" borderId="4" xfId="1" applyNumberFormat="1" applyFont="1" applyFill="1" applyBorder="1" applyAlignment="1" applyProtection="1">
      <alignment horizontal="center" vertical="top"/>
    </xf>
    <xf numFmtId="2" fontId="12" fillId="8" borderId="4" xfId="5" applyNumberFormat="1" applyFont="1" applyFill="1" applyBorder="1" applyAlignment="1" applyProtection="1">
      <alignment horizontal="center" vertical="top"/>
    </xf>
    <xf numFmtId="165" fontId="12" fillId="8" borderId="4" xfId="5" applyNumberFormat="1" applyFont="1" applyFill="1" applyBorder="1" applyAlignment="1" applyProtection="1">
      <alignment horizontal="center" vertical="top"/>
    </xf>
    <xf numFmtId="166" fontId="12" fillId="6" borderId="2" xfId="1" applyNumberFormat="1" applyFont="1" applyFill="1" applyBorder="1" applyAlignment="1" applyProtection="1">
      <alignment horizontal="center" vertical="center"/>
    </xf>
    <xf numFmtId="166" fontId="12" fillId="6" borderId="3" xfId="1" applyNumberFormat="1" applyFont="1" applyFill="1" applyBorder="1" applyAlignment="1" applyProtection="1">
      <alignment horizontal="center" vertical="center"/>
    </xf>
    <xf numFmtId="164" fontId="11" fillId="5" borderId="4" xfId="1" applyNumberFormat="1" applyFont="1" applyFill="1" applyBorder="1" applyAlignment="1" applyProtection="1">
      <alignment horizontal="center" vertical="center" wrapText="1"/>
    </xf>
    <xf numFmtId="0" fontId="12" fillId="8" borderId="4" xfId="0" applyNumberFormat="1" applyFont="1" applyFill="1" applyBorder="1"/>
    <xf numFmtId="0" fontId="12" fillId="0" borderId="4" xfId="0" applyNumberFormat="1" applyFont="1" applyFill="1" applyBorder="1"/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4"/>
  <sheetViews>
    <sheetView zoomScale="107" zoomScaleNormal="107" workbookViewId="0">
      <selection activeCell="G13" sqref="G13"/>
    </sheetView>
  </sheetViews>
  <sheetFormatPr defaultColWidth="31.28515625" defaultRowHeight="13.5"/>
  <cols>
    <col min="1" max="1" width="29.4257812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8.5703125" style="21" customWidth="1"/>
    <col min="7" max="7" width="37.5703125" style="21" customWidth="1"/>
    <col min="8" max="8" width="16.140625" style="21" customWidth="1"/>
    <col min="9" max="9" width="18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9" ht="26.85" customHeight="1">
      <c r="A1" s="38" t="s">
        <v>51</v>
      </c>
      <c r="B1" s="63" t="s">
        <v>0</v>
      </c>
      <c r="C1" s="63"/>
      <c r="D1" s="38"/>
      <c r="E1" s="38"/>
      <c r="F1" s="38"/>
    </row>
    <row r="2" spans="1:9" ht="27">
      <c r="A2" s="39" t="s">
        <v>51</v>
      </c>
      <c r="B2" s="40" t="s">
        <v>47</v>
      </c>
      <c r="C2" s="40" t="s">
        <v>1</v>
      </c>
      <c r="D2" s="40" t="s">
        <v>2</v>
      </c>
      <c r="E2" s="41" t="s">
        <v>3</v>
      </c>
      <c r="F2" s="40" t="s">
        <v>4</v>
      </c>
    </row>
    <row r="3" spans="1:9">
      <c r="A3" s="42" t="s">
        <v>48</v>
      </c>
      <c r="B3" s="43">
        <v>1166984.0900000001</v>
      </c>
      <c r="C3" s="44">
        <v>955310.15</v>
      </c>
      <c r="D3" s="45">
        <f>AVERAGE(B3:C3)</f>
        <v>1061147.1200000001</v>
      </c>
      <c r="E3" s="46">
        <v>1</v>
      </c>
      <c r="F3" s="45">
        <f t="shared" ref="F3:F10" si="0">E3*D3</f>
        <v>1061147.1200000001</v>
      </c>
    </row>
    <row r="4" spans="1:9">
      <c r="A4" s="42" t="s">
        <v>49</v>
      </c>
      <c r="B4" s="43">
        <v>1113634</v>
      </c>
      <c r="C4" s="44">
        <v>900281</v>
      </c>
      <c r="D4" s="45">
        <f t="shared" ref="D4:D10" si="1">AVERAGE(B4:C4)</f>
        <v>1006957.5</v>
      </c>
      <c r="E4" s="46">
        <v>1</v>
      </c>
      <c r="F4" s="45">
        <f t="shared" si="0"/>
        <v>1006957.5</v>
      </c>
    </row>
    <row r="5" spans="1:9">
      <c r="A5" s="42" t="s">
        <v>50</v>
      </c>
      <c r="B5" s="43">
        <v>560940.13</v>
      </c>
      <c r="C5" s="44">
        <v>236654.63</v>
      </c>
      <c r="D5" s="45">
        <f t="shared" ref="D5" si="2">AVERAGE(B5:C5)</f>
        <v>398797.38</v>
      </c>
      <c r="E5" s="46">
        <v>0</v>
      </c>
      <c r="F5" s="45">
        <f t="shared" ref="F5" si="3">E5*D5</f>
        <v>0</v>
      </c>
    </row>
    <row r="6" spans="1:9">
      <c r="A6" s="42" t="s">
        <v>53</v>
      </c>
      <c r="B6" s="43">
        <v>190532</v>
      </c>
      <c r="C6" s="44">
        <v>75087</v>
      </c>
      <c r="D6" s="45">
        <f t="shared" si="1"/>
        <v>132809.5</v>
      </c>
      <c r="E6" s="46">
        <v>1</v>
      </c>
      <c r="F6" s="45">
        <f t="shared" si="0"/>
        <v>132809.5</v>
      </c>
    </row>
    <row r="7" spans="1:9" ht="12.75" customHeight="1">
      <c r="A7" s="42" t="s">
        <v>54</v>
      </c>
      <c r="B7" s="43">
        <v>3440281.63</v>
      </c>
      <c r="C7" s="44">
        <v>2864301</v>
      </c>
      <c r="D7" s="45">
        <f t="shared" ref="D7:D8" si="4">AVERAGE(B7:C7)</f>
        <v>3152291.3149999999</v>
      </c>
      <c r="E7" s="46">
        <v>1</v>
      </c>
      <c r="F7" s="45">
        <f t="shared" ref="F7:F8" si="5">E7*D7</f>
        <v>3152291.3149999999</v>
      </c>
      <c r="G7" s="61" t="s">
        <v>67</v>
      </c>
      <c r="H7" s="62"/>
      <c r="I7" s="21" t="s">
        <v>73</v>
      </c>
    </row>
    <row r="8" spans="1:9">
      <c r="A8" s="42" t="s">
        <v>55</v>
      </c>
      <c r="B8" s="43">
        <f>324000+240000+240000</f>
        <v>804000</v>
      </c>
      <c r="C8" s="44">
        <f>324000+240000+240000</f>
        <v>804000</v>
      </c>
      <c r="D8" s="45">
        <f t="shared" si="4"/>
        <v>804000</v>
      </c>
      <c r="E8" s="46">
        <v>1</v>
      </c>
      <c r="F8" s="45">
        <f t="shared" si="5"/>
        <v>804000</v>
      </c>
    </row>
    <row r="9" spans="1:9">
      <c r="A9" s="42" t="s">
        <v>52</v>
      </c>
      <c r="B9" s="43">
        <v>91373</v>
      </c>
      <c r="C9" s="44">
        <v>3376</v>
      </c>
      <c r="D9" s="45">
        <f t="shared" ref="D9" si="6">AVERAGE(B9:C9)</f>
        <v>47374.5</v>
      </c>
      <c r="E9" s="46">
        <v>0.25</v>
      </c>
      <c r="F9" s="45">
        <f t="shared" ref="F9" si="7">E9*D9</f>
        <v>11843.625</v>
      </c>
    </row>
    <row r="10" spans="1:9">
      <c r="A10" s="42" t="s">
        <v>5</v>
      </c>
      <c r="B10" s="43">
        <v>-124024</v>
      </c>
      <c r="C10" s="43">
        <v>-53268</v>
      </c>
      <c r="D10" s="45">
        <f t="shared" si="1"/>
        <v>-88646</v>
      </c>
      <c r="E10" s="46">
        <v>1</v>
      </c>
      <c r="F10" s="45">
        <f t="shared" si="0"/>
        <v>-88646</v>
      </c>
    </row>
    <row r="11" spans="1:9" ht="12.75" customHeight="1">
      <c r="A11" s="39" t="s">
        <v>56</v>
      </c>
      <c r="B11" s="40" t="s">
        <v>47</v>
      </c>
      <c r="C11" s="40" t="s">
        <v>1</v>
      </c>
      <c r="D11" s="40" t="s">
        <v>2</v>
      </c>
      <c r="E11" s="41" t="s">
        <v>3</v>
      </c>
      <c r="F11" s="40" t="s">
        <v>4</v>
      </c>
    </row>
    <row r="12" spans="1:9">
      <c r="A12" s="42" t="s">
        <v>52</v>
      </c>
      <c r="B12" s="43">
        <v>5650</v>
      </c>
      <c r="C12" s="44">
        <f>1523+372</f>
        <v>1895</v>
      </c>
      <c r="D12" s="45">
        <f t="shared" ref="D12" si="8">AVERAGE(B12:C12)</f>
        <v>3772.5</v>
      </c>
      <c r="E12" s="46">
        <v>0.5</v>
      </c>
      <c r="F12" s="45">
        <f t="shared" ref="F12:F13" si="9">E12*D12</f>
        <v>1886.25</v>
      </c>
    </row>
    <row r="13" spans="1:9" ht="12.75" customHeight="1">
      <c r="A13" s="42" t="s">
        <v>5</v>
      </c>
      <c r="B13" s="43">
        <v>-62354</v>
      </c>
      <c r="C13" s="43">
        <v>-47592</v>
      </c>
      <c r="D13" s="45">
        <f t="shared" ref="D13" si="10">AVERAGE(B13:C13)</f>
        <v>-54973</v>
      </c>
      <c r="E13" s="46">
        <v>1</v>
      </c>
      <c r="F13" s="45">
        <f t="shared" si="9"/>
        <v>-54973</v>
      </c>
    </row>
    <row r="14" spans="1:9" ht="12.75" customHeight="1">
      <c r="A14" s="39" t="s">
        <v>57</v>
      </c>
      <c r="B14" s="40" t="s">
        <v>47</v>
      </c>
      <c r="C14" s="40" t="s">
        <v>1</v>
      </c>
      <c r="D14" s="40" t="s">
        <v>2</v>
      </c>
      <c r="E14" s="41" t="s">
        <v>3</v>
      </c>
      <c r="F14" s="40" t="s">
        <v>4</v>
      </c>
    </row>
    <row r="15" spans="1:9">
      <c r="A15" s="42" t="s">
        <v>58</v>
      </c>
      <c r="B15" s="43">
        <f>324000+192000</f>
        <v>516000</v>
      </c>
      <c r="C15" s="44">
        <f>324000+182000</f>
        <v>506000</v>
      </c>
      <c r="D15" s="45">
        <f t="shared" ref="D15" si="11">AVERAGE(B15:C15)</f>
        <v>511000</v>
      </c>
      <c r="E15" s="46">
        <v>0.25</v>
      </c>
      <c r="F15" s="45">
        <f t="shared" ref="F15" si="12">E15*D15</f>
        <v>127750</v>
      </c>
    </row>
    <row r="16" spans="1:9">
      <c r="A16" s="42" t="s">
        <v>52</v>
      </c>
      <c r="B16" s="43">
        <v>14271</v>
      </c>
      <c r="C16" s="44">
        <v>1789</v>
      </c>
      <c r="D16" s="45">
        <f t="shared" ref="D16:D17" si="13">AVERAGE(B16:C16)</f>
        <v>8030</v>
      </c>
      <c r="E16" s="46">
        <v>0.5</v>
      </c>
      <c r="F16" s="45">
        <f t="shared" ref="F16:F17" si="14">E16*D16</f>
        <v>4015</v>
      </c>
    </row>
    <row r="17" spans="1:6" ht="12.75" customHeight="1">
      <c r="A17" s="47" t="s">
        <v>5</v>
      </c>
      <c r="B17" s="48">
        <v>-47365</v>
      </c>
      <c r="C17" s="48">
        <v>-43281</v>
      </c>
      <c r="D17" s="49">
        <f t="shared" si="13"/>
        <v>-45323</v>
      </c>
      <c r="E17" s="50">
        <v>1</v>
      </c>
      <c r="F17" s="49">
        <f t="shared" si="14"/>
        <v>-45323</v>
      </c>
    </row>
    <row r="18" spans="1:6" ht="15.4" customHeight="1">
      <c r="A18" s="51" t="s">
        <v>6</v>
      </c>
      <c r="B18" s="64"/>
      <c r="C18" s="64"/>
      <c r="D18" s="64"/>
      <c r="E18" s="64"/>
      <c r="F18" s="52">
        <f>+SUM(F3:F17)</f>
        <v>6113758.3100000005</v>
      </c>
    </row>
    <row r="19" spans="1:6" ht="16.350000000000001" customHeight="1">
      <c r="A19" s="53" t="s">
        <v>7</v>
      </c>
      <c r="B19" s="65"/>
      <c r="C19" s="65"/>
      <c r="D19" s="65"/>
      <c r="E19" s="65"/>
      <c r="F19" s="52">
        <f>F18/12</f>
        <v>509479.85916666669</v>
      </c>
    </row>
    <row r="20" spans="1:6">
      <c r="A20" s="53" t="s">
        <v>8</v>
      </c>
      <c r="B20" s="65"/>
      <c r="C20" s="65"/>
      <c r="D20" s="65"/>
      <c r="E20" s="65"/>
      <c r="F20" s="54">
        <f>RTR!L5</f>
        <v>74566</v>
      </c>
    </row>
    <row r="21" spans="1:6" ht="16.350000000000001" customHeight="1">
      <c r="A21" s="55" t="s">
        <v>66</v>
      </c>
      <c r="B21" s="66"/>
      <c r="C21" s="66"/>
      <c r="D21" s="66"/>
      <c r="E21" s="66"/>
      <c r="F21" s="56">
        <v>1.22</v>
      </c>
    </row>
    <row r="22" spans="1:6" ht="16.350000000000001" customHeight="1">
      <c r="A22" s="53" t="s">
        <v>9</v>
      </c>
      <c r="B22" s="65"/>
      <c r="C22" s="65"/>
      <c r="D22" s="65"/>
      <c r="E22" s="65"/>
      <c r="F22" s="57">
        <f>(F19*F21)-F20</f>
        <v>546999.42818333337</v>
      </c>
    </row>
    <row r="23" spans="1:6" ht="16.350000000000001" customHeight="1">
      <c r="A23" s="53" t="s">
        <v>10</v>
      </c>
      <c r="B23" s="65"/>
      <c r="C23" s="65"/>
      <c r="D23" s="65"/>
      <c r="E23" s="65"/>
      <c r="F23" s="58">
        <v>180</v>
      </c>
    </row>
    <row r="24" spans="1:6" ht="14.25" customHeight="1">
      <c r="A24" s="53" t="s">
        <v>11</v>
      </c>
      <c r="B24" s="65"/>
      <c r="C24" s="65"/>
      <c r="D24" s="65"/>
      <c r="E24" s="65"/>
      <c r="F24" s="56">
        <v>9.7500000000000003E-2</v>
      </c>
    </row>
    <row r="25" spans="1:6">
      <c r="A25" s="53" t="s">
        <v>12</v>
      </c>
      <c r="B25" s="65"/>
      <c r="C25" s="65"/>
      <c r="D25" s="65"/>
      <c r="E25" s="65"/>
      <c r="F25" s="59">
        <f>PMT(F24/12,F23,-100000)</f>
        <v>1059.3626635427559</v>
      </c>
    </row>
    <row r="26" spans="1:6">
      <c r="A26" s="53" t="s">
        <v>13</v>
      </c>
      <c r="B26" s="65"/>
      <c r="C26" s="65"/>
      <c r="D26" s="65"/>
      <c r="E26" s="65"/>
      <c r="F26" s="60">
        <f>F22/F25</f>
        <v>516.34765600860396</v>
      </c>
    </row>
    <row r="31" spans="1:6">
      <c r="B31" s="21">
        <v>19</v>
      </c>
      <c r="C31" s="21">
        <v>18</v>
      </c>
      <c r="D31" s="21" t="s">
        <v>74</v>
      </c>
    </row>
    <row r="32" spans="1:6">
      <c r="A32" s="35" t="s">
        <v>70</v>
      </c>
      <c r="B32" s="35">
        <v>150002419</v>
      </c>
      <c r="C32" s="35">
        <v>81511388</v>
      </c>
      <c r="D32" s="35" t="s">
        <v>75</v>
      </c>
    </row>
    <row r="33" spans="1:4">
      <c r="A33" s="35" t="s">
        <v>71</v>
      </c>
      <c r="B33" s="35">
        <v>7858994</v>
      </c>
      <c r="C33" s="35">
        <v>6774066</v>
      </c>
      <c r="D33" s="35"/>
    </row>
    <row r="34" spans="1:4">
      <c r="A34" s="35" t="s">
        <v>72</v>
      </c>
      <c r="B34" s="35">
        <v>1166984</v>
      </c>
      <c r="C34" s="35">
        <v>955310</v>
      </c>
      <c r="D34" s="35"/>
    </row>
  </sheetData>
  <sheetProtection selectLockedCells="1" selectUnlockedCells="1"/>
  <mergeCells count="11">
    <mergeCell ref="B26:E26"/>
    <mergeCell ref="B21:E21"/>
    <mergeCell ref="B22:E22"/>
    <mergeCell ref="B23:E23"/>
    <mergeCell ref="B24:E24"/>
    <mergeCell ref="B25:E25"/>
    <mergeCell ref="G7:H7"/>
    <mergeCell ref="B1:C1"/>
    <mergeCell ref="B18:E18"/>
    <mergeCell ref="B19:E19"/>
    <mergeCell ref="B20:E20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O5"/>
  <sheetViews>
    <sheetView zoomScale="89" zoomScaleNormal="89" workbookViewId="0">
      <selection activeCell="L4" sqref="L4"/>
    </sheetView>
  </sheetViews>
  <sheetFormatPr defaultColWidth="22.140625" defaultRowHeight="13.5"/>
  <cols>
    <col min="1" max="1" width="5.42578125" style="25" customWidth="1"/>
    <col min="2" max="2" width="21.28515625" style="25" customWidth="1"/>
    <col min="3" max="4" width="18.5703125" style="25" customWidth="1"/>
    <col min="5" max="5" width="13.28515625" style="25" customWidth="1"/>
    <col min="6" max="6" width="10.28515625" style="25" bestFit="1" customWidth="1"/>
    <col min="7" max="7" width="10.28515625" style="25" customWidth="1"/>
    <col min="8" max="8" width="10.140625" style="25" customWidth="1"/>
    <col min="9" max="9" width="6.5703125" style="25" customWidth="1"/>
    <col min="10" max="10" width="6.42578125" style="25" customWidth="1"/>
    <col min="11" max="11" width="8.7109375" style="25" bestFit="1" customWidth="1"/>
    <col min="12" max="12" width="13.140625" style="25" customWidth="1"/>
    <col min="13" max="249" width="22.140625" style="25"/>
    <col min="250" max="16384" width="22.140625" style="26"/>
  </cols>
  <sheetData>
    <row r="1" spans="1:12" ht="27">
      <c r="A1" s="27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68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</row>
    <row r="2" spans="1:12">
      <c r="A2" s="28">
        <v>1</v>
      </c>
      <c r="B2" s="29" t="s">
        <v>59</v>
      </c>
      <c r="C2" s="28" t="s">
        <v>60</v>
      </c>
      <c r="D2" s="28" t="s">
        <v>61</v>
      </c>
      <c r="E2" s="29" t="s">
        <v>62</v>
      </c>
      <c r="F2" s="29">
        <v>1598000</v>
      </c>
      <c r="G2" s="29">
        <v>607611</v>
      </c>
      <c r="H2" s="30">
        <v>37</v>
      </c>
      <c r="I2" s="30">
        <v>23</v>
      </c>
      <c r="J2" s="30">
        <f>37-23</f>
        <v>14</v>
      </c>
      <c r="K2" s="30">
        <v>49070</v>
      </c>
      <c r="L2" s="31" t="s">
        <v>69</v>
      </c>
    </row>
    <row r="3" spans="1:12">
      <c r="A3" s="28">
        <v>2</v>
      </c>
      <c r="B3" s="29" t="s">
        <v>63</v>
      </c>
      <c r="C3" s="28" t="s">
        <v>60</v>
      </c>
      <c r="D3" s="28" t="s">
        <v>61</v>
      </c>
      <c r="E3" s="29" t="s">
        <v>62</v>
      </c>
      <c r="F3" s="29">
        <v>821000</v>
      </c>
      <c r="G3" s="29">
        <v>427106</v>
      </c>
      <c r="H3" s="30">
        <v>37</v>
      </c>
      <c r="I3" s="30">
        <v>19</v>
      </c>
      <c r="J3" s="30">
        <f>37-19</f>
        <v>18</v>
      </c>
      <c r="K3" s="30">
        <v>25496</v>
      </c>
      <c r="L3" s="31" t="s">
        <v>69</v>
      </c>
    </row>
    <row r="4" spans="1:12">
      <c r="A4" s="28">
        <v>3</v>
      </c>
      <c r="B4" s="29">
        <v>3908890000061</v>
      </c>
      <c r="C4" s="28" t="s">
        <v>60</v>
      </c>
      <c r="D4" s="28" t="s">
        <v>61</v>
      </c>
      <c r="E4" s="29" t="s">
        <v>64</v>
      </c>
      <c r="F4" s="34"/>
      <c r="G4" s="34"/>
      <c r="H4" s="34"/>
      <c r="I4" s="34"/>
      <c r="J4" s="34"/>
      <c r="K4" s="34"/>
      <c r="L4" s="31" t="s">
        <v>65</v>
      </c>
    </row>
    <row r="5" spans="1:12">
      <c r="A5" s="32"/>
      <c r="B5" s="28"/>
      <c r="C5" s="28"/>
      <c r="D5" s="28"/>
      <c r="E5" s="29"/>
      <c r="F5" s="28"/>
      <c r="G5" s="28"/>
      <c r="H5" s="28"/>
      <c r="I5" s="28"/>
      <c r="J5" s="28"/>
      <c r="K5" s="28"/>
      <c r="L5" s="33">
        <f>SUMIF(L2:L4,"Y",K2:K4)</f>
        <v>74566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C3:P11"/>
  <sheetViews>
    <sheetView tabSelected="1" workbookViewId="0">
      <selection activeCell="M15" sqref="M15"/>
    </sheetView>
  </sheetViews>
  <sheetFormatPr defaultRowHeight="12.75"/>
  <cols>
    <col min="3" max="3" width="7.85546875" customWidth="1"/>
    <col min="5" max="5" width="10.85546875" customWidth="1"/>
  </cols>
  <sheetData>
    <row r="3" spans="3:16">
      <c r="C3" s="37" t="s">
        <v>93</v>
      </c>
      <c r="D3" s="37"/>
      <c r="E3" s="37"/>
    </row>
    <row r="5" spans="3:16">
      <c r="D5" s="37" t="s">
        <v>80</v>
      </c>
      <c r="E5" s="37" t="s">
        <v>81</v>
      </c>
      <c r="F5" s="37" t="s">
        <v>82</v>
      </c>
      <c r="G5" s="37" t="s">
        <v>83</v>
      </c>
      <c r="H5" s="37" t="s">
        <v>84</v>
      </c>
      <c r="I5" s="37" t="s">
        <v>85</v>
      </c>
      <c r="J5" s="37" t="s">
        <v>86</v>
      </c>
      <c r="K5" s="37" t="s">
        <v>87</v>
      </c>
      <c r="L5" s="37" t="s">
        <v>88</v>
      </c>
      <c r="M5" s="37" t="s">
        <v>89</v>
      </c>
      <c r="N5" s="37" t="s">
        <v>90</v>
      </c>
      <c r="O5" s="37" t="s">
        <v>91</v>
      </c>
    </row>
    <row r="6" spans="3:16">
      <c r="C6" s="37" t="s">
        <v>76</v>
      </c>
      <c r="D6" s="36">
        <v>-41892</v>
      </c>
      <c r="E6" s="36">
        <v>1627103</v>
      </c>
      <c r="F6" s="36">
        <v>2050560</v>
      </c>
      <c r="G6" s="36">
        <v>185874</v>
      </c>
      <c r="H6" s="36">
        <v>2850556</v>
      </c>
      <c r="I6" s="36">
        <v>1085145</v>
      </c>
      <c r="J6" s="36">
        <v>126597</v>
      </c>
      <c r="K6" s="36">
        <v>7245</v>
      </c>
      <c r="L6" s="36">
        <v>106620</v>
      </c>
      <c r="M6" s="36">
        <v>191377</v>
      </c>
      <c r="N6" s="36">
        <v>59556</v>
      </c>
      <c r="O6" s="36">
        <v>228000</v>
      </c>
    </row>
    <row r="7" spans="3:16">
      <c r="C7" s="37" t="s">
        <v>77</v>
      </c>
      <c r="D7" s="36">
        <v>1313752</v>
      </c>
      <c r="E7" s="36">
        <v>972487</v>
      </c>
      <c r="F7" s="36">
        <v>3115522</v>
      </c>
      <c r="G7" s="36">
        <v>306749</v>
      </c>
      <c r="H7" s="36">
        <v>400556</v>
      </c>
      <c r="I7" s="36">
        <v>1906957</v>
      </c>
      <c r="J7" s="36">
        <v>214204</v>
      </c>
      <c r="K7" s="36">
        <v>113799</v>
      </c>
      <c r="L7" s="36">
        <v>102455</v>
      </c>
      <c r="M7" s="36">
        <v>92399</v>
      </c>
      <c r="N7" s="36">
        <v>58406</v>
      </c>
      <c r="O7" s="36">
        <v>163338</v>
      </c>
    </row>
    <row r="8" spans="3:16">
      <c r="C8" s="37" t="s">
        <v>78</v>
      </c>
      <c r="D8" s="36">
        <v>165</v>
      </c>
      <c r="E8" s="36">
        <v>722962</v>
      </c>
      <c r="F8" s="36">
        <v>943801</v>
      </c>
      <c r="G8" s="36">
        <v>315553</v>
      </c>
      <c r="H8" s="36">
        <v>4428952</v>
      </c>
      <c r="I8" s="36">
        <v>2459</v>
      </c>
      <c r="J8" s="36">
        <v>326255</v>
      </c>
      <c r="K8" s="36">
        <v>604471</v>
      </c>
      <c r="L8" s="36">
        <v>33832</v>
      </c>
      <c r="M8" s="36">
        <v>59100</v>
      </c>
      <c r="N8" s="36">
        <v>153051</v>
      </c>
      <c r="O8" s="36">
        <v>101384</v>
      </c>
    </row>
    <row r="9" spans="3:16">
      <c r="C9" s="37" t="s">
        <v>79</v>
      </c>
      <c r="D9" s="36">
        <v>911086</v>
      </c>
      <c r="E9" s="36">
        <v>3580089</v>
      </c>
      <c r="F9" s="36">
        <v>2627519</v>
      </c>
      <c r="G9" s="36">
        <v>1567919</v>
      </c>
      <c r="H9" s="36">
        <v>67474</v>
      </c>
      <c r="I9" s="36">
        <v>50753</v>
      </c>
      <c r="J9" s="36">
        <v>82844</v>
      </c>
      <c r="K9" s="36">
        <v>100956</v>
      </c>
      <c r="L9" s="36">
        <v>72790</v>
      </c>
      <c r="M9" s="36">
        <v>68190</v>
      </c>
      <c r="N9" s="36">
        <v>133711</v>
      </c>
      <c r="O9" s="36">
        <v>200794</v>
      </c>
    </row>
    <row r="10" spans="3:16">
      <c r="D10" s="36">
        <f>SUM(D6:D9)/3</f>
        <v>727703.66666666663</v>
      </c>
      <c r="E10" s="36">
        <f t="shared" ref="E10:O10" si="0">SUM(E6:E9)/3</f>
        <v>2300880.3333333335</v>
      </c>
      <c r="F10" s="36">
        <f t="shared" si="0"/>
        <v>2912467.3333333335</v>
      </c>
      <c r="G10" s="36">
        <f>SUM(G6:G9)/3</f>
        <v>792031.66666666663</v>
      </c>
      <c r="H10" s="36">
        <f t="shared" si="0"/>
        <v>2582512.6666666665</v>
      </c>
      <c r="I10" s="36">
        <f t="shared" si="0"/>
        <v>1015104.6666666666</v>
      </c>
      <c r="J10" s="36">
        <f t="shared" si="0"/>
        <v>249966.66666666666</v>
      </c>
      <c r="K10" s="36">
        <f t="shared" si="0"/>
        <v>275490.33333333331</v>
      </c>
      <c r="L10" s="36">
        <f t="shared" si="0"/>
        <v>105232.33333333333</v>
      </c>
      <c r="M10" s="36">
        <f t="shared" si="0"/>
        <v>137022</v>
      </c>
      <c r="N10" s="36">
        <f t="shared" si="0"/>
        <v>134908</v>
      </c>
      <c r="O10" s="36">
        <f t="shared" si="0"/>
        <v>231172</v>
      </c>
      <c r="P10" s="36">
        <f>SUM(D10:O10)/12</f>
        <v>955374.30555555562</v>
      </c>
    </row>
    <row r="11" spans="3:16">
      <c r="C11" s="37" t="s">
        <v>92</v>
      </c>
      <c r="D11" s="36">
        <v>42</v>
      </c>
      <c r="E11" s="36">
        <v>51</v>
      </c>
      <c r="F11" s="36">
        <v>53</v>
      </c>
      <c r="G11" s="36">
        <v>33</v>
      </c>
      <c r="H11" s="36">
        <v>31</v>
      </c>
      <c r="I11" s="36">
        <v>34</v>
      </c>
      <c r="J11" s="36">
        <v>33</v>
      </c>
      <c r="K11" s="36">
        <v>32</v>
      </c>
      <c r="L11" s="36">
        <v>18</v>
      </c>
      <c r="M11" s="36">
        <v>28</v>
      </c>
      <c r="N11" s="36">
        <v>22</v>
      </c>
      <c r="O11" s="3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7" t="s">
        <v>25</v>
      </c>
      <c r="B1" s="67"/>
      <c r="C1" s="2"/>
    </row>
    <row r="2" spans="1:6" ht="14.25" customHeight="1">
      <c r="A2" s="67" t="s">
        <v>26</v>
      </c>
      <c r="B2" s="67"/>
      <c r="C2" s="2"/>
    </row>
    <row r="5" spans="1:6" ht="27">
      <c r="A5" s="3" t="s">
        <v>14</v>
      </c>
      <c r="B5" s="4" t="s">
        <v>27</v>
      </c>
      <c r="C5" s="4" t="s">
        <v>28</v>
      </c>
      <c r="D5" s="5" t="s">
        <v>29</v>
      </c>
      <c r="E5" s="1" t="s">
        <v>30</v>
      </c>
      <c r="F5" s="1" t="s">
        <v>31</v>
      </c>
    </row>
    <row r="6" spans="1:6" ht="40.5">
      <c r="A6" s="6">
        <v>1</v>
      </c>
      <c r="B6" s="7" t="s">
        <v>32</v>
      </c>
      <c r="C6" s="8" t="s">
        <v>33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34</v>
      </c>
      <c r="C7" s="8" t="s">
        <v>35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36</v>
      </c>
      <c r="C8" s="8" t="s">
        <v>37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38</v>
      </c>
      <c r="C9" s="12" t="s">
        <v>39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40</v>
      </c>
      <c r="C10" s="8" t="s">
        <v>41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42</v>
      </c>
      <c r="C11" s="14" t="s">
        <v>43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44</v>
      </c>
      <c r="C12" s="15" t="s">
        <v>45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2020-02-05T09:51:03Z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