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F33" i="1"/>
  <c r="C24" l="1"/>
  <c r="B24"/>
  <c r="B20"/>
  <c r="C16"/>
  <c r="B16"/>
  <c r="C11"/>
  <c r="B11"/>
  <c r="B5"/>
  <c r="D17"/>
  <c r="F17" s="1"/>
  <c r="D15"/>
  <c r="F15" s="1"/>
  <c r="D14"/>
  <c r="F14" s="1"/>
  <c r="D23"/>
  <c r="F23" s="1"/>
  <c r="D12"/>
  <c r="D10"/>
  <c r="F10" s="1"/>
  <c r="D9"/>
  <c r="D16" l="1"/>
  <c r="F16" s="1"/>
  <c r="D7"/>
  <c r="F7" s="1"/>
  <c r="F9"/>
  <c r="D11"/>
  <c r="F11" s="1"/>
  <c r="C6"/>
  <c r="C5"/>
  <c r="B6"/>
  <c r="D25" l="1"/>
  <c r="D24"/>
  <c r="F24" s="1"/>
  <c r="D20"/>
  <c r="F20" s="1"/>
  <c r="D3"/>
  <c r="D21" l="1"/>
  <c r="D19"/>
  <c r="D4"/>
  <c r="D5"/>
  <c r="F5" s="1"/>
  <c r="D6"/>
  <c r="F25" l="1"/>
  <c r="F19"/>
  <c r="F21"/>
  <c r="F12"/>
  <c r="F3"/>
  <c r="F4"/>
  <c r="F6" i="5"/>
  <c r="F7"/>
  <c r="F8"/>
  <c r="F9"/>
  <c r="F10"/>
  <c r="F11"/>
  <c r="F12"/>
  <c r="E13"/>
  <c r="F13" l="1"/>
  <c r="F6" i="1"/>
  <c r="F26" s="1"/>
  <c r="F27" l="1"/>
  <c r="F30" l="1"/>
  <c r="F34" s="1"/>
</calcChain>
</file>

<file path=xl/sharedStrings.xml><?xml version="1.0" encoding="utf-8"?>
<sst xmlns="http://schemas.openxmlformats.org/spreadsheetml/2006/main" count="112" uniqueCount="79">
  <si>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</si>
  <si>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</si>
  <si>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</si>
  <si>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</si>
  <si>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</si>
  <si>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</si>
  <si>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</si>
  <si>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</si>
  <si>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</si>
  <si>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</si>
  <si>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</si>
  <si>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</si>
  <si>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</si>
  <si>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</si>
  <si>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</si>
  <si>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</si>
  <si>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</si>
  <si>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</si>
  <si>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</si>
  <si>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</si>
  <si>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</si>
  <si>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</si>
  <si>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</si>
  <si>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</si>
  <si>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</si>
  <si>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</si>
  <si>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</si>
  <si>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</si>
  <si>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</si>
  <si>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</si>
  <si>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</si>
  <si>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</si>
  <si>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</si>
  <si>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</si>
  <si>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</si>
  <si>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</si>
  <si>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</si>
  <si>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</si>
  <si>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</si>
  <si>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</si>
  <si>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</si>
  <si>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</si>
  <si>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</si>
  <si>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</si>
  <si>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</si>
  <si>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</si>
  <si>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</si>
  <si>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</si>
  <si>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</si>
  <si>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</si>
  <si>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 xml:space="preserve">ASSESSMENT YEAR </t>
  </si>
  <si>
    <t>2017-18</t>
  </si>
  <si>
    <t>2018-2019</t>
  </si>
  <si>
    <t>2017-2018</t>
  </si>
  <si>
    <t>ICICI</t>
  </si>
  <si>
    <t xml:space="preserve"> </t>
  </si>
  <si>
    <t>Payment made u/s 40 A(2)(b)</t>
  </si>
  <si>
    <t>Finance costs</t>
  </si>
  <si>
    <t>Income from salary</t>
  </si>
  <si>
    <t>Income from other sources</t>
  </si>
  <si>
    <t xml:space="preserve">Income from other sources </t>
  </si>
  <si>
    <t>RAJ AMAR FORGING PVT LTD</t>
  </si>
  <si>
    <t>Munish Jain</t>
  </si>
  <si>
    <t>Sandesh Jain</t>
  </si>
  <si>
    <t>Madhu Jain</t>
  </si>
  <si>
    <t>Amar Chand Jain</t>
  </si>
  <si>
    <t>Income from business and profession</t>
  </si>
  <si>
    <t>LBLUD00003592815</t>
  </si>
  <si>
    <t>ALN002300280950</t>
  </si>
  <si>
    <t>917030055846802</t>
  </si>
  <si>
    <t>Amar chand Jain</t>
  </si>
  <si>
    <t>Raj Amar Forgings</t>
  </si>
  <si>
    <t>YES BANK</t>
  </si>
  <si>
    <t>AXIS BANK</t>
  </si>
  <si>
    <t xml:space="preserve">HOME </t>
  </si>
  <si>
    <t>AUTO LOAN</t>
  </si>
  <si>
    <t>CC</t>
  </si>
  <si>
    <t>Y</t>
  </si>
  <si>
    <t>N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</si>
</sst>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6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"/>
      <name val="Zurich BT"/>
      <family val="2"/>
    </font>
    <font>
      <sz val="10"/>
      <name val="Zurich BT"/>
    </font>
    <font>
      <sz val="10"/>
      <color theme="1"/>
      <name val="Zurich BT"/>
    </font>
    <font>
      <sz val="10"/>
      <color rgb="FFFF0000"/>
      <name val="Zurich BT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164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164" fontId="1" fillId="0" borderId="0" applyBorder="0" applyProtection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7" fillId="5" borderId="1" xfId="0" applyFont="1" applyFill="1" applyBorder="1" applyAlignment="1" applyProtection="1">
      <alignment vertical="top" wrapText="1"/>
      <protection hidden="1"/>
    </xf>
    <xf numFmtId="0" fontId="6" fillId="5" borderId="1" xfId="0" applyFont="1" applyFill="1" applyBorder="1" applyAlignment="1" applyProtection="1">
      <alignment vertical="top" wrapText="1"/>
      <protection hidden="1"/>
    </xf>
    <xf numFmtId="0" fontId="6" fillId="5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9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6" fillId="6" borderId="1" xfId="0" applyFont="1" applyFill="1" applyBorder="1" applyAlignment="1" applyProtection="1">
      <alignment vertical="top" wrapText="1"/>
      <protection hidden="1"/>
    </xf>
    <xf numFmtId="0" fontId="6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6" fillId="6" borderId="1" xfId="2" applyNumberFormat="1" applyFont="1" applyFill="1" applyBorder="1" applyAlignment="1" applyProtection="1">
      <alignment horizontal="left" vertical="top" wrapText="1"/>
      <protection hidden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/>
    </xf>
    <xf numFmtId="1" fontId="0" fillId="2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top" wrapText="1"/>
      <protection hidden="1"/>
    </xf>
    <xf numFmtId="165" fontId="12" fillId="4" borderId="1" xfId="1" applyNumberFormat="1" applyFont="1" applyFill="1" applyBorder="1" applyAlignment="1" applyProtection="1">
      <alignment horizontal="left" vertical="center" wrapText="1"/>
    </xf>
    <xf numFmtId="165" fontId="12" fillId="2" borderId="1" xfId="1" applyNumberFormat="1" applyFont="1" applyFill="1" applyBorder="1" applyAlignment="1" applyProtection="1">
      <alignment horizontal="left" vertical="center" wrapText="1"/>
    </xf>
    <xf numFmtId="165" fontId="12" fillId="0" borderId="1" xfId="1" applyNumberFormat="1" applyFont="1" applyFill="1" applyBorder="1" applyAlignment="1" applyProtection="1">
      <alignment horizontal="left" vertical="top" wrapText="1"/>
    </xf>
    <xf numFmtId="165" fontId="12" fillId="3" borderId="1" xfId="1" applyNumberFormat="1" applyFont="1" applyFill="1" applyBorder="1" applyAlignment="1" applyProtection="1">
      <alignment horizontal="left" vertical="center" wrapText="1"/>
    </xf>
    <xf numFmtId="165" fontId="12" fillId="3" borderId="1" xfId="1" applyNumberFormat="1" applyFont="1" applyFill="1" applyBorder="1" applyAlignment="1" applyProtection="1">
      <alignment horizontal="left" vertical="center" wrapText="1"/>
    </xf>
    <xf numFmtId="0" fontId="12" fillId="2" borderId="0" xfId="3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9" fontId="12" fillId="4" borderId="1" xfId="1" applyNumberFormat="1" applyFont="1" applyFill="1" applyBorder="1" applyAlignment="1" applyProtection="1">
      <alignment horizontal="left" vertical="center" wrapText="1"/>
    </xf>
    <xf numFmtId="166" fontId="13" fillId="2" borderId="1" xfId="1" applyNumberFormat="1" applyFont="1" applyFill="1" applyBorder="1" applyAlignment="1" applyProtection="1">
      <alignment horizontal="left" vertical="center"/>
    </xf>
    <xf numFmtId="166" fontId="12" fillId="0" borderId="1" xfId="1" applyNumberFormat="1" applyFont="1" applyFill="1" applyBorder="1" applyAlignment="1" applyProtection="1">
      <alignment horizontal="left" vertical="center"/>
    </xf>
    <xf numFmtId="165" fontId="12" fillId="2" borderId="1" xfId="1" applyNumberFormat="1" applyFont="1" applyFill="1" applyBorder="1" applyAlignment="1" applyProtection="1">
      <alignment horizontal="left" vertical="top"/>
    </xf>
    <xf numFmtId="9" fontId="12" fillId="2" borderId="1" xfId="1" applyNumberFormat="1" applyFont="1" applyFill="1" applyBorder="1" applyAlignment="1" applyProtection="1">
      <alignment horizontal="left" vertical="top"/>
    </xf>
    <xf numFmtId="166" fontId="14" fillId="2" borderId="1" xfId="1" applyNumberFormat="1" applyFont="1" applyFill="1" applyBorder="1" applyAlignment="1" applyProtection="1">
      <alignment horizontal="left" vertical="center"/>
    </xf>
    <xf numFmtId="166" fontId="14" fillId="0" borderId="1" xfId="1" applyNumberFormat="1" applyFont="1" applyFill="1" applyBorder="1" applyAlignment="1" applyProtection="1">
      <alignment horizontal="left" vertical="center"/>
    </xf>
    <xf numFmtId="165" fontId="14" fillId="2" borderId="1" xfId="1" applyNumberFormat="1" applyFont="1" applyFill="1" applyBorder="1" applyAlignment="1" applyProtection="1">
      <alignment horizontal="left" vertical="top"/>
    </xf>
    <xf numFmtId="166" fontId="12" fillId="2" borderId="1" xfId="1" applyNumberFormat="1" applyFont="1" applyFill="1" applyBorder="1" applyAlignment="1" applyProtection="1">
      <alignment horizontal="left" vertical="center"/>
    </xf>
    <xf numFmtId="164" fontId="12" fillId="4" borderId="1" xfId="1" applyFont="1" applyFill="1" applyBorder="1" applyAlignment="1" applyProtection="1">
      <alignment horizontal="left" vertical="top" wrapText="1"/>
    </xf>
    <xf numFmtId="0" fontId="12" fillId="4" borderId="2" xfId="0" applyNumberFormat="1" applyFont="1" applyFill="1" applyBorder="1" applyAlignment="1">
      <alignment horizontal="left"/>
    </xf>
    <xf numFmtId="0" fontId="12" fillId="4" borderId="3" xfId="0" applyNumberFormat="1" applyFont="1" applyFill="1" applyBorder="1" applyAlignment="1">
      <alignment horizontal="left"/>
    </xf>
    <xf numFmtId="0" fontId="12" fillId="4" borderId="4" xfId="0" applyNumberFormat="1" applyFont="1" applyFill="1" applyBorder="1" applyAlignment="1">
      <alignment horizontal="left"/>
    </xf>
    <xf numFmtId="167" fontId="12" fillId="4" borderId="1" xfId="1" applyNumberFormat="1" applyFont="1" applyFill="1" applyBorder="1" applyAlignment="1" applyProtection="1">
      <alignment horizontal="left" vertical="top"/>
    </xf>
    <xf numFmtId="0" fontId="12" fillId="0" borderId="2" xfId="0" applyNumberFormat="1" applyFont="1" applyFill="1" applyBorder="1" applyAlignment="1">
      <alignment horizontal="left"/>
    </xf>
    <xf numFmtId="0" fontId="12" fillId="0" borderId="3" xfId="0" applyNumberFormat="1" applyFont="1" applyFill="1" applyBorder="1" applyAlignment="1">
      <alignment horizontal="left"/>
    </xf>
    <xf numFmtId="0" fontId="12" fillId="0" borderId="4" xfId="0" applyNumberFormat="1" applyFont="1" applyFill="1" applyBorder="1" applyAlignment="1">
      <alignment horizontal="left"/>
    </xf>
    <xf numFmtId="165" fontId="12" fillId="0" borderId="2" xfId="1" applyNumberFormat="1" applyFont="1" applyFill="1" applyBorder="1" applyAlignment="1" applyProtection="1">
      <alignment horizontal="left" vertical="center"/>
    </xf>
    <xf numFmtId="165" fontId="12" fillId="0" borderId="3" xfId="1" applyNumberFormat="1" applyFont="1" applyFill="1" applyBorder="1" applyAlignment="1" applyProtection="1">
      <alignment horizontal="left" vertical="center"/>
    </xf>
    <xf numFmtId="165" fontId="12" fillId="0" borderId="4" xfId="1" applyNumberFormat="1" applyFont="1" applyFill="1" applyBorder="1" applyAlignment="1" applyProtection="1">
      <alignment horizontal="left" vertical="center"/>
    </xf>
    <xf numFmtId="10" fontId="12" fillId="0" borderId="1" xfId="1" applyNumberFormat="1" applyFont="1" applyFill="1" applyBorder="1" applyAlignment="1" applyProtection="1">
      <alignment horizontal="left" vertical="top"/>
    </xf>
    <xf numFmtId="0" fontId="12" fillId="0" borderId="1" xfId="0" applyNumberFormat="1" applyFont="1" applyFill="1" applyBorder="1" applyAlignment="1">
      <alignment horizontal="left"/>
    </xf>
    <xf numFmtId="165" fontId="12" fillId="4" borderId="1" xfId="1" applyNumberFormat="1" applyFont="1" applyFill="1" applyBorder="1" applyAlignment="1" applyProtection="1">
      <alignment horizontal="left" vertical="top"/>
    </xf>
    <xf numFmtId="165" fontId="12" fillId="0" borderId="1" xfId="1" applyNumberFormat="1" applyFont="1" applyFill="1" applyBorder="1" applyAlignment="1" applyProtection="1">
      <alignment horizontal="left" vertical="top"/>
    </xf>
    <xf numFmtId="2" fontId="12" fillId="4" borderId="1" xfId="4" applyNumberFormat="1" applyFont="1" applyFill="1" applyBorder="1" applyAlignment="1" applyProtection="1">
      <alignment horizontal="left" vertical="top"/>
    </xf>
    <xf numFmtId="164" fontId="15" fillId="4" borderId="1" xfId="4" applyNumberFormat="1" applyFont="1" applyFill="1" applyBorder="1" applyAlignment="1" applyProtection="1">
      <alignment horizontal="left" vertical="top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34"/>
  <sheetViews>
    <sheetView tabSelected="1" topLeftCell="A6" zoomScale="89" zoomScaleNormal="89" workbookViewId="0">
      <selection activeCell="F32" sqref="F32"/>
    </sheetView>
  </sheetViews>
  <sheetFormatPr defaultColWidth="31.28515625" defaultRowHeight="12.75"/>
  <cols>
    <col min="1" max="1" width="42.7109375" style="39" customWidth="1"/>
    <col min="2" max="2" width="12.42578125" style="39" customWidth="1"/>
    <col min="3" max="3" width="12" style="39" customWidth="1"/>
    <col min="4" max="4" width="14.140625" style="39" customWidth="1"/>
    <col min="5" max="5" width="14.7109375" style="39" customWidth="1"/>
    <col min="6" max="6" width="19.5703125" style="39" customWidth="1"/>
    <col min="7" max="7" width="16.28515625" style="39" customWidth="1"/>
    <col min="8" max="8" width="14.7109375" style="39" customWidth="1"/>
    <col min="9" max="9" width="11.85546875" style="39" customWidth="1"/>
    <col min="10" max="10" width="14.5703125" style="39" customWidth="1"/>
    <col min="11" max="12" width="13.140625" style="39" customWidth="1"/>
    <col min="13" max="13" width="13.7109375" style="39" customWidth="1"/>
    <col min="14" max="14" width="14.140625" style="39" customWidth="1"/>
    <col min="15" max="15" width="11.85546875" style="39" customWidth="1"/>
    <col min="16" max="16" width="12" style="39" customWidth="1"/>
    <col min="17" max="17" width="11" style="39" customWidth="1"/>
    <col min="18" max="18" width="11.5703125" style="39" customWidth="1"/>
    <col min="19" max="19" width="12" style="39" customWidth="1"/>
    <col min="20" max="237" width="31.28515625" style="39"/>
    <col min="238" max="245" width="31.28515625" style="40"/>
    <col min="246" max="247" width="31.28515625" style="41"/>
    <col min="248" max="254" width="31.28515625" style="42"/>
    <col min="255" max="16384" width="31.28515625" style="43"/>
  </cols>
  <sheetData>
    <row r="1" spans="1:8" ht="26.85" customHeight="1">
      <c r="A1" s="37" t="s">
        <v>61</v>
      </c>
      <c r="B1" s="38" t="s">
        <v>50</v>
      </c>
      <c r="C1" s="38"/>
      <c r="D1" s="37"/>
      <c r="E1" s="37"/>
      <c r="F1" s="37"/>
    </row>
    <row r="2" spans="1:8">
      <c r="A2" s="34" t="s">
        <v>61</v>
      </c>
      <c r="B2" s="34" t="s">
        <v>52</v>
      </c>
      <c r="C2" s="34" t="s">
        <v>53</v>
      </c>
      <c r="D2" s="34" t="s">
        <v>35</v>
      </c>
      <c r="E2" s="44" t="s">
        <v>0</v>
      </c>
      <c r="F2" s="34" t="s">
        <v>36</v>
      </c>
    </row>
    <row r="3" spans="1:8">
      <c r="A3" s="35" t="s">
        <v>47</v>
      </c>
      <c r="B3" s="45">
        <v>3116636.86</v>
      </c>
      <c r="C3" s="46">
        <v>3062737.45</v>
      </c>
      <c r="D3" s="47">
        <f>AVERAGE(B3:C3)</f>
        <v>3089687.1550000003</v>
      </c>
      <c r="E3" s="48">
        <v>1</v>
      </c>
      <c r="F3" s="47">
        <f>E3*D3</f>
        <v>3089687.1550000003</v>
      </c>
    </row>
    <row r="4" spans="1:8">
      <c r="A4" s="35" t="s">
        <v>48</v>
      </c>
      <c r="B4" s="45">
        <v>1738644.66</v>
      </c>
      <c r="C4" s="46">
        <v>1561163</v>
      </c>
      <c r="D4" s="47">
        <f>AVERAGE(B4:C4)</f>
        <v>1649903.83</v>
      </c>
      <c r="E4" s="48">
        <v>1</v>
      </c>
      <c r="F4" s="47">
        <f>E4*D4</f>
        <v>1649903.83</v>
      </c>
    </row>
    <row r="5" spans="1:8">
      <c r="A5" s="35" t="s">
        <v>56</v>
      </c>
      <c r="B5" s="45">
        <f>779980+599980+58966.56+31093.35+31091.62+346354.67</f>
        <v>1847466.2000000002</v>
      </c>
      <c r="C5" s="46">
        <f>780000+600000+79126+10915+10899+260891</f>
        <v>1741831</v>
      </c>
      <c r="D5" s="47">
        <f>AVERAGE(B5:C5)</f>
        <v>1794648.6</v>
      </c>
      <c r="E5" s="48">
        <v>1</v>
      </c>
      <c r="F5" s="47">
        <f>E5*D5</f>
        <v>1794648.6</v>
      </c>
    </row>
    <row r="6" spans="1:8">
      <c r="A6" s="35" t="s">
        <v>57</v>
      </c>
      <c r="B6" s="49">
        <f>2270938.3+1105786.55</f>
        <v>3376724.8499999996</v>
      </c>
      <c r="C6" s="50">
        <f>2587327.6+1056429.7</f>
        <v>3643757.3</v>
      </c>
      <c r="D6" s="51">
        <f>AVERAGE(B6:C6)</f>
        <v>3510241.0749999997</v>
      </c>
      <c r="E6" s="48">
        <v>0</v>
      </c>
      <c r="F6" s="47">
        <f>E6*D6</f>
        <v>0</v>
      </c>
    </row>
    <row r="7" spans="1:8">
      <c r="A7" s="35" t="s">
        <v>37</v>
      </c>
      <c r="B7" s="45">
        <v>-604310</v>
      </c>
      <c r="C7" s="52">
        <v>-600388</v>
      </c>
      <c r="D7" s="47">
        <f>AVERAGE(B7:C7)</f>
        <v>-602349</v>
      </c>
      <c r="E7" s="48">
        <v>1</v>
      </c>
      <c r="F7" s="47">
        <f>E7*D7</f>
        <v>-602349</v>
      </c>
    </row>
    <row r="8" spans="1:8">
      <c r="A8" s="34" t="s">
        <v>65</v>
      </c>
      <c r="B8" s="34" t="s">
        <v>52</v>
      </c>
      <c r="C8" s="34" t="s">
        <v>51</v>
      </c>
      <c r="D8" s="34" t="s">
        <v>35</v>
      </c>
      <c r="E8" s="44" t="s">
        <v>0</v>
      </c>
      <c r="F8" s="34" t="s">
        <v>36</v>
      </c>
    </row>
    <row r="9" spans="1:8">
      <c r="A9" s="35" t="s">
        <v>58</v>
      </c>
      <c r="B9" s="45">
        <v>779980</v>
      </c>
      <c r="C9" s="46">
        <v>780000</v>
      </c>
      <c r="D9" s="47">
        <f>AVERAGE(B9,C9)</f>
        <v>779990</v>
      </c>
      <c r="E9" s="48">
        <v>0</v>
      </c>
      <c r="F9" s="47">
        <f>E9*D9</f>
        <v>0</v>
      </c>
    </row>
    <row r="10" spans="1:8">
      <c r="A10" s="35" t="s">
        <v>66</v>
      </c>
      <c r="B10" s="45">
        <v>55765</v>
      </c>
      <c r="C10" s="46">
        <v>52622</v>
      </c>
      <c r="D10" s="47">
        <f>AVERAGE(B10,C10)</f>
        <v>54193.5</v>
      </c>
      <c r="E10" s="48">
        <v>1</v>
      </c>
      <c r="F10" s="47">
        <f>E10*D10</f>
        <v>54193.5</v>
      </c>
    </row>
    <row r="11" spans="1:8">
      <c r="A11" s="35" t="s">
        <v>59</v>
      </c>
      <c r="B11" s="45">
        <f>61963-58967</f>
        <v>2996</v>
      </c>
      <c r="C11" s="46">
        <f>79958-79126</f>
        <v>832</v>
      </c>
      <c r="D11" s="47">
        <f>AVERAGE(B11,C11)</f>
        <v>1914</v>
      </c>
      <c r="E11" s="48">
        <v>0.5</v>
      </c>
      <c r="F11" s="47">
        <f>E11*D11</f>
        <v>957</v>
      </c>
    </row>
    <row r="12" spans="1:8">
      <c r="A12" s="35" t="s">
        <v>37</v>
      </c>
      <c r="B12" s="45">
        <v>-50721</v>
      </c>
      <c r="C12" s="46">
        <v>-81714</v>
      </c>
      <c r="D12" s="47">
        <f>AVERAGE(B12,C12)</f>
        <v>-66217.5</v>
      </c>
      <c r="E12" s="48">
        <v>1</v>
      </c>
      <c r="F12" s="47">
        <f>E12*D12</f>
        <v>-66217.5</v>
      </c>
    </row>
    <row r="13" spans="1:8">
      <c r="A13" s="34" t="s">
        <v>62</v>
      </c>
      <c r="B13" s="34" t="s">
        <v>52</v>
      </c>
      <c r="C13" s="34" t="s">
        <v>51</v>
      </c>
      <c r="D13" s="34" t="s">
        <v>35</v>
      </c>
      <c r="E13" s="44" t="s">
        <v>0</v>
      </c>
      <c r="F13" s="34" t="s">
        <v>36</v>
      </c>
    </row>
    <row r="14" spans="1:8">
      <c r="A14" s="35" t="s">
        <v>58</v>
      </c>
      <c r="B14" s="45">
        <v>599980</v>
      </c>
      <c r="C14" s="46">
        <v>600000</v>
      </c>
      <c r="D14" s="47">
        <f>AVERAGE(B14,C14)</f>
        <v>599990</v>
      </c>
      <c r="E14" s="48">
        <v>0</v>
      </c>
      <c r="F14" s="47">
        <f>E14*D14</f>
        <v>0</v>
      </c>
    </row>
    <row r="15" spans="1:8">
      <c r="A15" s="35" t="s">
        <v>66</v>
      </c>
      <c r="B15" s="45">
        <v>55765</v>
      </c>
      <c r="C15" s="46">
        <v>52622</v>
      </c>
      <c r="D15" s="47">
        <f>AVERAGE(B15,C15)</f>
        <v>54193.5</v>
      </c>
      <c r="E15" s="48">
        <v>0</v>
      </c>
      <c r="F15" s="47">
        <f>E15*D15</f>
        <v>0</v>
      </c>
      <c r="H15" s="39" t="s">
        <v>55</v>
      </c>
    </row>
    <row r="16" spans="1:8">
      <c r="A16" s="35" t="s">
        <v>59</v>
      </c>
      <c r="B16" s="45">
        <f>458634-346355</f>
        <v>112279</v>
      </c>
      <c r="C16" s="46">
        <f>359907-260891</f>
        <v>99016</v>
      </c>
      <c r="D16" s="47">
        <f>AVERAGE(B16,C16)</f>
        <v>105647.5</v>
      </c>
      <c r="E16" s="48">
        <v>0.5</v>
      </c>
      <c r="F16" s="47">
        <f>E16*D16</f>
        <v>52823.75</v>
      </c>
    </row>
    <row r="17" spans="1:6">
      <c r="A17" s="35" t="s">
        <v>37</v>
      </c>
      <c r="B17" s="45">
        <v>-107159</v>
      </c>
      <c r="C17" s="46">
        <v>-94795</v>
      </c>
      <c r="D17" s="47">
        <f>AVERAGE(B17,C17)</f>
        <v>-100977</v>
      </c>
      <c r="E17" s="48">
        <v>1</v>
      </c>
      <c r="F17" s="47">
        <f>E17*D17</f>
        <v>-100977</v>
      </c>
    </row>
    <row r="18" spans="1:6">
      <c r="A18" s="34" t="s">
        <v>63</v>
      </c>
      <c r="B18" s="34" t="s">
        <v>52</v>
      </c>
      <c r="C18" s="34" t="s">
        <v>51</v>
      </c>
      <c r="D18" s="34" t="s">
        <v>35</v>
      </c>
      <c r="E18" s="44" t="s">
        <v>0</v>
      </c>
      <c r="F18" s="34" t="s">
        <v>36</v>
      </c>
    </row>
    <row r="19" spans="1:6">
      <c r="A19" s="35" t="s">
        <v>66</v>
      </c>
      <c r="B19" s="45">
        <v>202300</v>
      </c>
      <c r="C19" s="46">
        <v>305000</v>
      </c>
      <c r="D19" s="47">
        <f>AVERAGE(B19:C19)</f>
        <v>253650</v>
      </c>
      <c r="E19" s="48">
        <v>0</v>
      </c>
      <c r="F19" s="47">
        <f>E19*D19</f>
        <v>0</v>
      </c>
    </row>
    <row r="20" spans="1:6">
      <c r="A20" s="35" t="s">
        <v>60</v>
      </c>
      <c r="B20" s="45">
        <f>163110-144553</f>
        <v>18557</v>
      </c>
      <c r="C20" s="46">
        <v>1119</v>
      </c>
      <c r="D20" s="47">
        <f>AVERAGE(B20:C20)</f>
        <v>9838</v>
      </c>
      <c r="E20" s="48">
        <v>0.5</v>
      </c>
      <c r="F20" s="47">
        <f>E20*D20</f>
        <v>4919</v>
      </c>
    </row>
    <row r="21" spans="1:6">
      <c r="A21" s="35" t="s">
        <v>37</v>
      </c>
      <c r="B21" s="45">
        <v>-342</v>
      </c>
      <c r="C21" s="52">
        <v>-550</v>
      </c>
      <c r="D21" s="47">
        <f>AVERAGE(B21:C21)</f>
        <v>-446</v>
      </c>
      <c r="E21" s="48">
        <v>1</v>
      </c>
      <c r="F21" s="47">
        <f>E21*D21</f>
        <v>-446</v>
      </c>
    </row>
    <row r="22" spans="1:6">
      <c r="A22" s="34" t="s">
        <v>64</v>
      </c>
      <c r="B22" s="34" t="s">
        <v>52</v>
      </c>
      <c r="C22" s="34" t="s">
        <v>51</v>
      </c>
      <c r="D22" s="34" t="s">
        <v>35</v>
      </c>
      <c r="E22" s="44" t="s">
        <v>0</v>
      </c>
      <c r="F22" s="34" t="s">
        <v>36</v>
      </c>
    </row>
    <row r="23" spans="1:6">
      <c r="A23" s="35" t="s">
        <v>66</v>
      </c>
      <c r="B23" s="45">
        <v>268000</v>
      </c>
      <c r="C23" s="46">
        <v>295000</v>
      </c>
      <c r="D23" s="47">
        <f>AVERAGE(B23:C23)</f>
        <v>281500</v>
      </c>
      <c r="E23" s="48">
        <v>0</v>
      </c>
      <c r="F23" s="47">
        <f>E23*D23</f>
        <v>0</v>
      </c>
    </row>
    <row r="24" spans="1:6">
      <c r="A24" s="35" t="s">
        <v>59</v>
      </c>
      <c r="B24" s="45">
        <f>101912-31092</f>
        <v>70820</v>
      </c>
      <c r="C24" s="46">
        <f>73399-10899</f>
        <v>62500</v>
      </c>
      <c r="D24" s="47">
        <f>AVERAGE(B24:C24)</f>
        <v>66660</v>
      </c>
      <c r="E24" s="48">
        <v>0.5</v>
      </c>
      <c r="F24" s="47">
        <f>E24*D24</f>
        <v>33330</v>
      </c>
    </row>
    <row r="25" spans="1:6" ht="13.9" customHeight="1">
      <c r="A25" s="35" t="s">
        <v>37</v>
      </c>
      <c r="B25" s="45">
        <v>-6158</v>
      </c>
      <c r="C25" s="52">
        <v>-7001</v>
      </c>
      <c r="D25" s="47">
        <f>AVERAGE(B25,C25)</f>
        <v>-6579.5</v>
      </c>
      <c r="E25" s="48">
        <v>1</v>
      </c>
      <c r="F25" s="47">
        <f>E25*D25</f>
        <v>-6579.5</v>
      </c>
    </row>
    <row r="26" spans="1:6">
      <c r="A26" s="53" t="s">
        <v>38</v>
      </c>
      <c r="B26" s="54"/>
      <c r="C26" s="55"/>
      <c r="D26" s="55"/>
      <c r="E26" s="56"/>
      <c r="F26" s="57">
        <f>+SUM(F3:F25)</f>
        <v>5903893.8350000009</v>
      </c>
    </row>
    <row r="27" spans="1:6">
      <c r="A27" s="36" t="s">
        <v>39</v>
      </c>
      <c r="B27" s="58"/>
      <c r="C27" s="59"/>
      <c r="D27" s="59"/>
      <c r="E27" s="60"/>
      <c r="F27" s="57">
        <f>F26/12</f>
        <v>491991.15291666676</v>
      </c>
    </row>
    <row r="28" spans="1:6">
      <c r="A28" s="36" t="s">
        <v>40</v>
      </c>
      <c r="B28" s="58"/>
      <c r="C28" s="59"/>
      <c r="D28" s="59"/>
      <c r="E28" s="60"/>
      <c r="F28" s="47">
        <v>158918</v>
      </c>
    </row>
    <row r="29" spans="1:6">
      <c r="A29" s="36" t="s">
        <v>41</v>
      </c>
      <c r="B29" s="61"/>
      <c r="C29" s="62"/>
      <c r="D29" s="62"/>
      <c r="E29" s="63"/>
      <c r="F29" s="64">
        <v>1</v>
      </c>
    </row>
    <row r="30" spans="1:6">
      <c r="A30" s="36" t="s">
        <v>42</v>
      </c>
      <c r="B30" s="65"/>
      <c r="C30" s="65"/>
      <c r="D30" s="65"/>
      <c r="E30" s="65"/>
      <c r="F30" s="66">
        <f>(F27*F29)-F28</f>
        <v>333073.15291666676</v>
      </c>
    </row>
    <row r="31" spans="1:6">
      <c r="A31" s="36" t="s">
        <v>43</v>
      </c>
      <c r="B31" s="65"/>
      <c r="C31" s="65"/>
      <c r="D31" s="65"/>
      <c r="E31" s="65"/>
      <c r="F31" s="67">
        <v>180</v>
      </c>
    </row>
    <row r="32" spans="1:6">
      <c r="A32" s="36" t="s">
        <v>44</v>
      </c>
      <c r="B32" s="65"/>
      <c r="C32" s="65"/>
      <c r="D32" s="65"/>
      <c r="E32" s="65"/>
      <c r="F32" s="64">
        <v>0.1</v>
      </c>
    </row>
    <row r="33" spans="1:6">
      <c r="A33" s="36" t="s">
        <v>45</v>
      </c>
      <c r="B33" s="65"/>
      <c r="C33" s="65"/>
      <c r="D33" s="65"/>
      <c r="E33" s="65"/>
      <c r="F33" s="68">
        <f>PMT(F32/12,F31,-100000)</f>
        <v>1074.6051177081183</v>
      </c>
    </row>
    <row r="34" spans="1:6">
      <c r="A34" s="36" t="s">
        <v>46</v>
      </c>
      <c r="B34" s="65"/>
      <c r="C34" s="65"/>
      <c r="D34" s="65"/>
      <c r="E34" s="65"/>
      <c r="F34" s="69">
        <f>F30/F33</f>
        <v>309.94934551124601</v>
      </c>
    </row>
  </sheetData>
  <sheetProtection selectLockedCells="1" selectUnlockedCells="1"/>
  <mergeCells count="1">
    <mergeCell ref="B1:C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P5"/>
  <sheetViews>
    <sheetView zoomScale="81" zoomScaleNormal="81" workbookViewId="0">
      <selection activeCell="K5" sqref="K5"/>
    </sheetView>
  </sheetViews>
  <sheetFormatPr defaultColWidth="22.140625" defaultRowHeight="13.5"/>
  <cols>
    <col min="1" max="1" width="7.28515625" style="2" bestFit="1" customWidth="1"/>
    <col min="2" max="2" width="19.85546875" style="2" bestFit="1" customWidth="1"/>
    <col min="3" max="3" width="17.7109375" style="2" bestFit="1" customWidth="1"/>
    <col min="4" max="4" width="12.140625" style="2" bestFit="1" customWidth="1"/>
    <col min="5" max="5" width="12.42578125" style="2" bestFit="1" customWidth="1"/>
    <col min="6" max="6" width="10.85546875" style="2" bestFit="1" customWidth="1"/>
    <col min="7" max="7" width="7.85546875" style="2" bestFit="1" customWidth="1"/>
    <col min="8" max="8" width="11.28515625" style="2" bestFit="1" customWidth="1"/>
    <col min="9" max="9" width="10.7109375" style="2" bestFit="1" customWidth="1"/>
    <col min="10" max="10" width="9.140625" style="2" bestFit="1" customWidth="1"/>
    <col min="11" max="11" width="16.42578125" style="2" bestFit="1" customWidth="1"/>
    <col min="12" max="12" width="18.28515625" style="2" bestFit="1" customWidth="1"/>
    <col min="13" max="13" width="16.28515625" style="2" bestFit="1" customWidth="1"/>
    <col min="14" max="250" width="22.140625" style="2"/>
    <col min="251" max="16384" width="22.140625" style="1"/>
  </cols>
  <sheetData>
    <row r="1" spans="1:13" ht="27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49</v>
      </c>
      <c r="L1" s="3" t="s">
        <v>11</v>
      </c>
      <c r="M1" s="3" t="s">
        <v>12</v>
      </c>
    </row>
    <row r="2" spans="1:13">
      <c r="A2" s="4">
        <v>1</v>
      </c>
      <c r="B2" s="2" t="s">
        <v>67</v>
      </c>
      <c r="C2" s="2" t="s">
        <v>70</v>
      </c>
      <c r="D2" s="2" t="s">
        <v>54</v>
      </c>
      <c r="E2" s="2" t="s">
        <v>74</v>
      </c>
      <c r="F2" s="2">
        <v>13922400</v>
      </c>
      <c r="G2" s="2">
        <v>240</v>
      </c>
      <c r="H2" s="2">
        <v>27</v>
      </c>
      <c r="J2" s="2">
        <v>127756</v>
      </c>
      <c r="K2" s="5" t="s">
        <v>77</v>
      </c>
      <c r="L2" s="6"/>
      <c r="M2" s="5">
        <v>0</v>
      </c>
    </row>
    <row r="3" spans="1:13">
      <c r="A3" s="27">
        <v>2</v>
      </c>
      <c r="B3" s="2" t="s">
        <v>68</v>
      </c>
      <c r="C3" s="2" t="s">
        <v>71</v>
      </c>
      <c r="D3" s="2" t="s">
        <v>72</v>
      </c>
      <c r="E3" s="2" t="s">
        <v>75</v>
      </c>
      <c r="F3" s="2">
        <v>2000000</v>
      </c>
      <c r="G3" s="2">
        <v>84</v>
      </c>
      <c r="H3" s="2">
        <v>20</v>
      </c>
      <c r="J3" s="2">
        <v>31162</v>
      </c>
      <c r="K3" s="5" t="s">
        <v>77</v>
      </c>
      <c r="L3" s="29"/>
      <c r="M3" s="28">
        <v>0</v>
      </c>
    </row>
    <row r="4" spans="1:13">
      <c r="A4" s="30">
        <v>3</v>
      </c>
      <c r="B4" s="31" t="s">
        <v>69</v>
      </c>
      <c r="C4" s="2" t="s">
        <v>71</v>
      </c>
      <c r="D4" s="2" t="s">
        <v>73</v>
      </c>
      <c r="E4" s="2" t="s">
        <v>76</v>
      </c>
      <c r="F4" s="2">
        <v>30000000</v>
      </c>
      <c r="G4" s="2">
        <v>240</v>
      </c>
      <c r="H4" s="2">
        <v>18</v>
      </c>
      <c r="J4" s="2">
        <v>300000</v>
      </c>
      <c r="K4" s="32" t="s">
        <v>78</v>
      </c>
      <c r="L4" s="4"/>
      <c r="M4" s="7"/>
    </row>
    <row r="5" spans="1:13">
      <c r="K5" s="2">
        <v>158918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33" t="s">
        <v>13</v>
      </c>
      <c r="B1" s="33"/>
      <c r="C1" s="9"/>
    </row>
    <row r="2" spans="1:6" ht="14.25" customHeight="1">
      <c r="A2" s="33" t="s">
        <v>14</v>
      </c>
      <c r="B2" s="33"/>
      <c r="C2" s="9"/>
    </row>
    <row r="5" spans="1:6" ht="30">
      <c r="A5" s="10" t="s">
        <v>1</v>
      </c>
      <c r="B5" s="11" t="s">
        <v>15</v>
      </c>
      <c r="C5" s="11" t="s">
        <v>16</v>
      </c>
      <c r="D5" s="12" t="s">
        <v>17</v>
      </c>
      <c r="E5" s="8" t="s">
        <v>18</v>
      </c>
      <c r="F5" s="8" t="s">
        <v>19</v>
      </c>
    </row>
    <row r="6" spans="1:6" ht="42.75">
      <c r="A6" s="13">
        <v>1</v>
      </c>
      <c r="B6" s="14" t="s">
        <v>20</v>
      </c>
      <c r="C6" s="15" t="s">
        <v>21</v>
      </c>
      <c r="D6" s="16"/>
      <c r="E6" s="17">
        <v>0.2</v>
      </c>
      <c r="F6" s="17">
        <f t="shared" ref="F6:F12" si="0">E6/10*D6</f>
        <v>0</v>
      </c>
    </row>
    <row r="7" spans="1:6" ht="42.75">
      <c r="A7" s="13">
        <v>2</v>
      </c>
      <c r="B7" s="14" t="s">
        <v>22</v>
      </c>
      <c r="C7" s="15" t="s">
        <v>23</v>
      </c>
      <c r="D7" s="18"/>
      <c r="E7" s="17">
        <v>0.15</v>
      </c>
      <c r="F7" s="17">
        <f t="shared" si="0"/>
        <v>0</v>
      </c>
    </row>
    <row r="8" spans="1:6" ht="42.75">
      <c r="A8" s="13">
        <v>3</v>
      </c>
      <c r="B8" s="14" t="s">
        <v>24</v>
      </c>
      <c r="C8" s="15" t="s">
        <v>25</v>
      </c>
      <c r="D8" s="18"/>
      <c r="E8" s="17">
        <v>0.1</v>
      </c>
      <c r="F8" s="17">
        <f t="shared" si="0"/>
        <v>0</v>
      </c>
    </row>
    <row r="9" spans="1:6" ht="57">
      <c r="A9" s="13">
        <v>4</v>
      </c>
      <c r="B9" s="14" t="s">
        <v>26</v>
      </c>
      <c r="C9" s="19" t="s">
        <v>27</v>
      </c>
      <c r="D9" s="18"/>
      <c r="E9" s="17">
        <v>0.1</v>
      </c>
      <c r="F9" s="17">
        <f t="shared" si="0"/>
        <v>0</v>
      </c>
    </row>
    <row r="10" spans="1:6" ht="85.5">
      <c r="A10" s="13">
        <v>5</v>
      </c>
      <c r="B10" s="14" t="s">
        <v>28</v>
      </c>
      <c r="C10" s="15" t="s">
        <v>29</v>
      </c>
      <c r="D10" s="18"/>
      <c r="E10" s="17">
        <v>0.1</v>
      </c>
      <c r="F10" s="17">
        <f t="shared" si="0"/>
        <v>0</v>
      </c>
    </row>
    <row r="11" spans="1:6" ht="128.25">
      <c r="A11" s="13">
        <v>6</v>
      </c>
      <c r="B11" s="20" t="s">
        <v>30</v>
      </c>
      <c r="C11" s="21" t="s">
        <v>31</v>
      </c>
      <c r="D11" s="18"/>
      <c r="E11" s="17">
        <v>0.1</v>
      </c>
      <c r="F11" s="17">
        <f t="shared" si="0"/>
        <v>0</v>
      </c>
    </row>
    <row r="12" spans="1:6" ht="28.5">
      <c r="A12" s="13">
        <v>7</v>
      </c>
      <c r="B12" s="13" t="s">
        <v>32</v>
      </c>
      <c r="C12" s="22" t="s">
        <v>33</v>
      </c>
      <c r="D12" s="18"/>
      <c r="E12" s="17">
        <v>0.25</v>
      </c>
      <c r="F12" s="17">
        <f t="shared" si="0"/>
        <v>0</v>
      </c>
    </row>
    <row r="13" spans="1:6" ht="15">
      <c r="A13" s="23"/>
      <c r="B13" s="24" t="s">
        <v>34</v>
      </c>
      <c r="C13" s="24"/>
      <c r="D13" s="25"/>
      <c r="E13" s="26">
        <f>SUM(E6:E12)</f>
        <v>0.99999999999999989</v>
      </c>
      <c r="F13" s="26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2019-09-12T06:25:03Z</cp:lastPrinted>
  <dcterms:created xsi:type="dcterms:W3CDTF">2015-09-25T09:25:31Z</dcterms:created>
  <dcterms:modified xsi:type="dcterms:W3CDTF">2019-09-17T12:58:31Z</dcterms:modified>
</cp:coreProperties>
</file>