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16380" windowHeight="8190"/>
  </bookViews>
  <sheets>
    <sheet name="Eligibility" sheetId="1" r:id="rId1"/>
    <sheet name="RTR" sheetId="2" r:id="rId2"/>
    <sheet name="RTR Details" sheetId="3" r:id="rId3"/>
    <sheet name="Ratios" sheetId="4" r:id="rId4"/>
    <sheet name="Sheet1" sheetId="5" state="hidden" r:id="rId5"/>
    <sheet name="Loans" sheetId="6" r:id="rId6"/>
    <sheet name="Banking" sheetId="7" r:id="rId7"/>
  </sheets>
  <definedNames>
    <definedName name="Excel_BuiltIn__FilterDatabase_4">"$#REF!.$#REF!$#REF!:$#REF!$#REF!"</definedName>
    <definedName name="Excel_BuiltIn__FilterDatabase_5">"$#REF!.$#REF!$#REF!:$#REF!$#REF!"</definedName>
    <definedName name="Excel_BuiltIn_Print_Area_1">"$#REF!.$A$13:$F$72"</definedName>
    <definedName name="Excel_BuiltIn_Print_Area_2">"$#REF!.$#REF!$#REF!:$#REF!$#REF!"</definedName>
    <definedName name="Excel_BuiltIn_Print_Area_2_1">"$#REF!.$#REF!$#REF!:$#REF!$#REF!"</definedName>
    <definedName name="Excel_BuiltIn_Print_Area_4">"$#REF!.$A$1:$G$110"</definedName>
    <definedName name="Excel_BuiltIn_Print_Area_5_1">"$#REF!.$A$1:$G$115"</definedName>
    <definedName name="Excel_BuiltIn_Print_Area_6">"$#REF!.$A$1:$G$115"</definedName>
    <definedName name="SHARED_FORMULA_5_5_5_5_0">#REF!/10*#REF!</definedName>
  </definedNames>
  <calcPr calcId="124519"/>
  <fileRecoveryPr autoRecover="0"/>
</workbook>
</file>

<file path=xl/calcChain.xml><?xml version="1.0" encoding="utf-8"?>
<calcChain xmlns="http://schemas.openxmlformats.org/spreadsheetml/2006/main">
  <c r="D3" i="1"/>
  <c r="D4"/>
  <c r="D5"/>
  <c r="F3" l="1"/>
  <c r="F4"/>
  <c r="F5"/>
  <c r="F25"/>
  <c r="F24"/>
  <c r="B19"/>
  <c r="F18"/>
  <c r="F20" s="1"/>
  <c r="F13"/>
  <c r="A51"/>
  <c r="A55"/>
  <c r="C6" i="4"/>
  <c r="E6"/>
  <c r="G6"/>
  <c r="C7"/>
  <c r="E7"/>
  <c r="G7"/>
  <c r="D8"/>
  <c r="C8" s="1"/>
  <c r="E8"/>
  <c r="F8"/>
  <c r="G8" s="1"/>
  <c r="H8"/>
  <c r="H9" s="1"/>
  <c r="H14" s="1"/>
  <c r="B9"/>
  <c r="F9"/>
  <c r="B11"/>
  <c r="C11"/>
  <c r="D11"/>
  <c r="E11" s="1"/>
  <c r="F11"/>
  <c r="G11"/>
  <c r="H11"/>
  <c r="H67" s="1"/>
  <c r="C12"/>
  <c r="E12"/>
  <c r="G12"/>
  <c r="H12"/>
  <c r="I12"/>
  <c r="C13"/>
  <c r="E13"/>
  <c r="G13"/>
  <c r="I13"/>
  <c r="B14"/>
  <c r="C14" s="1"/>
  <c r="F14"/>
  <c r="F74" s="1"/>
  <c r="C16"/>
  <c r="E16"/>
  <c r="G16"/>
  <c r="I16"/>
  <c r="C18"/>
  <c r="E18"/>
  <c r="G18"/>
  <c r="I18"/>
  <c r="B19"/>
  <c r="B15" s="1"/>
  <c r="D19"/>
  <c r="E19"/>
  <c r="F19"/>
  <c r="F15" s="1"/>
  <c r="H19"/>
  <c r="I19"/>
  <c r="C20"/>
  <c r="E20"/>
  <c r="G20"/>
  <c r="I20"/>
  <c r="C22"/>
  <c r="E22"/>
  <c r="G22"/>
  <c r="I22"/>
  <c r="C25"/>
  <c r="I25"/>
  <c r="C26"/>
  <c r="D26"/>
  <c r="F26"/>
  <c r="F87" s="1"/>
  <c r="H26"/>
  <c r="I26" s="1"/>
  <c r="C30"/>
  <c r="E30"/>
  <c r="G30"/>
  <c r="C31"/>
  <c r="E31"/>
  <c r="G31"/>
  <c r="C32"/>
  <c r="E32"/>
  <c r="G32"/>
  <c r="B33"/>
  <c r="C33"/>
  <c r="D33"/>
  <c r="E33" s="1"/>
  <c r="F33"/>
  <c r="G33"/>
  <c r="H33"/>
  <c r="C34"/>
  <c r="E34"/>
  <c r="G34"/>
  <c r="B35"/>
  <c r="C35" s="1"/>
  <c r="D35"/>
  <c r="E35"/>
  <c r="F35"/>
  <c r="G35" s="1"/>
  <c r="H35"/>
  <c r="C36"/>
  <c r="D36"/>
  <c r="E36" s="1"/>
  <c r="F36"/>
  <c r="F38" s="1"/>
  <c r="G36"/>
  <c r="H36"/>
  <c r="H71" s="1"/>
  <c r="D37"/>
  <c r="C37" s="1"/>
  <c r="E37"/>
  <c r="G37"/>
  <c r="B38"/>
  <c r="D38"/>
  <c r="C38" s="1"/>
  <c r="H38"/>
  <c r="H44" s="1"/>
  <c r="C39"/>
  <c r="E39"/>
  <c r="G39"/>
  <c r="C40"/>
  <c r="E40"/>
  <c r="G40"/>
  <c r="D41"/>
  <c r="H41"/>
  <c r="C42"/>
  <c r="E42"/>
  <c r="G42"/>
  <c r="B43"/>
  <c r="B41" s="1"/>
  <c r="D43"/>
  <c r="E43"/>
  <c r="F43"/>
  <c r="F41" s="1"/>
  <c r="H43"/>
  <c r="C46"/>
  <c r="E46"/>
  <c r="G46"/>
  <c r="B47"/>
  <c r="C47" s="1"/>
  <c r="D47"/>
  <c r="E47"/>
  <c r="F47"/>
  <c r="G47" s="1"/>
  <c r="H47"/>
  <c r="C48"/>
  <c r="E48"/>
  <c r="G48"/>
  <c r="C49"/>
  <c r="E49"/>
  <c r="G49"/>
  <c r="C50"/>
  <c r="E50"/>
  <c r="G50"/>
  <c r="F51"/>
  <c r="C52"/>
  <c r="E52"/>
  <c r="G52"/>
  <c r="C53"/>
  <c r="E53"/>
  <c r="G53"/>
  <c r="B54"/>
  <c r="D54"/>
  <c r="D51" s="1"/>
  <c r="F54"/>
  <c r="H54"/>
  <c r="C55"/>
  <c r="E55"/>
  <c r="G55"/>
  <c r="C56"/>
  <c r="E56"/>
  <c r="G56"/>
  <c r="B57"/>
  <c r="C57"/>
  <c r="E57"/>
  <c r="G57"/>
  <c r="D58"/>
  <c r="E58" s="1"/>
  <c r="F58"/>
  <c r="C59"/>
  <c r="E59"/>
  <c r="G59"/>
  <c r="B60"/>
  <c r="B58" s="1"/>
  <c r="E60"/>
  <c r="G60"/>
  <c r="H60"/>
  <c r="H58" s="1"/>
  <c r="C61"/>
  <c r="E61"/>
  <c r="G61"/>
  <c r="F62"/>
  <c r="B66"/>
  <c r="F66"/>
  <c r="B67"/>
  <c r="D67"/>
  <c r="F67"/>
  <c r="B68"/>
  <c r="D68"/>
  <c r="F68"/>
  <c r="B71"/>
  <c r="D71"/>
  <c r="F71"/>
  <c r="B74"/>
  <c r="B77"/>
  <c r="D77"/>
  <c r="F77"/>
  <c r="H77"/>
  <c r="B84"/>
  <c r="D84"/>
  <c r="F84"/>
  <c r="B85"/>
  <c r="D85"/>
  <c r="F85"/>
  <c r="B86"/>
  <c r="D86"/>
  <c r="F86"/>
  <c r="B87"/>
  <c r="D87"/>
  <c r="B88"/>
  <c r="D88"/>
  <c r="F88"/>
  <c r="D89"/>
  <c r="F89"/>
  <c r="B90"/>
  <c r="D90"/>
  <c r="F90"/>
  <c r="D93"/>
  <c r="B94"/>
  <c r="D94"/>
  <c r="F94"/>
  <c r="B100"/>
  <c r="D100"/>
  <c r="F100"/>
  <c r="M15" i="2"/>
  <c r="F8" i="1" s="1"/>
  <c r="F6" i="5"/>
  <c r="F7"/>
  <c r="F13" s="1"/>
  <c r="F8"/>
  <c r="F9"/>
  <c r="F10"/>
  <c r="F11"/>
  <c r="F12"/>
  <c r="E13"/>
  <c r="F6" i="1" l="1"/>
  <c r="D62" i="4"/>
  <c r="E62" s="1"/>
  <c r="D69"/>
  <c r="D70"/>
  <c r="E51"/>
  <c r="F17"/>
  <c r="G15"/>
  <c r="G41"/>
  <c r="F96"/>
  <c r="D96"/>
  <c r="B17"/>
  <c r="C15"/>
  <c r="I14"/>
  <c r="H74"/>
  <c r="H15"/>
  <c r="I15" s="1"/>
  <c r="B51"/>
  <c r="B95"/>
  <c r="C58"/>
  <c r="B45"/>
  <c r="C41"/>
  <c r="B44"/>
  <c r="C44" s="1"/>
  <c r="B96"/>
  <c r="G38"/>
  <c r="F45"/>
  <c r="G45" s="1"/>
  <c r="F44"/>
  <c r="G44" s="1"/>
  <c r="E41"/>
  <c r="H51"/>
  <c r="G51" s="1"/>
  <c r="C9"/>
  <c r="F95"/>
  <c r="G58"/>
  <c r="G9"/>
  <c r="E54"/>
  <c r="H45"/>
  <c r="G19"/>
  <c r="C19"/>
  <c r="G14"/>
  <c r="D95"/>
  <c r="B89"/>
  <c r="F70"/>
  <c r="F69"/>
  <c r="C60"/>
  <c r="D44"/>
  <c r="G43"/>
  <c r="C43"/>
  <c r="I11"/>
  <c r="D9"/>
  <c r="F93"/>
  <c r="F97" s="1"/>
  <c r="D66"/>
  <c r="D45"/>
  <c r="E38"/>
  <c r="B93"/>
  <c r="B97" s="1"/>
  <c r="H68"/>
  <c r="H66"/>
  <c r="G54"/>
  <c r="C54"/>
  <c r="F7" i="1" l="1"/>
  <c r="F21" i="4"/>
  <c r="F72"/>
  <c r="F73"/>
  <c r="G17"/>
  <c r="B21"/>
  <c r="C17"/>
  <c r="B72"/>
  <c r="D97"/>
  <c r="H62"/>
  <c r="G62" s="1"/>
  <c r="H69"/>
  <c r="H70"/>
  <c r="B62"/>
  <c r="C62" s="1"/>
  <c r="B69"/>
  <c r="B70"/>
  <c r="C51"/>
  <c r="E9"/>
  <c r="D14"/>
  <c r="E45"/>
  <c r="E44"/>
  <c r="C45"/>
  <c r="H17"/>
  <c r="E14" l="1"/>
  <c r="D74"/>
  <c r="D15"/>
  <c r="E15" s="1"/>
  <c r="D17"/>
  <c r="B23"/>
  <c r="C21"/>
  <c r="I17"/>
  <c r="H72"/>
  <c r="H73"/>
  <c r="H21"/>
  <c r="F23"/>
  <c r="G21"/>
  <c r="I21" l="1"/>
  <c r="H23"/>
  <c r="E17"/>
  <c r="D72"/>
  <c r="D73"/>
  <c r="B73"/>
  <c r="D21"/>
  <c r="B24"/>
  <c r="C23"/>
  <c r="B75"/>
  <c r="B82"/>
  <c r="B92" s="1"/>
  <c r="B98" s="1"/>
  <c r="B102" s="1"/>
  <c r="F24"/>
  <c r="F75"/>
  <c r="F82"/>
  <c r="F92" s="1"/>
  <c r="F98" s="1"/>
  <c r="F102" s="1"/>
  <c r="G23"/>
  <c r="B27" l="1"/>
  <c r="C27" s="1"/>
  <c r="C24"/>
  <c r="B76"/>
  <c r="I23"/>
  <c r="H75"/>
  <c r="H78"/>
  <c r="H24"/>
  <c r="F27"/>
  <c r="G27" s="1"/>
  <c r="F76"/>
  <c r="G24"/>
  <c r="E21"/>
  <c r="D23"/>
  <c r="F78"/>
  <c r="I24" l="1"/>
  <c r="H76"/>
  <c r="H27"/>
  <c r="E23"/>
  <c r="D75"/>
  <c r="D82"/>
  <c r="D92" s="1"/>
  <c r="D98" s="1"/>
  <c r="D102" s="1"/>
  <c r="D24"/>
  <c r="D78"/>
  <c r="B78"/>
  <c r="E24" l="1"/>
  <c r="D27"/>
  <c r="E27" s="1"/>
  <c r="D76"/>
  <c r="F10" i="1" l="1"/>
  <c r="F14" s="1"/>
  <c r="F21"/>
  <c r="F26" s="1"/>
</calcChain>
</file>

<file path=xl/comments1.xml><?xml version="1.0" encoding="utf-8"?>
<comments xmlns="http://schemas.openxmlformats.org/spreadsheetml/2006/main">
  <authors>
    <author/>
  </authors>
  <commentList>
    <comment ref="D6" authorId="0">
      <text>
        <r>
          <rPr>
            <b/>
            <sz val="8"/>
            <color indexed="8"/>
            <rFont val="Times New Roman"/>
            <family val="1"/>
          </rPr>
          <t xml:space="preserve">115812:
</t>
        </r>
        <r>
          <rPr>
            <sz val="8"/>
            <color indexed="8"/>
            <rFont val="Times New Roman"/>
            <family val="1"/>
          </rPr>
          <t>Net of excise</t>
        </r>
      </text>
    </comment>
    <comment ref="F6" authorId="0">
      <text>
        <r>
          <rPr>
            <b/>
            <sz val="8"/>
            <color indexed="8"/>
            <rFont val="Times New Roman"/>
            <family val="1"/>
          </rPr>
          <t xml:space="preserve">115812:
</t>
        </r>
        <r>
          <rPr>
            <sz val="8"/>
            <color indexed="8"/>
            <rFont val="Times New Roman"/>
            <family val="1"/>
          </rPr>
          <t>Net of excise</t>
        </r>
      </text>
    </comment>
    <comment ref="D35" authorId="0">
      <text>
        <r>
          <rPr>
            <b/>
            <sz val="8"/>
            <color indexed="8"/>
            <rFont val="Times New Roman"/>
            <family val="1"/>
          </rPr>
          <t xml:space="preserve">115812:
</t>
        </r>
        <r>
          <rPr>
            <sz val="8"/>
            <color indexed="8"/>
            <rFont val="Times New Roman"/>
            <family val="1"/>
          </rPr>
          <t>Share Capital+Reserves-Accumulated losses-Misc Expenses+Unsecured loans from Partners/Directors or their family members-Loans and advances to directors/partners-investments made in subsidiary companies</t>
        </r>
      </text>
    </comment>
    <comment ref="F35" authorId="0">
      <text>
        <r>
          <rPr>
            <b/>
            <sz val="8"/>
            <color indexed="8"/>
            <rFont val="Times New Roman"/>
            <family val="1"/>
          </rPr>
          <t xml:space="preserve">115812:
</t>
        </r>
        <r>
          <rPr>
            <sz val="8"/>
            <color indexed="8"/>
            <rFont val="Times New Roman"/>
            <family val="1"/>
          </rPr>
          <t>Share Capital+Reserves-Accumulated losses-Misc Expenses+Unsecured loans from Partners/Directors or their family members-Loans and advances to directors/partners-investments made in subsidiary companies</t>
        </r>
      </text>
    </comment>
    <comment ref="H35" authorId="0">
      <text>
        <r>
          <rPr>
            <b/>
            <sz val="8"/>
            <color indexed="8"/>
            <rFont val="Times New Roman"/>
            <family val="1"/>
          </rPr>
          <t xml:space="preserve">115812:
</t>
        </r>
        <r>
          <rPr>
            <sz val="8"/>
            <color indexed="8"/>
            <rFont val="Times New Roman"/>
            <family val="1"/>
          </rPr>
          <t>Share Capital+Reserves-Accumulated losses-Misc Expenses+Unsecured loans from Partners/Directors or their family members-Loans and advances to directors/partners-investments made in subsidiary companies</t>
        </r>
      </text>
    </comment>
    <comment ref="D48" authorId="0">
      <text>
        <r>
          <rPr>
            <b/>
            <sz val="8"/>
            <color indexed="8"/>
            <rFont val="Times New Roman"/>
            <family val="1"/>
          </rPr>
          <t xml:space="preserve">115812:
</t>
        </r>
        <r>
          <rPr>
            <sz val="8"/>
            <color indexed="8"/>
            <rFont val="Times New Roman"/>
            <family val="1"/>
          </rPr>
          <t>Investments which are highly liquid and can be sold immediately in the market</t>
        </r>
      </text>
    </comment>
    <comment ref="F48" authorId="0">
      <text>
        <r>
          <rPr>
            <b/>
            <sz val="8"/>
            <color indexed="8"/>
            <rFont val="Times New Roman"/>
            <family val="1"/>
          </rPr>
          <t xml:space="preserve">115812:
</t>
        </r>
        <r>
          <rPr>
            <sz val="8"/>
            <color indexed="8"/>
            <rFont val="Times New Roman"/>
            <family val="1"/>
          </rPr>
          <t>Investments which are highly liquid and can be sold immediately in the market</t>
        </r>
      </text>
    </comment>
    <comment ref="H48" authorId="0">
      <text>
        <r>
          <rPr>
            <b/>
            <sz val="8"/>
            <color indexed="8"/>
            <rFont val="Times New Roman"/>
            <family val="1"/>
          </rPr>
          <t xml:space="preserve">115812:
</t>
        </r>
        <r>
          <rPr>
            <sz val="8"/>
            <color indexed="8"/>
            <rFont val="Times New Roman"/>
            <family val="1"/>
          </rPr>
          <t>Investments which are highly liquid and can be sold immediately in the market</t>
        </r>
      </text>
    </comment>
    <comment ref="D49" authorId="0">
      <text>
        <r>
          <rPr>
            <b/>
            <sz val="8"/>
            <color indexed="8"/>
            <rFont val="Times New Roman"/>
            <family val="1"/>
          </rPr>
          <t xml:space="preserve">115812:
</t>
        </r>
        <r>
          <rPr>
            <sz val="8"/>
            <color indexed="8"/>
            <rFont val="Times New Roman"/>
            <family val="1"/>
          </rPr>
          <t>Investments made in subsidiary companies</t>
        </r>
      </text>
    </comment>
    <comment ref="F49" authorId="0">
      <text>
        <r>
          <rPr>
            <b/>
            <sz val="8"/>
            <color indexed="8"/>
            <rFont val="Times New Roman"/>
            <family val="1"/>
          </rPr>
          <t xml:space="preserve">115812:
</t>
        </r>
        <r>
          <rPr>
            <sz val="8"/>
            <color indexed="8"/>
            <rFont val="Times New Roman"/>
            <family val="1"/>
          </rPr>
          <t>Investments made in subsidiary companies</t>
        </r>
      </text>
    </comment>
    <comment ref="H49" authorId="0">
      <text>
        <r>
          <rPr>
            <b/>
            <sz val="8"/>
            <color indexed="8"/>
            <rFont val="Times New Roman"/>
            <family val="1"/>
          </rPr>
          <t xml:space="preserve">115812:
</t>
        </r>
        <r>
          <rPr>
            <sz val="8"/>
            <color indexed="8"/>
            <rFont val="Times New Roman"/>
            <family val="1"/>
          </rPr>
          <t>Investments made in subsidiary companies</t>
        </r>
      </text>
    </comment>
    <comment ref="D50" authorId="0">
      <text>
        <r>
          <rPr>
            <b/>
            <sz val="8"/>
            <color indexed="8"/>
            <rFont val="Times New Roman"/>
            <family val="1"/>
          </rPr>
          <t xml:space="preserve">115812:
</t>
        </r>
        <r>
          <rPr>
            <sz val="8"/>
            <color indexed="8"/>
            <rFont val="Times New Roman"/>
            <family val="1"/>
          </rPr>
          <t>Investments in dead investments/unquoted investments or having lockin period</t>
        </r>
      </text>
    </comment>
    <comment ref="F50" authorId="0">
      <text>
        <r>
          <rPr>
            <b/>
            <sz val="8"/>
            <color indexed="8"/>
            <rFont val="Times New Roman"/>
            <family val="1"/>
          </rPr>
          <t xml:space="preserve">115812:
</t>
        </r>
        <r>
          <rPr>
            <sz val="8"/>
            <color indexed="8"/>
            <rFont val="Times New Roman"/>
            <family val="1"/>
          </rPr>
          <t>Investments in dead investments/unquoted investments or having lockin period</t>
        </r>
      </text>
    </comment>
    <comment ref="H50" authorId="0">
      <text>
        <r>
          <rPr>
            <b/>
            <sz val="8"/>
            <color indexed="8"/>
            <rFont val="Times New Roman"/>
            <family val="1"/>
          </rPr>
          <t xml:space="preserve">115812:
</t>
        </r>
        <r>
          <rPr>
            <sz val="8"/>
            <color indexed="8"/>
            <rFont val="Times New Roman"/>
            <family val="1"/>
          </rPr>
          <t>Investments in dead investments/unquoted investments or having lockin period</t>
        </r>
      </text>
    </comment>
  </commentList>
</comments>
</file>

<file path=xl/sharedStrings.xml><?xml version="1.0" encoding="utf-8"?>
<sst xmlns="http://schemas.openxmlformats.org/spreadsheetml/2006/main" count="249" uniqueCount="207">
  <si>
    <t xml:space="preserve">Application No.    </t>
  </si>
  <si>
    <t xml:space="preserve">TOP UP </t>
  </si>
  <si>
    <t>Eligibility</t>
  </si>
  <si>
    <t>Market Value</t>
  </si>
  <si>
    <t>Tarvinder Kaur</t>
  </si>
  <si>
    <t>Name of the applicants</t>
  </si>
  <si>
    <t>Financial Comments</t>
  </si>
  <si>
    <t>The Direct Material Cost as a percent of sales</t>
  </si>
  <si>
    <t>STRENGTHS</t>
  </si>
  <si>
    <t>INTERNAL CHECKS</t>
  </si>
  <si>
    <t>MCA Defaulter List</t>
  </si>
  <si>
    <t>RBI Defaulter List</t>
  </si>
  <si>
    <t>CIBIL (Individual)</t>
  </si>
  <si>
    <t>Corporate CIBIL</t>
  </si>
  <si>
    <t>CA Check</t>
  </si>
  <si>
    <t>Done</t>
  </si>
  <si>
    <t>INTERNET CHECKS</t>
  </si>
  <si>
    <t>I View Search</t>
  </si>
  <si>
    <t>ROC Charge</t>
  </si>
  <si>
    <t>FINONE RAPG</t>
  </si>
  <si>
    <t>FINONE  HL</t>
  </si>
  <si>
    <t>Non Financial Authorization</t>
  </si>
  <si>
    <t>Mitigants</t>
  </si>
  <si>
    <t>Age Norms Deviation.</t>
  </si>
  <si>
    <t>Financial Ratio Norms.</t>
  </si>
  <si>
    <t>Top up more than norms.</t>
  </si>
  <si>
    <t>Caution profile.</t>
  </si>
  <si>
    <t>Payment made u/s 40A(2)(b) added back.</t>
  </si>
  <si>
    <t>Original residence bill not available.</t>
  </si>
  <si>
    <t>Enhanced LTV+FOIR @</t>
  </si>
  <si>
    <t>Negative CIBIL Behavior</t>
  </si>
  <si>
    <t>Inaccurate Dedup Match</t>
  </si>
  <si>
    <t>Dedup Match</t>
  </si>
  <si>
    <t xml:space="preserve">Income ownership deviation </t>
  </si>
  <si>
    <t>Waiver of Self Attestation</t>
  </si>
  <si>
    <t>All KYC are Self Attested. Moreover, 90% of documents are self attested.</t>
  </si>
  <si>
    <t>CONDITIONS</t>
  </si>
  <si>
    <t>Sr. No.</t>
  </si>
  <si>
    <t>LAN</t>
  </si>
  <si>
    <t>Customer Name</t>
  </si>
  <si>
    <t>Bank Name</t>
  </si>
  <si>
    <t>Type</t>
  </si>
  <si>
    <t>Loan Amt.</t>
  </si>
  <si>
    <t>Loan Start Date</t>
  </si>
  <si>
    <t>Last Payment/Reported date (CIBIL)</t>
  </si>
  <si>
    <t>Tenure</t>
  </si>
  <si>
    <t>Instal. Paid</t>
  </si>
  <si>
    <t>Instal. Bal.</t>
  </si>
  <si>
    <t>EMI Amt</t>
  </si>
  <si>
    <t>Property Address</t>
  </si>
  <si>
    <t>No. Of Bounces</t>
  </si>
  <si>
    <t>-</t>
  </si>
  <si>
    <t>M/S AP COLLECTION</t>
  </si>
  <si>
    <t>Profit &amp; Loss Account</t>
  </si>
  <si>
    <t>31.03.2015</t>
  </si>
  <si>
    <t>% Growth</t>
  </si>
  <si>
    <t>31.03.2014</t>
  </si>
  <si>
    <t>31.03.2013</t>
  </si>
  <si>
    <t>31.03.2012</t>
  </si>
  <si>
    <t>Provisional</t>
  </si>
  <si>
    <t>Audited</t>
  </si>
  <si>
    <t>Rs. In Lacs</t>
  </si>
  <si>
    <t>In 2015</t>
  </si>
  <si>
    <t>In 2014</t>
  </si>
  <si>
    <t>In 2013</t>
  </si>
  <si>
    <t>Net Sales</t>
  </si>
  <si>
    <t>Other Income (incidental to Business/Business income)</t>
  </si>
  <si>
    <t>Other Income (Non Business income)</t>
  </si>
  <si>
    <t>Total Income</t>
  </si>
  <si>
    <t>Cost % of sales of 2015</t>
  </si>
  <si>
    <t>Cost % of sales of 2014</t>
  </si>
  <si>
    <t>Cost % of sales of 2013</t>
  </si>
  <si>
    <t>Cost % of sales of 2012</t>
  </si>
  <si>
    <t>Raw Material Cost</t>
  </si>
  <si>
    <t>Manufacturing expenses</t>
  </si>
  <si>
    <t>Wages</t>
  </si>
  <si>
    <t>Gross Profit</t>
  </si>
  <si>
    <t>Administrative Expenses</t>
  </si>
  <si>
    <t>Selling &amp; Distribution Expenses</t>
  </si>
  <si>
    <t>PBDIT</t>
  </si>
  <si>
    <t>Depreciation</t>
  </si>
  <si>
    <t xml:space="preserve">Interest </t>
  </si>
  <si>
    <t>Non cash expenses written off</t>
  </si>
  <si>
    <t>Profit Before Tax</t>
  </si>
  <si>
    <t xml:space="preserve">Tax </t>
  </si>
  <si>
    <t>PAT</t>
  </si>
  <si>
    <t>Cash Profits</t>
  </si>
  <si>
    <t>Salary to Partner/Director/family members</t>
  </si>
  <si>
    <t>Interest/ Rent Expenses paid to partners/director/ family members</t>
  </si>
  <si>
    <t>Actual Cash Profit</t>
  </si>
  <si>
    <t xml:space="preserve">Balance Sheet </t>
  </si>
  <si>
    <t xml:space="preserve">Share Capital </t>
  </si>
  <si>
    <t>Reserves &amp; Surplus(excluding revaluation reserve)</t>
  </si>
  <si>
    <t>Total Networth</t>
  </si>
  <si>
    <t>Revaluation Reserve</t>
  </si>
  <si>
    <t>Adjusted Networth</t>
  </si>
  <si>
    <t xml:space="preserve">Long Term Loans from Banks/FI </t>
  </si>
  <si>
    <t>Working Capital Limits from Banks/FI's</t>
  </si>
  <si>
    <t>Total Borrowings from banks/FI/NBFC's</t>
  </si>
  <si>
    <t>Unsecured loans  (others)</t>
  </si>
  <si>
    <t>Unsecured loans from partners/shareholders</t>
  </si>
  <si>
    <t>Current Liabilities &amp; Provisions</t>
  </si>
  <si>
    <t>Deferred tax Liability</t>
  </si>
  <si>
    <t>Other Liabilities</t>
  </si>
  <si>
    <t>Total Liabilities to outsiders</t>
  </si>
  <si>
    <t>Balance Sheet Total</t>
  </si>
  <si>
    <t>Fixed Assets less depreciation</t>
  </si>
  <si>
    <t>Investments</t>
  </si>
  <si>
    <t>Liquid/Marketable Investments</t>
  </si>
  <si>
    <t>Group Co. Investments</t>
  </si>
  <si>
    <t>Unquoted/Dead Investments</t>
  </si>
  <si>
    <t>Current Assets:</t>
  </si>
  <si>
    <t>Deferred Tax Asset</t>
  </si>
  <si>
    <t>Inventories</t>
  </si>
  <si>
    <t>Receivables / Debtors</t>
  </si>
  <si>
    <t xml:space="preserve"> Debtors &gt; 6 months</t>
  </si>
  <si>
    <t xml:space="preserve"> Debtors &lt; 6 months</t>
  </si>
  <si>
    <t>Cash and Bank</t>
  </si>
  <si>
    <t>Loans &amp; Advances</t>
  </si>
  <si>
    <t>Loans &amp; Advances given to directors/partners etc</t>
  </si>
  <si>
    <t>Loans and Advances given to others</t>
  </si>
  <si>
    <t>Misc Expenses (DRE+Preop+Preliminary+Acc P&amp;L)</t>
  </si>
  <si>
    <t xml:space="preserve">Ratios </t>
  </si>
  <si>
    <t xml:space="preserve">Average Collection Period                </t>
  </si>
  <si>
    <t xml:space="preserve">Average Days in Inventory                </t>
  </si>
  <si>
    <t xml:space="preserve">Inventory to Cost of Goods Sold  </t>
  </si>
  <si>
    <t xml:space="preserve">Current Ratio                </t>
  </si>
  <si>
    <t xml:space="preserve">Liquidity Ratio                </t>
  </si>
  <si>
    <t xml:space="preserve">Debt Equity Ratio                </t>
  </si>
  <si>
    <t xml:space="preserve">Interest Coverage Ratio                </t>
  </si>
  <si>
    <t xml:space="preserve">DSCR                </t>
  </si>
  <si>
    <t xml:space="preserve">Gross Profit Margin Ratio                </t>
  </si>
  <si>
    <t xml:space="preserve">Net Profit Margin Ratio                </t>
  </si>
  <si>
    <t xml:space="preserve">Cash Profit Ratio                </t>
  </si>
  <si>
    <t xml:space="preserve">Growth in Sales                </t>
  </si>
  <si>
    <t xml:space="preserve">Growth in Net Profits                </t>
  </si>
  <si>
    <t xml:space="preserve">Cash Flow Statement                </t>
  </si>
  <si>
    <t xml:space="preserve">Net Profit After Tax                </t>
  </si>
  <si>
    <t xml:space="preserve">Add :                </t>
  </si>
  <si>
    <t xml:space="preserve">Depreciation                </t>
  </si>
  <si>
    <t xml:space="preserve">Misc expenses written off/non cash expenses                </t>
  </si>
  <si>
    <t xml:space="preserve">Salary paid to promoter/partners </t>
  </si>
  <si>
    <t xml:space="preserve">Interest paid to promoters                </t>
  </si>
  <si>
    <t xml:space="preserve">Provision for tax                </t>
  </si>
  <si>
    <t xml:space="preserve">Interest                </t>
  </si>
  <si>
    <t xml:space="preserve">Less : Other income (non business income)                </t>
  </si>
  <si>
    <t xml:space="preserve">Operating cash profit/(Loss ) before working capital changes                </t>
  </si>
  <si>
    <t xml:space="preserve">Trade and other receivables                </t>
  </si>
  <si>
    <t xml:space="preserve">Inventories                </t>
  </si>
  <si>
    <t xml:space="preserve">Loans &amp; Advances                </t>
  </si>
  <si>
    <t xml:space="preserve">other current liabilities                </t>
  </si>
  <si>
    <t xml:space="preserve">Total                </t>
  </si>
  <si>
    <t xml:space="preserve">Cash Generated from operations </t>
  </si>
  <si>
    <t xml:space="preserve">Less taxes paid                </t>
  </si>
  <si>
    <t xml:space="preserve">Net Cash from Operations </t>
  </si>
  <si>
    <t>Name of Applicant</t>
  </si>
  <si>
    <t>Application no:</t>
  </si>
  <si>
    <t>Particulars</t>
  </si>
  <si>
    <t>Parameters</t>
  </si>
  <si>
    <t>Score</t>
  </si>
  <si>
    <t>Total
Weightages</t>
  </si>
  <si>
    <t>Final score</t>
  </si>
  <si>
    <t>No. of years in business</t>
  </si>
  <si>
    <t>&gt; = 5  - 10                                                      &gt; = 3 to 5 - 7                               &lt; 3 - 5</t>
  </si>
  <si>
    <t xml:space="preserve">Minimum income </t>
  </si>
  <si>
    <r>
      <t>Net profit of &gt; =</t>
    </r>
    <r>
      <rPr>
        <sz val="11"/>
        <rFont val="Rupee Foradian"/>
        <family val="2"/>
      </rPr>
      <t>`</t>
    </r>
    <r>
      <rPr>
        <sz val="11"/>
        <rFont val="Zurich BT"/>
        <family val="2"/>
      </rPr>
      <t xml:space="preserve"> 2.6 lacs p. a - 10                                Net profit of &lt; </t>
    </r>
    <r>
      <rPr>
        <sz val="11"/>
        <rFont val="Rupee Foradian"/>
        <family val="2"/>
      </rPr>
      <t>`</t>
    </r>
    <r>
      <rPr>
        <sz val="11"/>
        <rFont val="Zurich BT"/>
        <family val="2"/>
      </rPr>
      <t xml:space="preserve"> 2.6 lacs p. a - 5 </t>
    </r>
  </si>
  <si>
    <t>Financial norms : Debt-Equity Ratio</t>
  </si>
  <si>
    <t>DE Ratio &lt; 2:1 - 10                 DE Ratio = 2:1 - 7                      DE Ratio &gt; 2:1 - 5</t>
  </si>
  <si>
    <t>Financial norms : DSCR</t>
  </si>
  <si>
    <t>DSCR &gt; 1.5 - 10                 DSCR between 1.25 to 1.5 - 7                                                  DSCR &lt; 1.25 - 5</t>
  </si>
  <si>
    <t>Financial norms : Debtors to sales ratio</t>
  </si>
  <si>
    <t>Debtors to Sales Ratio &lt; 3 months - 10                             Debtors to Sales Ratio = 3 months - 7                               Debtors to Sales Ratio &gt; 3 months - 5</t>
  </si>
  <si>
    <t>Bank verification</t>
  </si>
  <si>
    <t xml:space="preserve">No. of outward cheque returns in last 6 months &lt; = 6 - 10                                         No. of outward cheque returns in last 6 months between 6 to 10  - 7               No. of outward cheque returns in last 6 months &gt; 10 - 5 </t>
  </si>
  <si>
    <t>Property usage</t>
  </si>
  <si>
    <t>Self occupied - 10                   Rented - 7</t>
  </si>
  <si>
    <t>Total Score</t>
  </si>
  <si>
    <t xml:space="preserve">Average    </t>
  </si>
  <si>
    <t xml:space="preserve">Eligible Income    </t>
  </si>
  <si>
    <t xml:space="preserve">Less: Taxes Paid         </t>
  </si>
  <si>
    <t xml:space="preserve">Total  </t>
  </si>
  <si>
    <t xml:space="preserve">Appraised Monthly Income                </t>
  </si>
  <si>
    <t xml:space="preserve">Appraised Obligations     </t>
  </si>
  <si>
    <t xml:space="preserve">Max FOIR (for a combined LTV and FOIR of 130)                </t>
  </si>
  <si>
    <t xml:space="preserve">Max EMI                                                            </t>
  </si>
  <si>
    <t xml:space="preserve">Tenor (Months)  </t>
  </si>
  <si>
    <t xml:space="preserve">Rate Of Interest  </t>
  </si>
  <si>
    <t xml:space="preserve">EMI Factor                                                            </t>
  </si>
  <si>
    <t xml:space="preserve">Eligibility(Rs. In lacs)                   </t>
  </si>
  <si>
    <t xml:space="preserve">Recommendation                                                            </t>
  </si>
  <si>
    <t xml:space="preserve">Loan Amt (Rs. In lacs)                   </t>
  </si>
  <si>
    <t xml:space="preserve">EMI                                                            </t>
  </si>
  <si>
    <t xml:space="preserve">Actual FOIR                                                            </t>
  </si>
  <si>
    <t xml:space="preserve">Value based on Market valuation                </t>
  </si>
  <si>
    <t xml:space="preserve">Outstanding in LAN No.                </t>
  </si>
  <si>
    <t xml:space="preserve">LTV                                                             </t>
  </si>
  <si>
    <t xml:space="preserve">LTV on the basis of Market Valuation                </t>
  </si>
  <si>
    <t xml:space="preserve">FOIR + LTV                                                            </t>
  </si>
  <si>
    <t>y</t>
  </si>
  <si>
    <t>Y</t>
  </si>
  <si>
    <t>EMI Considered</t>
  </si>
  <si>
    <t>2016-17</t>
  </si>
  <si>
    <t>ASSESSMENT YEAR</t>
  </si>
  <si>
    <t>2017-18</t>
  </si>
  <si>
    <t>Ravinder Kumar Mishra</t>
  </si>
  <si>
    <t xml:space="preserve">Income from Business </t>
  </si>
  <si>
    <t xml:space="preserve">Income from Other Sources </t>
  </si>
</sst>
</file>

<file path=xl/styles.xml><?xml version="1.0" encoding="utf-8"?>
<styleSheet xmlns="http://schemas.openxmlformats.org/spreadsheetml/2006/main">
  <numFmts count="9">
    <numFmt numFmtId="164" formatCode="#,##0.00\ ;&quot; (&quot;#,##0.00\);&quot; -&quot;#\ ;@\ "/>
    <numFmt numFmtId="165" formatCode="0\ ;&quot; (&quot;0\);&quot; -&quot;#\ ;@\ "/>
    <numFmt numFmtId="166" formatCode="0\ ;\(0\)"/>
    <numFmt numFmtId="167" formatCode="#,###"/>
    <numFmt numFmtId="168" formatCode="#,##0\ ;&quot; (&quot;#,##0\);&quot; -&quot;#\ ;@\ "/>
    <numFmt numFmtId="169" formatCode="mmm\ d&quot;, &quot;yy"/>
    <numFmt numFmtId="170" formatCode="dd\ mmm\ yy"/>
    <numFmt numFmtId="171" formatCode="0.0"/>
    <numFmt numFmtId="172" formatCode="#,##0.0"/>
  </numFmts>
  <fonts count="17">
    <font>
      <sz val="10"/>
      <name val="Arial"/>
      <family val="2"/>
    </font>
    <font>
      <sz val="10"/>
      <name val="Arial1"/>
    </font>
    <font>
      <sz val="10.5"/>
      <name val="Zurich BT"/>
      <family val="2"/>
    </font>
    <font>
      <sz val="10.5"/>
      <name val="Arial"/>
      <family val="2"/>
    </font>
    <font>
      <b/>
      <sz val="10.5"/>
      <name val="Zurich BT"/>
      <family val="2"/>
    </font>
    <font>
      <sz val="11"/>
      <name val="Zurich BT"/>
      <family val="2"/>
    </font>
    <font>
      <b/>
      <sz val="10.5"/>
      <color indexed="8"/>
      <name val="Zurich BT"/>
      <family val="2"/>
    </font>
    <font>
      <sz val="10.5"/>
      <color indexed="8"/>
      <name val="Zurich BT"/>
      <family val="2"/>
    </font>
    <font>
      <b/>
      <sz val="8"/>
      <color indexed="8"/>
      <name val="Times New Roman"/>
      <family val="1"/>
    </font>
    <font>
      <sz val="8"/>
      <color indexed="8"/>
      <name val="Times New Roman"/>
      <family val="1"/>
    </font>
    <font>
      <b/>
      <sz val="11"/>
      <color indexed="9"/>
      <name val="Zurich BT"/>
      <family val="2"/>
    </font>
    <font>
      <b/>
      <sz val="10"/>
      <color indexed="9"/>
      <name val="Arial"/>
      <family val="2"/>
    </font>
    <font>
      <sz val="11"/>
      <name val="Rupee Foradian"/>
      <family val="2"/>
    </font>
    <font>
      <sz val="11"/>
      <name val="Arial"/>
      <family val="2"/>
    </font>
    <font>
      <sz val="10"/>
      <name val="Arial"/>
      <family val="2"/>
    </font>
    <font>
      <sz val="10.5"/>
      <name val="Zurich BT"/>
    </font>
    <font>
      <sz val="10.5"/>
      <color indexed="8"/>
      <name val="Zurich BT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47"/>
        <bgColor indexed="31"/>
      </patternFill>
    </fill>
    <fill>
      <patternFill patternType="solid">
        <fgColor indexed="31"/>
        <bgColor indexed="22"/>
      </patternFill>
    </fill>
    <fill>
      <patternFill patternType="solid">
        <fgColor indexed="44"/>
        <bgColor indexed="22"/>
      </patternFill>
    </fill>
    <fill>
      <patternFill patternType="solid">
        <fgColor indexed="22"/>
        <bgColor indexed="44"/>
      </patternFill>
    </fill>
    <fill>
      <patternFill patternType="solid">
        <fgColor indexed="13"/>
        <bgColor indexed="34"/>
      </patternFill>
    </fill>
    <fill>
      <patternFill patternType="solid">
        <fgColor indexed="16"/>
        <bgColor indexed="37"/>
      </patternFill>
    </fill>
    <fill>
      <patternFill patternType="solid">
        <fgColor indexed="12"/>
        <bgColor indexed="39"/>
      </patternFill>
    </fill>
  </fills>
  <borders count="5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</borders>
  <cellStyleXfs count="8">
    <xf numFmtId="0" fontId="0" fillId="0" borderId="0"/>
    <xf numFmtId="164" fontId="14" fillId="0" borderId="0" applyFill="0" applyAlignment="0" applyProtection="0"/>
    <xf numFmtId="9" fontId="14" fillId="0" borderId="0" applyFill="0" applyBorder="0" applyAlignment="0" applyProtection="0"/>
    <xf numFmtId="0" fontId="14" fillId="0" borderId="0"/>
    <xf numFmtId="0" fontId="14" fillId="0" borderId="0"/>
    <xf numFmtId="0" fontId="1" fillId="0" borderId="0" applyBorder="0" applyProtection="0"/>
    <xf numFmtId="164" fontId="1" fillId="0" borderId="0" applyBorder="0" applyProtection="0"/>
    <xf numFmtId="164" fontId="14" fillId="0" borderId="0" applyFill="0" applyAlignment="0" applyProtection="0"/>
  </cellStyleXfs>
  <cellXfs count="178">
    <xf numFmtId="0" fontId="0" fillId="0" borderId="0" xfId="0"/>
    <xf numFmtId="0" fontId="2" fillId="2" borderId="0" xfId="3" applyFont="1" applyFill="1" applyBorder="1" applyAlignment="1">
      <alignment vertical="top" wrapText="1"/>
    </xf>
    <xf numFmtId="0" fontId="2" fillId="0" borderId="0" xfId="0" applyFont="1" applyBorder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/>
    <xf numFmtId="0" fontId="3" fillId="0" borderId="0" xfId="0" applyFont="1"/>
    <xf numFmtId="165" fontId="4" fillId="3" borderId="1" xfId="1" applyNumberFormat="1" applyFont="1" applyFill="1" applyBorder="1" applyAlignment="1" applyProtection="1">
      <alignment horizontal="center" vertical="center" wrapText="1"/>
    </xf>
    <xf numFmtId="165" fontId="4" fillId="4" borderId="1" xfId="1" applyNumberFormat="1" applyFont="1" applyFill="1" applyBorder="1" applyAlignment="1" applyProtection="1">
      <alignment horizontal="left" vertical="center" wrapText="1"/>
    </xf>
    <xf numFmtId="165" fontId="4" fillId="4" borderId="1" xfId="1" applyNumberFormat="1" applyFont="1" applyFill="1" applyBorder="1" applyAlignment="1" applyProtection="1">
      <alignment horizontal="center" vertical="center" wrapText="1"/>
    </xf>
    <xf numFmtId="9" fontId="4" fillId="4" borderId="1" xfId="1" applyNumberFormat="1" applyFont="1" applyFill="1" applyBorder="1" applyAlignment="1" applyProtection="1">
      <alignment horizontal="center" vertical="center" wrapText="1"/>
    </xf>
    <xf numFmtId="165" fontId="2" fillId="2" borderId="1" xfId="1" applyNumberFormat="1" applyFont="1" applyFill="1" applyBorder="1" applyAlignment="1" applyProtection="1">
      <alignment horizontal="left" vertical="center" wrapText="1"/>
    </xf>
    <xf numFmtId="165" fontId="2" fillId="2" borderId="1" xfId="1" applyNumberFormat="1" applyFont="1" applyFill="1" applyBorder="1" applyAlignment="1" applyProtection="1">
      <alignment horizontal="center" vertical="top"/>
    </xf>
    <xf numFmtId="9" fontId="2" fillId="2" borderId="1" xfId="1" applyNumberFormat="1" applyFont="1" applyFill="1" applyBorder="1" applyAlignment="1" applyProtection="1">
      <alignment horizontal="center" vertical="top"/>
    </xf>
    <xf numFmtId="167" fontId="4" fillId="4" borderId="1" xfId="1" applyNumberFormat="1" applyFont="1" applyFill="1" applyBorder="1" applyAlignment="1" applyProtection="1">
      <alignment horizontal="center" vertical="top"/>
    </xf>
    <xf numFmtId="165" fontId="2" fillId="0" borderId="1" xfId="1" applyNumberFormat="1" applyFont="1" applyFill="1" applyBorder="1" applyAlignment="1" applyProtection="1">
      <alignment vertical="top" wrapText="1"/>
    </xf>
    <xf numFmtId="165" fontId="2" fillId="0" borderId="1" xfId="1" applyNumberFormat="1" applyFont="1" applyFill="1" applyBorder="1" applyAlignment="1" applyProtection="1">
      <alignment horizontal="left" vertical="top" wrapText="1"/>
    </xf>
    <xf numFmtId="10" fontId="2" fillId="0" borderId="1" xfId="1" applyNumberFormat="1" applyFont="1" applyFill="1" applyBorder="1" applyAlignment="1" applyProtection="1">
      <alignment horizontal="center" vertical="top"/>
    </xf>
    <xf numFmtId="165" fontId="2" fillId="4" borderId="1" xfId="1" applyNumberFormat="1" applyFont="1" applyFill="1" applyBorder="1" applyAlignment="1" applyProtection="1">
      <alignment horizontal="center" vertical="top"/>
    </xf>
    <xf numFmtId="165" fontId="2" fillId="0" borderId="1" xfId="1" applyNumberFormat="1" applyFont="1" applyFill="1" applyBorder="1" applyAlignment="1" applyProtection="1">
      <alignment horizontal="center" vertical="top"/>
    </xf>
    <xf numFmtId="2" fontId="2" fillId="4" borderId="1" xfId="6" applyNumberFormat="1" applyFont="1" applyFill="1" applyBorder="1" applyAlignment="1" applyProtection="1">
      <alignment horizontal="center" vertical="top"/>
    </xf>
    <xf numFmtId="164" fontId="2" fillId="4" borderId="1" xfId="6" applyNumberFormat="1" applyFont="1" applyFill="1" applyBorder="1" applyAlignment="1" applyProtection="1">
      <alignment horizontal="center" vertical="top"/>
    </xf>
    <xf numFmtId="10" fontId="2" fillId="4" borderId="1" xfId="1" applyNumberFormat="1" applyFont="1" applyFill="1" applyBorder="1" applyAlignment="1" applyProtection="1">
      <alignment horizontal="center" vertical="top"/>
    </xf>
    <xf numFmtId="164" fontId="2" fillId="0" borderId="1" xfId="1" applyNumberFormat="1" applyFont="1" applyFill="1" applyBorder="1" applyAlignment="1" applyProtection="1">
      <alignment horizontal="center" vertical="top"/>
    </xf>
    <xf numFmtId="165" fontId="2" fillId="4" borderId="1" xfId="6" applyNumberFormat="1" applyFont="1" applyFill="1" applyBorder="1" applyAlignment="1" applyProtection="1">
      <alignment horizontal="center" vertical="top"/>
    </xf>
    <xf numFmtId="10" fontId="2" fillId="4" borderId="1" xfId="6" applyNumberFormat="1" applyFont="1" applyFill="1" applyBorder="1" applyAlignment="1" applyProtection="1">
      <alignment horizontal="center" vertical="top"/>
    </xf>
    <xf numFmtId="164" fontId="2" fillId="0" borderId="1" xfId="1" applyNumberFormat="1" applyFont="1" applyFill="1" applyBorder="1" applyAlignment="1" applyProtection="1">
      <alignment vertical="top" wrapText="1"/>
    </xf>
    <xf numFmtId="2" fontId="2" fillId="0" borderId="1" xfId="6" applyNumberFormat="1" applyFont="1" applyFill="1" applyBorder="1" applyAlignment="1" applyProtection="1">
      <alignment horizontal="center" vertical="top"/>
    </xf>
    <xf numFmtId="164" fontId="2" fillId="0" borderId="1" xfId="6" applyNumberFormat="1" applyFont="1" applyFill="1" applyBorder="1" applyAlignment="1" applyProtection="1">
      <alignment horizontal="center" vertical="top"/>
    </xf>
    <xf numFmtId="10" fontId="2" fillId="5" borderId="1" xfId="5" applyNumberFormat="1" applyFont="1" applyFill="1" applyBorder="1" applyAlignment="1" applyProtection="1">
      <alignment horizontal="center" vertical="top"/>
    </xf>
    <xf numFmtId="0" fontId="4" fillId="0" borderId="1" xfId="4" applyFont="1" applyBorder="1" applyAlignment="1">
      <alignment horizontal="center" vertical="top" wrapText="1"/>
    </xf>
    <xf numFmtId="0" fontId="2" fillId="0" borderId="1" xfId="4" applyFont="1" applyBorder="1" applyAlignment="1">
      <alignment horizontal="center" vertical="center" wrapText="1"/>
    </xf>
    <xf numFmtId="0" fontId="2" fillId="0" borderId="1" xfId="4" applyFont="1" applyFill="1" applyBorder="1" applyAlignment="1">
      <alignment horizontal="left" vertical="center" wrapText="1"/>
    </xf>
    <xf numFmtId="0" fontId="2" fillId="0" borderId="1" xfId="4" applyNumberFormat="1" applyFont="1" applyBorder="1" applyAlignment="1">
      <alignment horizontal="center" vertical="center" wrapText="1"/>
    </xf>
    <xf numFmtId="0" fontId="4" fillId="2" borderId="1" xfId="4" applyFont="1" applyFill="1" applyBorder="1" applyAlignment="1">
      <alignment horizontal="center" vertical="top"/>
    </xf>
    <xf numFmtId="0" fontId="2" fillId="0" borderId="0" xfId="3" applyFont="1" applyFill="1" applyBorder="1" applyAlignment="1">
      <alignment vertical="top" wrapText="1"/>
    </xf>
    <xf numFmtId="0" fontId="2" fillId="0" borderId="0" xfId="0" applyFont="1" applyFill="1" applyBorder="1" applyAlignment="1">
      <alignment wrapText="1"/>
    </xf>
    <xf numFmtId="0" fontId="2" fillId="0" borderId="0" xfId="0" applyFont="1" applyBorder="1" applyAlignment="1">
      <alignment horizontal="center"/>
    </xf>
    <xf numFmtId="169" fontId="2" fillId="0" borderId="0" xfId="0" applyNumberFormat="1" applyFont="1" applyBorder="1" applyAlignment="1">
      <alignment horizontal="center"/>
    </xf>
    <xf numFmtId="0" fontId="6" fillId="3" borderId="1" xfId="0" applyFont="1" applyFill="1" applyBorder="1" applyAlignment="1">
      <alignment horizontal="center" vertical="center" wrapText="1"/>
    </xf>
    <xf numFmtId="169" fontId="6" fillId="3" borderId="1" xfId="0" applyNumberFormat="1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1" fontId="7" fillId="0" borderId="1" xfId="0" applyNumberFormat="1" applyFont="1" applyBorder="1" applyAlignment="1">
      <alignment horizontal="center" vertical="center" wrapText="1"/>
    </xf>
    <xf numFmtId="2" fontId="7" fillId="0" borderId="1" xfId="0" applyNumberFormat="1" applyFont="1" applyBorder="1" applyAlignment="1">
      <alignment horizontal="center" vertical="center" wrapText="1"/>
    </xf>
    <xf numFmtId="170" fontId="2" fillId="0" borderId="1" xfId="0" applyNumberFormat="1" applyFont="1" applyBorder="1" applyAlignment="1">
      <alignment horizontal="center" vertical="center" wrapText="1"/>
    </xf>
    <xf numFmtId="1" fontId="7" fillId="0" borderId="1" xfId="0" applyNumberFormat="1" applyFont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/>
    </xf>
    <xf numFmtId="2" fontId="2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169" fontId="7" fillId="0" borderId="1" xfId="0" applyNumberFormat="1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/>
    </xf>
    <xf numFmtId="2" fontId="2" fillId="0" borderId="1" xfId="0" applyNumberFormat="1" applyFont="1" applyBorder="1" applyAlignment="1">
      <alignment wrapText="1"/>
    </xf>
    <xf numFmtId="4" fontId="2" fillId="0" borderId="1" xfId="7" applyNumberFormat="1" applyFont="1" applyFill="1" applyBorder="1" applyAlignment="1" applyProtection="1">
      <alignment horizontal="right"/>
    </xf>
    <xf numFmtId="2" fontId="2" fillId="0" borderId="1" xfId="7" applyNumberFormat="1" applyFont="1" applyFill="1" applyBorder="1" applyAlignment="1" applyProtection="1">
      <alignment horizontal="right"/>
    </xf>
    <xf numFmtId="0" fontId="2" fillId="0" borderId="0" xfId="0" applyFont="1" applyBorder="1" applyAlignment="1">
      <alignment horizontal="right"/>
    </xf>
    <xf numFmtId="2" fontId="2" fillId="0" borderId="1" xfId="0" applyNumberFormat="1" applyFont="1" applyBorder="1" applyAlignment="1">
      <alignment horizontal="left" wrapText="1"/>
    </xf>
    <xf numFmtId="171" fontId="2" fillId="0" borderId="1" xfId="7" applyNumberFormat="1" applyFont="1" applyFill="1" applyBorder="1" applyAlignment="1" applyProtection="1">
      <alignment horizontal="right"/>
    </xf>
    <xf numFmtId="2" fontId="4" fillId="6" borderId="1" xfId="0" applyNumberFormat="1" applyFont="1" applyFill="1" applyBorder="1" applyAlignment="1">
      <alignment wrapText="1"/>
    </xf>
    <xf numFmtId="4" fontId="4" fillId="6" borderId="1" xfId="7" applyNumberFormat="1" applyFont="1" applyFill="1" applyBorder="1" applyAlignment="1" applyProtection="1">
      <alignment horizontal="right"/>
    </xf>
    <xf numFmtId="171" fontId="2" fillId="6" borderId="1" xfId="7" applyNumberFormat="1" applyFont="1" applyFill="1" applyBorder="1" applyAlignment="1" applyProtection="1">
      <alignment horizontal="right"/>
    </xf>
    <xf numFmtId="2" fontId="2" fillId="6" borderId="1" xfId="7" applyNumberFormat="1" applyFont="1" applyFill="1" applyBorder="1" applyAlignment="1" applyProtection="1">
      <alignment horizontal="right"/>
    </xf>
    <xf numFmtId="171" fontId="4" fillId="6" borderId="1" xfId="7" applyNumberFormat="1" applyFont="1" applyFill="1" applyBorder="1" applyAlignment="1" applyProtection="1">
      <alignment horizontal="center" wrapText="1"/>
    </xf>
    <xf numFmtId="4" fontId="4" fillId="6" borderId="1" xfId="7" applyNumberFormat="1" applyFont="1" applyFill="1" applyBorder="1" applyAlignment="1" applyProtection="1">
      <alignment horizontal="center"/>
    </xf>
    <xf numFmtId="2" fontId="4" fillId="6" borderId="1" xfId="7" applyNumberFormat="1" applyFont="1" applyFill="1" applyBorder="1" applyAlignment="1" applyProtection="1">
      <alignment horizontal="center" wrapText="1"/>
    </xf>
    <xf numFmtId="2" fontId="2" fillId="0" borderId="1" xfId="0" applyNumberFormat="1" applyFont="1" applyFill="1" applyBorder="1" applyAlignment="1">
      <alignment wrapText="1"/>
    </xf>
    <xf numFmtId="2" fontId="7" fillId="6" borderId="1" xfId="0" applyNumberFormat="1" applyFont="1" applyFill="1" applyBorder="1" applyAlignment="1">
      <alignment wrapText="1"/>
    </xf>
    <xf numFmtId="4" fontId="7" fillId="6" borderId="1" xfId="7" applyNumberFormat="1" applyFont="1" applyFill="1" applyBorder="1" applyAlignment="1" applyProtection="1">
      <alignment horizontal="right"/>
    </xf>
    <xf numFmtId="2" fontId="7" fillId="2" borderId="1" xfId="0" applyNumberFormat="1" applyFont="1" applyFill="1" applyBorder="1" applyAlignment="1">
      <alignment wrapText="1"/>
    </xf>
    <xf numFmtId="2" fontId="2" fillId="0" borderId="0" xfId="0" applyNumberFormat="1" applyFont="1"/>
    <xf numFmtId="2" fontId="2" fillId="6" borderId="1" xfId="0" applyNumberFormat="1" applyFont="1" applyFill="1" applyBorder="1" applyAlignment="1">
      <alignment wrapText="1"/>
    </xf>
    <xf numFmtId="4" fontId="2" fillId="6" borderId="1" xfId="7" applyNumberFormat="1" applyFont="1" applyFill="1" applyBorder="1" applyAlignment="1" applyProtection="1">
      <alignment horizontal="right"/>
    </xf>
    <xf numFmtId="2" fontId="4" fillId="6" borderId="1" xfId="0" applyNumberFormat="1" applyFont="1" applyFill="1" applyBorder="1" applyAlignment="1">
      <alignment horizontal="left" wrapText="1"/>
    </xf>
    <xf numFmtId="2" fontId="4" fillId="6" borderId="1" xfId="7" applyNumberFormat="1" applyFont="1" applyFill="1" applyBorder="1" applyAlignment="1" applyProtection="1">
      <alignment horizontal="right"/>
    </xf>
    <xf numFmtId="171" fontId="4" fillId="6" borderId="1" xfId="7" applyNumberFormat="1" applyFont="1" applyFill="1" applyBorder="1" applyAlignment="1" applyProtection="1">
      <alignment horizontal="right"/>
    </xf>
    <xf numFmtId="2" fontId="2" fillId="2" borderId="1" xfId="0" applyNumberFormat="1" applyFont="1" applyFill="1" applyBorder="1" applyAlignment="1">
      <alignment wrapText="1"/>
    </xf>
    <xf numFmtId="2" fontId="4" fillId="6" borderId="1" xfId="0" applyNumberFormat="1" applyFont="1" applyFill="1" applyBorder="1"/>
    <xf numFmtId="4" fontId="4" fillId="6" borderId="1" xfId="0" applyNumberFormat="1" applyFont="1" applyFill="1" applyBorder="1" applyAlignment="1">
      <alignment horizontal="right"/>
    </xf>
    <xf numFmtId="0" fontId="4" fillId="0" borderId="1" xfId="0" applyFont="1" applyBorder="1" applyAlignment="1">
      <alignment horizontal="right"/>
    </xf>
    <xf numFmtId="2" fontId="2" fillId="2" borderId="0" xfId="0" applyNumberFormat="1" applyFont="1" applyFill="1"/>
    <xf numFmtId="172" fontId="2" fillId="2" borderId="0" xfId="0" applyNumberFormat="1" applyFont="1" applyFill="1" applyAlignment="1">
      <alignment horizontal="center"/>
    </xf>
    <xf numFmtId="171" fontId="2" fillId="2" borderId="0" xfId="7" applyNumberFormat="1" applyFont="1" applyFill="1" applyBorder="1" applyAlignment="1" applyProtection="1">
      <alignment horizontal="center"/>
    </xf>
    <xf numFmtId="2" fontId="2" fillId="2" borderId="0" xfId="7" applyNumberFormat="1" applyFont="1" applyFill="1" applyBorder="1" applyAlignment="1" applyProtection="1">
      <alignment horizontal="center"/>
    </xf>
    <xf numFmtId="0" fontId="2" fillId="2" borderId="0" xfId="0" applyFont="1" applyFill="1"/>
    <xf numFmtId="171" fontId="6" fillId="6" borderId="1" xfId="0" applyNumberFormat="1" applyFont="1" applyFill="1" applyBorder="1" applyAlignment="1">
      <alignment horizontal="center"/>
    </xf>
    <xf numFmtId="0" fontId="6" fillId="6" borderId="1" xfId="0" applyFont="1" applyFill="1" applyBorder="1" applyAlignment="1">
      <alignment horizontal="center"/>
    </xf>
    <xf numFmtId="0" fontId="4" fillId="0" borderId="0" xfId="0" applyFont="1"/>
    <xf numFmtId="10" fontId="2" fillId="0" borderId="0" xfId="2" applyNumberFormat="1" applyFont="1" applyFill="1" applyBorder="1" applyAlignment="1" applyProtection="1"/>
    <xf numFmtId="0" fontId="2" fillId="0" borderId="1" xfId="0" applyFont="1" applyBorder="1" applyAlignment="1">
      <alignment wrapText="1"/>
    </xf>
    <xf numFmtId="0" fontId="4" fillId="6" borderId="1" xfId="0" applyFont="1" applyFill="1" applyBorder="1" applyAlignment="1">
      <alignment wrapText="1"/>
    </xf>
    <xf numFmtId="10" fontId="2" fillId="0" borderId="0" xfId="0" applyNumberFormat="1" applyFont="1"/>
    <xf numFmtId="0" fontId="7" fillId="6" borderId="1" xfId="0" applyFont="1" applyFill="1" applyBorder="1" applyAlignment="1">
      <alignment wrapText="1"/>
    </xf>
    <xf numFmtId="0" fontId="2" fillId="0" borderId="1" xfId="0" applyFont="1" applyBorder="1" applyAlignment="1">
      <alignment horizontal="left" wrapText="1"/>
    </xf>
    <xf numFmtId="0" fontId="2" fillId="0" borderId="1" xfId="0" applyFont="1" applyFill="1" applyBorder="1" applyAlignment="1">
      <alignment wrapText="1"/>
    </xf>
    <xf numFmtId="0" fontId="2" fillId="6" borderId="1" xfId="0" applyFont="1" applyFill="1" applyBorder="1" applyAlignment="1">
      <alignment wrapText="1"/>
    </xf>
    <xf numFmtId="0" fontId="4" fillId="7" borderId="1" xfId="0" applyFont="1" applyFill="1" applyBorder="1" applyAlignment="1">
      <alignment wrapText="1"/>
    </xf>
    <xf numFmtId="4" fontId="4" fillId="7" borderId="1" xfId="7" applyNumberFormat="1" applyFont="1" applyFill="1" applyBorder="1" applyAlignment="1" applyProtection="1">
      <alignment horizontal="right"/>
    </xf>
    <xf numFmtId="2" fontId="4" fillId="7" borderId="1" xfId="7" applyNumberFormat="1" applyFont="1" applyFill="1" applyBorder="1" applyAlignment="1" applyProtection="1">
      <alignment horizontal="right"/>
    </xf>
    <xf numFmtId="171" fontId="4" fillId="7" borderId="1" xfId="7" applyNumberFormat="1" applyFont="1" applyFill="1" applyBorder="1" applyAlignment="1" applyProtection="1">
      <alignment horizontal="right"/>
    </xf>
    <xf numFmtId="0" fontId="2" fillId="6" borderId="1" xfId="0" applyFont="1" applyFill="1" applyBorder="1" applyAlignment="1">
      <alignment horizontal="left" wrapText="1"/>
    </xf>
    <xf numFmtId="0" fontId="2" fillId="2" borderId="1" xfId="0" applyFont="1" applyFill="1" applyBorder="1" applyAlignment="1">
      <alignment horizontal="left" wrapText="1"/>
    </xf>
    <xf numFmtId="4" fontId="2" fillId="2" borderId="1" xfId="7" applyNumberFormat="1" applyFont="1" applyFill="1" applyBorder="1" applyAlignment="1" applyProtection="1">
      <alignment horizontal="right"/>
    </xf>
    <xf numFmtId="0" fontId="4" fillId="6" borderId="1" xfId="0" applyFont="1" applyFill="1" applyBorder="1" applyAlignment="1">
      <alignment horizontal="left" wrapText="1"/>
    </xf>
    <xf numFmtId="0" fontId="2" fillId="0" borderId="1" xfId="0" applyFont="1" applyFill="1" applyBorder="1" applyAlignment="1">
      <alignment horizontal="left" wrapText="1"/>
    </xf>
    <xf numFmtId="4" fontId="2" fillId="6" borderId="1" xfId="0" applyNumberFormat="1" applyFont="1" applyFill="1" applyBorder="1" applyAlignment="1">
      <alignment horizontal="right"/>
    </xf>
    <xf numFmtId="4" fontId="4" fillId="7" borderId="1" xfId="0" applyNumberFormat="1" applyFont="1" applyFill="1" applyBorder="1" applyAlignment="1">
      <alignment horizontal="right"/>
    </xf>
    <xf numFmtId="172" fontId="2" fillId="0" borderId="0" xfId="0" applyNumberFormat="1" applyFont="1"/>
    <xf numFmtId="164" fontId="2" fillId="0" borderId="1" xfId="7" applyFont="1" applyFill="1" applyBorder="1" applyAlignment="1" applyProtection="1"/>
    <xf numFmtId="4" fontId="2" fillId="0" borderId="1" xfId="7" applyNumberFormat="1" applyFont="1" applyFill="1" applyBorder="1" applyAlignment="1" applyProtection="1"/>
    <xf numFmtId="0" fontId="2" fillId="0" borderId="0" xfId="0" applyFont="1" applyBorder="1"/>
    <xf numFmtId="172" fontId="2" fillId="0" borderId="1" xfId="7" applyNumberFormat="1" applyFont="1" applyFill="1" applyBorder="1" applyAlignment="1" applyProtection="1">
      <alignment horizontal="right"/>
    </xf>
    <xf numFmtId="164" fontId="2" fillId="0" borderId="1" xfId="7" applyFont="1" applyFill="1" applyBorder="1" applyAlignment="1" applyProtection="1">
      <alignment horizontal="right"/>
    </xf>
    <xf numFmtId="172" fontId="2" fillId="0" borderId="1" xfId="7" applyNumberFormat="1" applyFont="1" applyFill="1" applyBorder="1" applyAlignment="1" applyProtection="1"/>
    <xf numFmtId="164" fontId="4" fillId="0" borderId="1" xfId="7" applyFont="1" applyFill="1" applyBorder="1" applyAlignment="1" applyProtection="1"/>
    <xf numFmtId="164" fontId="2" fillId="0" borderId="1" xfId="7" applyFont="1" applyFill="1" applyBorder="1" applyAlignment="1" applyProtection="1">
      <alignment wrapText="1"/>
    </xf>
    <xf numFmtId="164" fontId="4" fillId="0" borderId="1" xfId="7" applyFont="1" applyFill="1" applyBorder="1" applyAlignment="1" applyProtection="1">
      <alignment wrapText="1"/>
    </xf>
    <xf numFmtId="172" fontId="4" fillId="0" borderId="1" xfId="7" applyNumberFormat="1" applyFont="1" applyFill="1" applyBorder="1" applyAlignment="1" applyProtection="1"/>
    <xf numFmtId="0" fontId="10" fillId="8" borderId="1" xfId="0" applyFont="1" applyFill="1" applyBorder="1" applyAlignment="1" applyProtection="1">
      <alignment horizontal="center" vertical="top" wrapText="1"/>
      <protection hidden="1"/>
    </xf>
    <xf numFmtId="0" fontId="0" fillId="0" borderId="0" xfId="0" applyProtection="1">
      <protection locked="0"/>
    </xf>
    <xf numFmtId="0" fontId="11" fillId="8" borderId="1" xfId="0" applyFont="1" applyFill="1" applyBorder="1" applyAlignment="1" applyProtection="1">
      <alignment vertical="top" wrapText="1"/>
      <protection hidden="1"/>
    </xf>
    <xf numFmtId="0" fontId="10" fillId="8" borderId="1" xfId="0" applyFont="1" applyFill="1" applyBorder="1" applyAlignment="1" applyProtection="1">
      <alignment vertical="top" wrapText="1"/>
      <protection hidden="1"/>
    </xf>
    <xf numFmtId="0" fontId="10" fillId="8" borderId="1" xfId="0" applyFont="1" applyFill="1" applyBorder="1" applyAlignment="1" applyProtection="1">
      <alignment horizontal="center" vertical="top" wrapText="1"/>
      <protection locked="0" hidden="1"/>
    </xf>
    <xf numFmtId="0" fontId="5" fillId="0" borderId="1" xfId="0" applyFont="1" applyBorder="1" applyAlignment="1" applyProtection="1">
      <alignment vertical="top" wrapText="1"/>
      <protection hidden="1"/>
    </xf>
    <xf numFmtId="0" fontId="5" fillId="0" borderId="1" xfId="0" applyFont="1" applyBorder="1" applyAlignment="1">
      <alignment horizontal="justify" vertical="top"/>
    </xf>
    <xf numFmtId="0" fontId="5" fillId="0" borderId="1" xfId="0" applyFont="1" applyBorder="1" applyAlignment="1">
      <alignment horizontal="left" vertical="top" wrapText="1"/>
    </xf>
    <xf numFmtId="0" fontId="5" fillId="0" borderId="1" xfId="0" applyNumberFormat="1" applyFont="1" applyBorder="1" applyAlignment="1" applyProtection="1">
      <alignment horizontal="left" vertical="top" wrapText="1"/>
      <protection locked="0"/>
    </xf>
    <xf numFmtId="10" fontId="5" fillId="0" borderId="1" xfId="0" applyNumberFormat="1" applyFont="1" applyBorder="1" applyAlignment="1">
      <alignment horizontal="left" vertical="top" wrapText="1"/>
    </xf>
    <xf numFmtId="0" fontId="5" fillId="0" borderId="1" xfId="0" applyNumberFormat="1" applyFont="1" applyBorder="1" applyAlignment="1" applyProtection="1">
      <alignment horizontal="left" vertical="top"/>
      <protection locked="0"/>
    </xf>
    <xf numFmtId="0" fontId="5" fillId="0" borderId="1" xfId="0" applyFont="1" applyBorder="1" applyAlignment="1">
      <alignment horizontal="justify" vertical="top" wrapText="1"/>
    </xf>
    <xf numFmtId="0" fontId="5" fillId="0" borderId="1" xfId="0" applyFont="1" applyFill="1" applyBorder="1" applyAlignment="1" applyProtection="1">
      <alignment vertical="top" wrapText="1"/>
      <protection hidden="1"/>
    </xf>
    <xf numFmtId="0" fontId="13" fillId="0" borderId="1" xfId="0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11" fillId="9" borderId="1" xfId="0" applyFont="1" applyFill="1" applyBorder="1" applyAlignment="1" applyProtection="1">
      <alignment vertical="top" wrapText="1"/>
      <protection hidden="1"/>
    </xf>
    <xf numFmtId="0" fontId="10" fillId="9" borderId="1" xfId="0" applyFont="1" applyFill="1" applyBorder="1" applyAlignment="1" applyProtection="1">
      <alignment vertical="top" wrapText="1"/>
      <protection hidden="1"/>
    </xf>
    <xf numFmtId="0" fontId="10" fillId="9" borderId="1" xfId="2" applyNumberFormat="1" applyFont="1" applyFill="1" applyBorder="1" applyAlignment="1" applyProtection="1">
      <alignment horizontal="left" vertical="top" wrapText="1"/>
      <protection locked="0" hidden="1"/>
    </xf>
    <xf numFmtId="10" fontId="10" fillId="9" borderId="1" xfId="2" applyNumberFormat="1" applyFont="1" applyFill="1" applyBorder="1" applyAlignment="1" applyProtection="1">
      <alignment horizontal="left" vertical="top" wrapText="1"/>
      <protection hidden="1"/>
    </xf>
    <xf numFmtId="3" fontId="2" fillId="0" borderId="0" xfId="0" applyNumberFormat="1" applyFont="1"/>
    <xf numFmtId="164" fontId="4" fillId="4" borderId="1" xfId="1" applyFont="1" applyFill="1" applyBorder="1" applyAlignment="1" applyProtection="1">
      <alignment vertical="top" wrapText="1"/>
    </xf>
    <xf numFmtId="166" fontId="2" fillId="2" borderId="1" xfId="1" applyNumberFormat="1" applyFont="1" applyFill="1" applyBorder="1" applyAlignment="1" applyProtection="1">
      <alignment horizontal="center" vertical="center"/>
    </xf>
    <xf numFmtId="0" fontId="2" fillId="0" borderId="0" xfId="0" applyNumberFormat="1" applyFont="1" applyBorder="1" applyAlignment="1">
      <alignment horizontal="center"/>
    </xf>
    <xf numFmtId="166" fontId="2" fillId="0" borderId="1" xfId="1" applyNumberFormat="1" applyFont="1" applyFill="1" applyBorder="1" applyAlignment="1" applyProtection="1">
      <alignment horizontal="center" vertical="center"/>
    </xf>
    <xf numFmtId="166" fontId="15" fillId="2" borderId="1" xfId="1" applyNumberFormat="1" applyFont="1" applyFill="1" applyBorder="1" applyAlignment="1" applyProtection="1">
      <alignment horizontal="center" vertical="center"/>
    </xf>
    <xf numFmtId="0" fontId="16" fillId="0" borderId="1" xfId="0" applyFont="1" applyFill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165" fontId="4" fillId="3" borderId="1" xfId="1" applyNumberFormat="1" applyFont="1" applyFill="1" applyBorder="1" applyAlignment="1" applyProtection="1">
      <alignment horizontal="center" vertical="center" wrapText="1"/>
    </xf>
    <xf numFmtId="0" fontId="2" fillId="2" borderId="1" xfId="3" applyFont="1" applyFill="1" applyBorder="1" applyAlignment="1">
      <alignment vertical="top" wrapText="1"/>
    </xf>
    <xf numFmtId="0" fontId="2" fillId="0" borderId="1" xfId="4" applyFont="1" applyFill="1" applyBorder="1" applyAlignment="1">
      <alignment horizontal="left" vertical="center" wrapText="1"/>
    </xf>
    <xf numFmtId="0" fontId="2" fillId="0" borderId="1" xfId="4" applyFont="1" applyFill="1" applyBorder="1" applyAlignment="1">
      <alignment horizontal="justify" vertical="center" wrapText="1"/>
    </xf>
    <xf numFmtId="0" fontId="4" fillId="3" borderId="1" xfId="4" applyFont="1" applyFill="1" applyBorder="1" applyAlignment="1">
      <alignment horizontal="center" vertical="top"/>
    </xf>
    <xf numFmtId="0" fontId="2" fillId="0" borderId="1" xfId="4" applyFont="1" applyBorder="1" applyAlignment="1">
      <alignment horizontal="left" vertical="center"/>
    </xf>
    <xf numFmtId="0" fontId="4" fillId="3" borderId="1" xfId="4" applyFont="1" applyFill="1" applyBorder="1" applyAlignment="1">
      <alignment horizontal="center" vertical="top" wrapText="1"/>
    </xf>
    <xf numFmtId="0" fontId="4" fillId="0" borderId="1" xfId="4" applyFont="1" applyBorder="1" applyAlignment="1">
      <alignment horizontal="center" vertical="top" wrapText="1"/>
    </xf>
    <xf numFmtId="10" fontId="2" fillId="0" borderId="1" xfId="4" applyNumberFormat="1" applyFont="1" applyBorder="1" applyAlignment="1">
      <alignment horizontal="center" vertical="center" wrapText="1"/>
    </xf>
    <xf numFmtId="0" fontId="4" fillId="3" borderId="1" xfId="4" applyFont="1" applyFill="1" applyBorder="1" applyAlignment="1">
      <alignment horizontal="center" vertical="center"/>
    </xf>
    <xf numFmtId="0" fontId="2" fillId="0" borderId="1" xfId="0" applyNumberFormat="1" applyFont="1" applyFill="1" applyBorder="1"/>
    <xf numFmtId="0" fontId="4" fillId="0" borderId="1" xfId="0" applyNumberFormat="1" applyFont="1" applyFill="1" applyBorder="1" applyAlignment="1">
      <alignment horizontal="center"/>
    </xf>
    <xf numFmtId="165" fontId="4" fillId="3" borderId="1" xfId="1" applyNumberFormat="1" applyFont="1" applyFill="1" applyBorder="1" applyAlignment="1" applyProtection="1">
      <alignment horizontal="center" vertical="center" wrapText="1"/>
    </xf>
    <xf numFmtId="0" fontId="2" fillId="4" borderId="2" xfId="0" applyNumberFormat="1" applyFont="1" applyFill="1" applyBorder="1"/>
    <xf numFmtId="0" fontId="2" fillId="4" borderId="3" xfId="0" applyNumberFormat="1" applyFont="1" applyFill="1" applyBorder="1"/>
    <xf numFmtId="0" fontId="2" fillId="4" borderId="4" xfId="0" applyNumberFormat="1" applyFont="1" applyFill="1" applyBorder="1"/>
    <xf numFmtId="0" fontId="2" fillId="0" borderId="2" xfId="0" applyNumberFormat="1" applyFont="1" applyFill="1" applyBorder="1"/>
    <xf numFmtId="0" fontId="2" fillId="0" borderId="3" xfId="0" applyNumberFormat="1" applyFont="1" applyFill="1" applyBorder="1"/>
    <xf numFmtId="0" fontId="2" fillId="0" borderId="4" xfId="0" applyNumberFormat="1" applyFont="1" applyFill="1" applyBorder="1"/>
    <xf numFmtId="165" fontId="4" fillId="0" borderId="2" xfId="1" applyNumberFormat="1" applyFont="1" applyFill="1" applyBorder="1" applyAlignment="1" applyProtection="1">
      <alignment horizontal="center" vertical="center"/>
    </xf>
    <xf numFmtId="165" fontId="4" fillId="0" borderId="3" xfId="1" applyNumberFormat="1" applyFont="1" applyFill="1" applyBorder="1" applyAlignment="1" applyProtection="1">
      <alignment horizontal="center" vertical="center"/>
    </xf>
    <xf numFmtId="165" fontId="4" fillId="0" borderId="4" xfId="1" applyNumberFormat="1" applyFont="1" applyFill="1" applyBorder="1" applyAlignment="1" applyProtection="1">
      <alignment horizontal="center" vertical="center"/>
    </xf>
    <xf numFmtId="168" fontId="4" fillId="3" borderId="1" xfId="1" applyNumberFormat="1" applyFont="1" applyFill="1" applyBorder="1" applyAlignment="1" applyProtection="1">
      <alignment horizontal="center" vertical="center" wrapText="1"/>
    </xf>
    <xf numFmtId="165" fontId="4" fillId="0" borderId="1" xfId="1" applyNumberFormat="1" applyFont="1" applyFill="1" applyBorder="1" applyAlignment="1" applyProtection="1">
      <alignment horizontal="center" vertical="top"/>
    </xf>
    <xf numFmtId="164" fontId="6" fillId="6" borderId="1" xfId="7" applyFont="1" applyFill="1" applyBorder="1" applyAlignment="1" applyProtection="1">
      <alignment horizontal="center" vertical="center"/>
    </xf>
    <xf numFmtId="2" fontId="6" fillId="6" borderId="1" xfId="0" applyNumberFormat="1" applyFont="1" applyFill="1" applyBorder="1" applyAlignment="1">
      <alignment horizontal="center" vertical="center"/>
    </xf>
    <xf numFmtId="2" fontId="6" fillId="6" borderId="1" xfId="0" applyNumberFormat="1" applyFont="1" applyFill="1" applyBorder="1" applyAlignment="1">
      <alignment horizontal="left" vertical="center"/>
    </xf>
    <xf numFmtId="2" fontId="6" fillId="6" borderId="1" xfId="0" applyNumberFormat="1" applyFont="1" applyFill="1" applyBorder="1" applyAlignment="1">
      <alignment horizontal="left"/>
    </xf>
    <xf numFmtId="172" fontId="6" fillId="6" borderId="1" xfId="0" applyNumberFormat="1" applyFont="1" applyFill="1" applyBorder="1" applyAlignment="1">
      <alignment horizontal="center" vertical="center"/>
    </xf>
    <xf numFmtId="172" fontId="4" fillId="6" borderId="1" xfId="0" applyNumberFormat="1" applyFont="1" applyFill="1" applyBorder="1" applyAlignment="1">
      <alignment horizontal="center" vertical="center"/>
    </xf>
    <xf numFmtId="0" fontId="10" fillId="8" borderId="1" xfId="0" applyFont="1" applyFill="1" applyBorder="1" applyAlignment="1" applyProtection="1">
      <alignment horizontal="center" vertical="top" wrapText="1"/>
      <protection hidden="1"/>
    </xf>
  </cellXfs>
  <cellStyles count="8">
    <cellStyle name="Comma" xfId="1" builtinId="3"/>
    <cellStyle name="Excel_BuiltIn_Comma 2" xfId="6"/>
    <cellStyle name="Excel_BuiltIn_Comma 3" xfId="7"/>
    <cellStyle name="Normal" xfId="0" builtinId="0"/>
    <cellStyle name="Normal_senp__eligibility" xfId="3"/>
    <cellStyle name="Normal_senp__eligibility 1" xfId="4"/>
    <cellStyle name="Normal_senp__eligibility 2" xfId="5"/>
    <cellStyle name="Percent" xfId="2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CC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BFBFB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B2B2B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T73"/>
  <sheetViews>
    <sheetView tabSelected="1" zoomScale="130" zoomScaleNormal="130" workbookViewId="0">
      <selection activeCell="B12" sqref="B12:E12"/>
    </sheetView>
  </sheetViews>
  <sheetFormatPr defaultColWidth="31.28515625" defaultRowHeight="13.5"/>
  <cols>
    <col min="1" max="1" width="46.7109375" style="1" customWidth="1"/>
    <col min="2" max="2" width="12.42578125" style="1" customWidth="1"/>
    <col min="3" max="3" width="12" style="1" customWidth="1"/>
    <col min="4" max="4" width="14.140625" style="1" customWidth="1"/>
    <col min="5" max="5" width="14.7109375" style="1" customWidth="1"/>
    <col min="6" max="6" width="19.5703125" style="1" customWidth="1"/>
    <col min="7" max="7" width="16.28515625" style="1" customWidth="1"/>
    <col min="8" max="8" width="14.7109375" style="1" customWidth="1"/>
    <col min="9" max="9" width="11.85546875" style="1" customWidth="1"/>
    <col min="10" max="10" width="14.5703125" style="1" customWidth="1"/>
    <col min="11" max="12" width="13.140625" style="1" customWidth="1"/>
    <col min="13" max="13" width="13.7109375" style="1" customWidth="1"/>
    <col min="14" max="14" width="14.140625" style="1" customWidth="1"/>
    <col min="15" max="15" width="11.85546875" style="1" customWidth="1"/>
    <col min="16" max="16" width="12" style="1" customWidth="1"/>
    <col min="17" max="17" width="11" style="1" customWidth="1"/>
    <col min="18" max="18" width="11.5703125" style="1" customWidth="1"/>
    <col min="19" max="19" width="12" style="1" customWidth="1"/>
    <col min="20" max="237" width="31.28515625" style="1"/>
    <col min="238" max="245" width="31.28515625" style="2"/>
    <col min="246" max="247" width="31.28515625" style="3"/>
    <col min="248" max="254" width="31.28515625" style="4"/>
    <col min="255" max="16384" width="31.28515625" style="5"/>
  </cols>
  <sheetData>
    <row r="1" spans="1:6" ht="26.85" customHeight="1">
      <c r="A1" s="147" t="s">
        <v>204</v>
      </c>
      <c r="B1" s="159" t="s">
        <v>202</v>
      </c>
      <c r="C1" s="159"/>
      <c r="D1" s="6" t="s">
        <v>0</v>
      </c>
      <c r="E1" s="6">
        <v>7720208401</v>
      </c>
      <c r="F1" s="6" t="s">
        <v>1</v>
      </c>
    </row>
    <row r="2" spans="1:6">
      <c r="A2" s="7" t="s">
        <v>204</v>
      </c>
      <c r="B2" s="8" t="s">
        <v>203</v>
      </c>
      <c r="C2" s="8" t="s">
        <v>201</v>
      </c>
      <c r="D2" s="8" t="s">
        <v>177</v>
      </c>
      <c r="E2" s="9" t="s">
        <v>2</v>
      </c>
      <c r="F2" s="8" t="s">
        <v>178</v>
      </c>
    </row>
    <row r="3" spans="1:6">
      <c r="A3" s="10" t="s">
        <v>205</v>
      </c>
      <c r="B3" s="144">
        <v>377062</v>
      </c>
      <c r="C3" s="143">
        <v>372862</v>
      </c>
      <c r="D3" s="11">
        <f>AVERAGE(B3:C3)</f>
        <v>374962</v>
      </c>
      <c r="E3" s="12">
        <v>1</v>
      </c>
      <c r="F3" s="11">
        <f>E3*D3</f>
        <v>374962</v>
      </c>
    </row>
    <row r="4" spans="1:6">
      <c r="A4" s="10" t="s">
        <v>206</v>
      </c>
      <c r="B4" s="144">
        <v>2531</v>
      </c>
      <c r="C4" s="143">
        <v>0</v>
      </c>
      <c r="D4" s="11">
        <f>AVERAGE(B4:C4)</f>
        <v>1265.5</v>
      </c>
      <c r="E4" s="12">
        <v>0.5</v>
      </c>
      <c r="F4" s="11">
        <f>E4*D4</f>
        <v>632.75</v>
      </c>
    </row>
    <row r="5" spans="1:6">
      <c r="A5" s="10" t="s">
        <v>179</v>
      </c>
      <c r="B5" s="144">
        <v>-1426</v>
      </c>
      <c r="C5" s="141">
        <v>-2521</v>
      </c>
      <c r="D5" s="11">
        <f>AVERAGE(B5:C5)</f>
        <v>-1973.5</v>
      </c>
      <c r="E5" s="12">
        <v>1</v>
      </c>
      <c r="F5" s="11">
        <f>E5*D5</f>
        <v>-1973.5</v>
      </c>
    </row>
    <row r="6" spans="1:6" ht="15.4" customHeight="1">
      <c r="A6" s="140" t="s">
        <v>180</v>
      </c>
      <c r="B6" s="160"/>
      <c r="C6" s="161"/>
      <c r="D6" s="161"/>
      <c r="E6" s="162"/>
      <c r="F6" s="13">
        <f>+SUM(F3:F5)</f>
        <v>373621.25</v>
      </c>
    </row>
    <row r="7" spans="1:6" ht="16.350000000000001" customHeight="1">
      <c r="A7" s="14" t="s">
        <v>181</v>
      </c>
      <c r="B7" s="163"/>
      <c r="C7" s="164"/>
      <c r="D7" s="164"/>
      <c r="E7" s="165"/>
      <c r="F7" s="13">
        <f>F6/12</f>
        <v>31135.104166666668</v>
      </c>
    </row>
    <row r="8" spans="1:6">
      <c r="A8" s="14" t="s">
        <v>182</v>
      </c>
      <c r="B8" s="163"/>
      <c r="C8" s="164"/>
      <c r="D8" s="164"/>
      <c r="E8" s="165"/>
      <c r="F8" s="11">
        <f>RTR!M15</f>
        <v>0</v>
      </c>
    </row>
    <row r="9" spans="1:6" ht="16.350000000000001" customHeight="1">
      <c r="A9" s="15" t="s">
        <v>183</v>
      </c>
      <c r="B9" s="166"/>
      <c r="C9" s="167"/>
      <c r="D9" s="167"/>
      <c r="E9" s="168"/>
      <c r="F9" s="16">
        <v>1</v>
      </c>
    </row>
    <row r="10" spans="1:6" ht="16.350000000000001" customHeight="1">
      <c r="A10" s="14" t="s">
        <v>184</v>
      </c>
      <c r="B10" s="157"/>
      <c r="C10" s="157"/>
      <c r="D10" s="157"/>
      <c r="E10" s="157"/>
      <c r="F10" s="17">
        <f>(F7*F9)-F8</f>
        <v>31135.104166666668</v>
      </c>
    </row>
    <row r="11" spans="1:6" ht="16.350000000000001" customHeight="1">
      <c r="A11" s="14" t="s">
        <v>185</v>
      </c>
      <c r="B11" s="157"/>
      <c r="C11" s="157"/>
      <c r="D11" s="157"/>
      <c r="E11" s="157"/>
      <c r="F11" s="18">
        <v>180</v>
      </c>
    </row>
    <row r="12" spans="1:6" ht="19.5" customHeight="1">
      <c r="A12" s="14" t="s">
        <v>186</v>
      </c>
      <c r="B12" s="157"/>
      <c r="C12" s="157"/>
      <c r="D12" s="157"/>
      <c r="E12" s="157"/>
      <c r="F12" s="16">
        <v>0.1</v>
      </c>
    </row>
    <row r="13" spans="1:6">
      <c r="A13" s="14" t="s">
        <v>187</v>
      </c>
      <c r="B13" s="157"/>
      <c r="C13" s="157"/>
      <c r="D13" s="157"/>
      <c r="E13" s="157"/>
      <c r="F13" s="19">
        <f>PMT(F12/12,F11,-100000)</f>
        <v>1074.6051177081183</v>
      </c>
    </row>
    <row r="14" spans="1:6">
      <c r="A14" s="14" t="s">
        <v>188</v>
      </c>
      <c r="B14" s="157"/>
      <c r="C14" s="157"/>
      <c r="D14" s="157"/>
      <c r="E14" s="157"/>
      <c r="F14" s="20">
        <f>F10/F13</f>
        <v>28.97353051237144</v>
      </c>
    </row>
    <row r="15" spans="1:6" ht="15.4" customHeight="1">
      <c r="A15" s="169" t="s">
        <v>189</v>
      </c>
      <c r="B15" s="169"/>
      <c r="C15" s="169"/>
      <c r="D15" s="169"/>
      <c r="E15" s="169"/>
      <c r="F15" s="169"/>
    </row>
    <row r="16" spans="1:6">
      <c r="A16" s="14" t="s">
        <v>185</v>
      </c>
      <c r="B16" s="157"/>
      <c r="C16" s="157"/>
      <c r="D16" s="157"/>
      <c r="E16" s="157"/>
      <c r="F16" s="17">
        <v>180</v>
      </c>
    </row>
    <row r="17" spans="1:6">
      <c r="A17" s="14" t="s">
        <v>186</v>
      </c>
      <c r="B17" s="157"/>
      <c r="C17" s="157"/>
      <c r="D17" s="157"/>
      <c r="E17" s="157"/>
      <c r="F17" s="21">
        <v>9.0999999999999998E-2</v>
      </c>
    </row>
    <row r="18" spans="1:6">
      <c r="A18" s="14" t="s">
        <v>187</v>
      </c>
      <c r="B18" s="157"/>
      <c r="C18" s="157"/>
      <c r="D18" s="157"/>
      <c r="E18" s="157"/>
      <c r="F18" s="20">
        <f>PMT(F17/12,F16,-100000)</f>
        <v>1020.2239941528065</v>
      </c>
    </row>
    <row r="19" spans="1:6">
      <c r="A19" s="14" t="s">
        <v>190</v>
      </c>
      <c r="B19" s="170">
        <f>B9</f>
        <v>0</v>
      </c>
      <c r="C19" s="170"/>
      <c r="D19" s="170"/>
      <c r="E19" s="170"/>
      <c r="F19" s="22">
        <v>0</v>
      </c>
    </row>
    <row r="20" spans="1:6">
      <c r="A20" s="14" t="s">
        <v>191</v>
      </c>
      <c r="B20" s="157"/>
      <c r="C20" s="157"/>
      <c r="D20" s="157"/>
      <c r="E20" s="157"/>
      <c r="F20" s="23">
        <f>F19*F18</f>
        <v>0</v>
      </c>
    </row>
    <row r="21" spans="1:6">
      <c r="A21" s="14" t="s">
        <v>192</v>
      </c>
      <c r="B21" s="157"/>
      <c r="C21" s="157"/>
      <c r="D21" s="157"/>
      <c r="E21" s="157"/>
      <c r="F21" s="24">
        <f>(F20+F8)/F7</f>
        <v>0</v>
      </c>
    </row>
    <row r="22" spans="1:6">
      <c r="A22" s="25" t="s">
        <v>193</v>
      </c>
      <c r="B22" s="158" t="s">
        <v>3</v>
      </c>
      <c r="C22" s="158"/>
      <c r="D22" s="158"/>
      <c r="E22" s="158"/>
      <c r="F22" s="26">
        <v>0</v>
      </c>
    </row>
    <row r="23" spans="1:6">
      <c r="A23" s="25" t="s">
        <v>194</v>
      </c>
      <c r="B23" s="157"/>
      <c r="C23" s="157"/>
      <c r="D23" s="157"/>
      <c r="E23" s="157"/>
      <c r="F23" s="27"/>
    </row>
    <row r="24" spans="1:6">
      <c r="A24" s="25" t="s">
        <v>195</v>
      </c>
      <c r="B24" s="157"/>
      <c r="C24" s="157"/>
      <c r="D24" s="157"/>
      <c r="E24" s="157"/>
      <c r="F24" s="28" t="e">
        <f>F19/F22</f>
        <v>#DIV/0!</v>
      </c>
    </row>
    <row r="25" spans="1:6">
      <c r="A25" s="14" t="s">
        <v>196</v>
      </c>
      <c r="B25" s="157"/>
      <c r="C25" s="157"/>
      <c r="D25" s="157"/>
      <c r="E25" s="157"/>
      <c r="F25" s="28" t="e">
        <f>(F19+F23)/F22</f>
        <v>#DIV/0!</v>
      </c>
    </row>
    <row r="26" spans="1:6">
      <c r="A26" s="14" t="s">
        <v>197</v>
      </c>
      <c r="B26" s="157"/>
      <c r="C26" s="157"/>
      <c r="D26" s="157"/>
      <c r="E26" s="157"/>
      <c r="F26" s="28" t="e">
        <f>F25+F21</f>
        <v>#DIV/0!</v>
      </c>
    </row>
    <row r="27" spans="1:6" ht="15.4" customHeight="1">
      <c r="A27" s="149"/>
      <c r="B27" s="149"/>
      <c r="C27" s="149"/>
      <c r="D27" s="149"/>
      <c r="E27" s="149"/>
      <c r="F27" s="149"/>
    </row>
    <row r="28" spans="1:6">
      <c r="A28" s="149"/>
      <c r="B28" s="149"/>
      <c r="C28" s="149"/>
      <c r="D28" s="149"/>
      <c r="E28" s="149"/>
      <c r="F28" s="149"/>
    </row>
    <row r="29" spans="1:6" ht="15.4" customHeight="1">
      <c r="A29" s="149"/>
      <c r="B29" s="149"/>
      <c r="C29" s="149"/>
      <c r="D29" s="149"/>
      <c r="E29" s="149"/>
      <c r="F29" s="149"/>
    </row>
    <row r="30" spans="1:6">
      <c r="A30" s="149"/>
      <c r="B30" s="149"/>
      <c r="C30" s="149"/>
      <c r="D30" s="149"/>
      <c r="E30" s="149"/>
      <c r="F30" s="149"/>
    </row>
    <row r="31" spans="1:6">
      <c r="A31" s="149"/>
      <c r="B31" s="149"/>
      <c r="C31" s="149"/>
      <c r="D31" s="149"/>
      <c r="E31" s="149"/>
      <c r="F31" s="149"/>
    </row>
    <row r="32" spans="1:6">
      <c r="A32" s="149"/>
      <c r="B32" s="149"/>
      <c r="C32" s="149"/>
      <c r="D32" s="149"/>
      <c r="E32" s="149"/>
      <c r="F32" s="149"/>
    </row>
    <row r="33" spans="1:6">
      <c r="A33" s="149"/>
      <c r="B33" s="149"/>
      <c r="C33" s="149"/>
      <c r="D33" s="149"/>
      <c r="E33" s="149"/>
      <c r="F33" s="149"/>
    </row>
    <row r="34" spans="1:6" ht="15.4" customHeight="1">
      <c r="A34" s="149"/>
      <c r="B34" s="149"/>
      <c r="C34" s="149"/>
      <c r="D34" s="149"/>
      <c r="E34" s="149"/>
      <c r="F34" s="149"/>
    </row>
    <row r="35" spans="1:6">
      <c r="A35" s="149"/>
      <c r="B35" s="149"/>
      <c r="C35" s="149"/>
      <c r="D35" s="149"/>
      <c r="E35" s="149"/>
      <c r="F35" s="149"/>
    </row>
    <row r="36" spans="1:6">
      <c r="A36" s="153" t="s">
        <v>6</v>
      </c>
      <c r="B36" s="153"/>
      <c r="C36" s="153"/>
      <c r="D36" s="153"/>
      <c r="E36" s="153"/>
      <c r="F36" s="153"/>
    </row>
    <row r="37" spans="1:6">
      <c r="A37" s="149"/>
      <c r="B37" s="149"/>
      <c r="C37" s="149"/>
      <c r="D37" s="149"/>
      <c r="E37" s="149"/>
      <c r="F37" s="149"/>
    </row>
    <row r="38" spans="1:6">
      <c r="A38" s="149" t="s">
        <v>7</v>
      </c>
      <c r="B38" s="149"/>
      <c r="C38" s="149"/>
      <c r="D38" s="149"/>
      <c r="E38" s="149"/>
      <c r="F38" s="149"/>
    </row>
    <row r="39" spans="1:6">
      <c r="A39" s="149"/>
      <c r="B39" s="149"/>
      <c r="C39" s="149"/>
      <c r="D39" s="149"/>
      <c r="E39" s="149"/>
      <c r="F39" s="149"/>
    </row>
    <row r="40" spans="1:6" ht="15.4" customHeight="1">
      <c r="A40" s="149"/>
      <c r="B40" s="149"/>
      <c r="C40" s="149"/>
      <c r="D40" s="149"/>
      <c r="E40" s="149"/>
      <c r="F40" s="149"/>
    </row>
    <row r="41" spans="1:6">
      <c r="A41" s="149"/>
      <c r="B41" s="149"/>
      <c r="C41" s="149"/>
      <c r="D41" s="149"/>
      <c r="E41" s="149"/>
      <c r="F41" s="149"/>
    </row>
    <row r="42" spans="1:6">
      <c r="A42" s="149"/>
      <c r="B42" s="149"/>
      <c r="C42" s="149"/>
      <c r="D42" s="149"/>
      <c r="E42" s="149"/>
      <c r="F42" s="149"/>
    </row>
    <row r="43" spans="1:6">
      <c r="A43" s="153" t="s">
        <v>8</v>
      </c>
      <c r="B43" s="153"/>
      <c r="C43" s="153"/>
      <c r="D43" s="153"/>
      <c r="E43" s="153"/>
      <c r="F43" s="153"/>
    </row>
    <row r="44" spans="1:6" ht="15.4" customHeight="1">
      <c r="A44" s="149"/>
      <c r="B44" s="149"/>
      <c r="C44" s="149"/>
      <c r="D44" s="149"/>
      <c r="E44" s="149"/>
      <c r="F44" s="149"/>
    </row>
    <row r="45" spans="1:6" ht="26.85" customHeight="1">
      <c r="A45" s="149"/>
      <c r="B45" s="149"/>
      <c r="C45" s="149"/>
      <c r="D45" s="149"/>
      <c r="E45" s="149"/>
      <c r="F45" s="149"/>
    </row>
    <row r="46" spans="1:6" ht="15.4" customHeight="1">
      <c r="A46" s="149"/>
      <c r="B46" s="149"/>
      <c r="C46" s="149"/>
      <c r="D46" s="149"/>
      <c r="E46" s="149"/>
      <c r="F46" s="149"/>
    </row>
    <row r="47" spans="1:6" ht="15.4" customHeight="1">
      <c r="A47" s="149"/>
      <c r="B47" s="149"/>
      <c r="C47" s="149"/>
      <c r="D47" s="149"/>
      <c r="E47" s="149"/>
      <c r="F47" s="149"/>
    </row>
    <row r="48" spans="1:6">
      <c r="A48" s="149"/>
      <c r="B48" s="149"/>
      <c r="C48" s="149"/>
      <c r="D48" s="149"/>
      <c r="E48" s="149"/>
      <c r="F48" s="149"/>
    </row>
    <row r="49" spans="1:249" ht="16.350000000000001" customHeight="1">
      <c r="A49" s="153" t="s">
        <v>9</v>
      </c>
      <c r="B49" s="153"/>
      <c r="C49" s="153"/>
      <c r="D49" s="153"/>
      <c r="E49" s="153"/>
      <c r="F49" s="153"/>
    </row>
    <row r="50" spans="1:249" ht="16.350000000000001" customHeight="1">
      <c r="A50" s="33" t="s">
        <v>5</v>
      </c>
      <c r="B50" s="29" t="s">
        <v>10</v>
      </c>
      <c r="C50" s="29" t="s">
        <v>11</v>
      </c>
      <c r="D50" s="29" t="s">
        <v>12</v>
      </c>
      <c r="E50" s="29" t="s">
        <v>13</v>
      </c>
      <c r="F50" s="29" t="s">
        <v>14</v>
      </c>
    </row>
    <row r="51" spans="1:249" ht="16.350000000000001" customHeight="1">
      <c r="A51" s="31" t="str">
        <f>+A22</f>
        <v xml:space="preserve">Value based on Market valuation                </v>
      </c>
      <c r="B51" s="30"/>
      <c r="C51" s="30"/>
      <c r="D51" s="32" t="s">
        <v>15</v>
      </c>
      <c r="E51" s="30" t="s">
        <v>15</v>
      </c>
      <c r="F51" s="30"/>
    </row>
    <row r="52" spans="1:249" ht="16.350000000000001" customHeight="1">
      <c r="A52" s="31" t="s">
        <v>4</v>
      </c>
      <c r="B52" s="30"/>
      <c r="C52" s="30"/>
      <c r="D52" s="32" t="s">
        <v>15</v>
      </c>
      <c r="E52" s="30" t="s">
        <v>15</v>
      </c>
      <c r="F52" s="30"/>
    </row>
    <row r="53" spans="1:249" ht="16.350000000000001" customHeight="1">
      <c r="A53" s="153" t="s">
        <v>16</v>
      </c>
      <c r="B53" s="153"/>
      <c r="C53" s="153"/>
      <c r="D53" s="153"/>
      <c r="E53" s="153"/>
      <c r="F53" s="153"/>
    </row>
    <row r="54" spans="1:249" ht="16.350000000000001" customHeight="1">
      <c r="A54" s="33" t="s">
        <v>5</v>
      </c>
      <c r="B54" s="29" t="s">
        <v>17</v>
      </c>
      <c r="C54" s="29" t="s">
        <v>18</v>
      </c>
      <c r="D54" s="29" t="s">
        <v>19</v>
      </c>
      <c r="E54" s="154" t="s">
        <v>20</v>
      </c>
      <c r="F54" s="154"/>
    </row>
    <row r="55" spans="1:249" ht="16.350000000000001" customHeight="1">
      <c r="A55" s="31" t="str">
        <f>+A22</f>
        <v xml:space="preserve">Value based on Market valuation                </v>
      </c>
      <c r="B55" s="30" t="s">
        <v>15</v>
      </c>
      <c r="C55" s="30"/>
      <c r="D55" s="32" t="s">
        <v>15</v>
      </c>
      <c r="E55" s="155" t="s">
        <v>15</v>
      </c>
      <c r="F55" s="155"/>
    </row>
    <row r="56" spans="1:249" ht="16.350000000000001" customHeight="1">
      <c r="A56" s="31" t="s">
        <v>4</v>
      </c>
      <c r="B56" s="30" t="s">
        <v>15</v>
      </c>
      <c r="C56" s="30"/>
      <c r="D56" s="32" t="s">
        <v>15</v>
      </c>
      <c r="E56" s="155" t="s">
        <v>15</v>
      </c>
      <c r="F56" s="155"/>
    </row>
    <row r="57" spans="1:249" ht="16.350000000000001" customHeight="1">
      <c r="A57" s="156" t="s">
        <v>21</v>
      </c>
      <c r="B57" s="156"/>
      <c r="C57" s="156"/>
      <c r="D57" s="156" t="s">
        <v>22</v>
      </c>
      <c r="E57" s="156"/>
      <c r="F57" s="156"/>
    </row>
    <row r="58" spans="1:249" ht="16.350000000000001" customHeight="1">
      <c r="A58" s="149" t="s">
        <v>23</v>
      </c>
      <c r="B58" s="149"/>
      <c r="C58" s="149"/>
      <c r="D58" s="149"/>
      <c r="E58" s="149"/>
      <c r="F58" s="149"/>
    </row>
    <row r="59" spans="1:249" ht="16.350000000000001" customHeight="1">
      <c r="A59" s="149" t="s">
        <v>24</v>
      </c>
      <c r="B59" s="149"/>
      <c r="C59" s="149"/>
      <c r="D59" s="149"/>
      <c r="E59" s="149"/>
      <c r="F59" s="149"/>
    </row>
    <row r="60" spans="1:249" ht="26.85" customHeight="1">
      <c r="A60" s="149" t="s">
        <v>25</v>
      </c>
      <c r="B60" s="149"/>
      <c r="C60" s="149"/>
      <c r="D60" s="149"/>
      <c r="E60" s="149"/>
      <c r="F60" s="149"/>
    </row>
    <row r="61" spans="1:249" s="34" customFormat="1">
      <c r="A61" s="149" t="s">
        <v>26</v>
      </c>
      <c r="B61" s="149"/>
      <c r="C61" s="149"/>
      <c r="D61" s="149"/>
      <c r="E61" s="149"/>
      <c r="F61" s="149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ID61" s="35"/>
      <c r="IE61" s="35"/>
      <c r="IF61" s="35"/>
      <c r="IG61" s="2"/>
      <c r="IL61" s="3"/>
      <c r="IM61" s="3"/>
      <c r="IN61" s="4"/>
      <c r="IO61" s="4"/>
    </row>
    <row r="62" spans="1:249" s="34" customFormat="1">
      <c r="A62" s="149" t="s">
        <v>27</v>
      </c>
      <c r="B62" s="149"/>
      <c r="C62" s="149"/>
      <c r="D62" s="149"/>
      <c r="E62" s="149"/>
      <c r="F62" s="149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ID62" s="35"/>
      <c r="IE62" s="35"/>
      <c r="IF62" s="35"/>
      <c r="IG62" s="2"/>
      <c r="IL62" s="3"/>
      <c r="IM62" s="3"/>
      <c r="IN62" s="4"/>
      <c r="IO62" s="4"/>
    </row>
    <row r="63" spans="1:249" s="34" customFormat="1">
      <c r="A63" s="149" t="s">
        <v>28</v>
      </c>
      <c r="B63" s="149"/>
      <c r="C63" s="149"/>
      <c r="D63" s="149"/>
      <c r="E63" s="149"/>
      <c r="F63" s="149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ID63" s="35"/>
      <c r="IE63" s="35"/>
      <c r="IF63" s="35"/>
      <c r="IG63" s="2"/>
      <c r="IL63" s="3"/>
      <c r="IM63" s="3"/>
      <c r="IN63" s="4"/>
      <c r="IO63" s="4"/>
    </row>
    <row r="64" spans="1:249">
      <c r="A64" s="149" t="s">
        <v>29</v>
      </c>
      <c r="B64" s="149"/>
      <c r="C64" s="149"/>
      <c r="D64" s="149"/>
      <c r="E64" s="149"/>
      <c r="F64" s="149"/>
    </row>
    <row r="65" spans="1:6">
      <c r="A65" s="149" t="s">
        <v>30</v>
      </c>
      <c r="B65" s="149"/>
      <c r="C65" s="149"/>
      <c r="D65" s="149"/>
      <c r="E65" s="149"/>
      <c r="F65" s="149"/>
    </row>
    <row r="66" spans="1:6">
      <c r="A66" s="149" t="s">
        <v>31</v>
      </c>
      <c r="B66" s="149"/>
      <c r="C66" s="149"/>
      <c r="D66" s="149"/>
      <c r="E66" s="149"/>
      <c r="F66" s="149"/>
    </row>
    <row r="67" spans="1:6">
      <c r="A67" s="149" t="s">
        <v>32</v>
      </c>
      <c r="B67" s="149"/>
      <c r="C67" s="149"/>
      <c r="D67" s="149"/>
      <c r="E67" s="149"/>
      <c r="F67" s="149"/>
    </row>
    <row r="68" spans="1:6">
      <c r="A68" s="149" t="s">
        <v>33</v>
      </c>
      <c r="B68" s="149"/>
      <c r="C68" s="149"/>
      <c r="D68" s="149"/>
      <c r="E68" s="149"/>
      <c r="F68" s="149"/>
    </row>
    <row r="69" spans="1:6">
      <c r="A69" s="149" t="s">
        <v>34</v>
      </c>
      <c r="B69" s="149"/>
      <c r="C69" s="149"/>
      <c r="D69" s="150" t="s">
        <v>35</v>
      </c>
      <c r="E69" s="150"/>
      <c r="F69" s="150"/>
    </row>
    <row r="70" spans="1:6">
      <c r="A70" s="151" t="s">
        <v>36</v>
      </c>
      <c r="B70" s="151"/>
      <c r="C70" s="151"/>
      <c r="D70" s="151"/>
      <c r="E70" s="151"/>
      <c r="F70" s="151"/>
    </row>
    <row r="71" spans="1:6">
      <c r="A71" s="152"/>
      <c r="B71" s="152"/>
      <c r="C71" s="152"/>
      <c r="D71" s="152"/>
      <c r="E71" s="152"/>
      <c r="F71" s="152"/>
    </row>
    <row r="72" spans="1:6">
      <c r="A72" s="152"/>
      <c r="B72" s="152"/>
      <c r="C72" s="152"/>
      <c r="D72" s="152"/>
      <c r="E72" s="152"/>
      <c r="F72" s="152"/>
    </row>
    <row r="73" spans="1:6">
      <c r="A73" s="148"/>
      <c r="B73" s="148"/>
      <c r="C73" s="148"/>
      <c r="D73" s="148"/>
      <c r="E73" s="148"/>
      <c r="F73" s="148"/>
    </row>
  </sheetData>
  <sheetProtection selectLockedCells="1" selectUnlockedCells="1"/>
  <mergeCells count="79">
    <mergeCell ref="B26:E26"/>
    <mergeCell ref="B1:C1"/>
    <mergeCell ref="B6:E6"/>
    <mergeCell ref="B7:E7"/>
    <mergeCell ref="B8:E8"/>
    <mergeCell ref="B9:E9"/>
    <mergeCell ref="B10:E10"/>
    <mergeCell ref="B11:E11"/>
    <mergeCell ref="B12:E12"/>
    <mergeCell ref="B13:E13"/>
    <mergeCell ref="B14:E14"/>
    <mergeCell ref="A15:F15"/>
    <mergeCell ref="B16:E16"/>
    <mergeCell ref="B17:E17"/>
    <mergeCell ref="B18:E18"/>
    <mergeCell ref="B19:E19"/>
    <mergeCell ref="A29:F29"/>
    <mergeCell ref="A30:F30"/>
    <mergeCell ref="A31:F31"/>
    <mergeCell ref="A32:F32"/>
    <mergeCell ref="A33:F33"/>
    <mergeCell ref="B20:E20"/>
    <mergeCell ref="B21:E21"/>
    <mergeCell ref="B22:E22"/>
    <mergeCell ref="B23:E23"/>
    <mergeCell ref="B24:E24"/>
    <mergeCell ref="B25:E25"/>
    <mergeCell ref="A46:F46"/>
    <mergeCell ref="A35:F35"/>
    <mergeCell ref="A36:F36"/>
    <mergeCell ref="A37:F37"/>
    <mergeCell ref="A38:F38"/>
    <mergeCell ref="A39:F39"/>
    <mergeCell ref="A40:F40"/>
    <mergeCell ref="A41:F41"/>
    <mergeCell ref="A42:F42"/>
    <mergeCell ref="A43:F43"/>
    <mergeCell ref="A44:F44"/>
    <mergeCell ref="A45:F45"/>
    <mergeCell ref="A34:F34"/>
    <mergeCell ref="A27:F27"/>
    <mergeCell ref="A28:F28"/>
    <mergeCell ref="A59:C59"/>
    <mergeCell ref="D59:F59"/>
    <mergeCell ref="A47:F47"/>
    <mergeCell ref="A48:F48"/>
    <mergeCell ref="A49:F49"/>
    <mergeCell ref="A53:F53"/>
    <mergeCell ref="E54:F54"/>
    <mergeCell ref="E55:F55"/>
    <mergeCell ref="E56:F56"/>
    <mergeCell ref="A57:C57"/>
    <mergeCell ref="D57:F57"/>
    <mergeCell ref="A58:C58"/>
    <mergeCell ref="D58:F58"/>
    <mergeCell ref="A60:C60"/>
    <mergeCell ref="D60:F60"/>
    <mergeCell ref="A61:C61"/>
    <mergeCell ref="D61:F61"/>
    <mergeCell ref="A62:C62"/>
    <mergeCell ref="D62:F62"/>
    <mergeCell ref="A63:C63"/>
    <mergeCell ref="D63:F63"/>
    <mergeCell ref="A64:C64"/>
    <mergeCell ref="D64:F64"/>
    <mergeCell ref="A65:C65"/>
    <mergeCell ref="D65:F65"/>
    <mergeCell ref="A73:F73"/>
    <mergeCell ref="A66:C66"/>
    <mergeCell ref="D66:F66"/>
    <mergeCell ref="A67:C67"/>
    <mergeCell ref="D67:F67"/>
    <mergeCell ref="A68:C68"/>
    <mergeCell ref="D68:F68"/>
    <mergeCell ref="A69:C69"/>
    <mergeCell ref="D69:F69"/>
    <mergeCell ref="A70:F70"/>
    <mergeCell ref="A71:F71"/>
    <mergeCell ref="A72:F72"/>
  </mergeCells>
  <pageMargins left="0.78749999999999998" right="0.78749999999999998" top="1.05277777777778" bottom="1.05277777777778" header="0.78749999999999998" footer="0.78749999999999998"/>
  <pageSetup firstPageNumber="0" orientation="landscape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enableFormatConditionsCalculation="0">
    <tabColor indexed="24"/>
    <pageSetUpPr fitToPage="1"/>
  </sheetPr>
  <dimension ref="A1:IR19"/>
  <sheetViews>
    <sheetView workbookViewId="0">
      <selection activeCell="A5" sqref="A5"/>
    </sheetView>
  </sheetViews>
  <sheetFormatPr defaultColWidth="22.140625" defaultRowHeight="13.5"/>
  <cols>
    <col min="1" max="1" width="5.42578125" style="36" customWidth="1"/>
    <col min="2" max="2" width="28.28515625" style="36" customWidth="1"/>
    <col min="3" max="3" width="10.7109375" style="36" bestFit="1" customWidth="1"/>
    <col min="4" max="4" width="6.5703125" style="36" bestFit="1" customWidth="1"/>
    <col min="5" max="5" width="9.42578125" style="36" bestFit="1" customWidth="1"/>
    <col min="6" max="6" width="13.140625" style="36" bestFit="1" customWidth="1"/>
    <col min="7" max="7" width="11.42578125" style="37" customWidth="1"/>
    <col min="8" max="8" width="14.140625" style="37" customWidth="1"/>
    <col min="9" max="9" width="9" style="36" customWidth="1"/>
    <col min="10" max="10" width="7.7109375" style="36" customWidth="1"/>
    <col min="11" max="11" width="8.42578125" style="36" customWidth="1"/>
    <col min="12" max="12" width="10.140625" style="36" customWidth="1"/>
    <col min="13" max="13" width="13.140625" style="36" customWidth="1"/>
    <col min="14" max="14" width="24.85546875" style="36" customWidth="1"/>
    <col min="15" max="15" width="10.140625" style="36" customWidth="1"/>
    <col min="16" max="252" width="22.140625" style="36"/>
    <col min="253" max="16384" width="22.140625" style="4"/>
  </cols>
  <sheetData>
    <row r="1" spans="1:15" ht="54">
      <c r="A1" s="38" t="s">
        <v>37</v>
      </c>
      <c r="B1" s="38" t="s">
        <v>38</v>
      </c>
      <c r="C1" s="38" t="s">
        <v>39</v>
      </c>
      <c r="D1" s="38" t="s">
        <v>40</v>
      </c>
      <c r="E1" s="38" t="s">
        <v>41</v>
      </c>
      <c r="F1" s="38" t="s">
        <v>42</v>
      </c>
      <c r="G1" s="39" t="s">
        <v>43</v>
      </c>
      <c r="H1" s="39" t="s">
        <v>44</v>
      </c>
      <c r="I1" s="38" t="s">
        <v>45</v>
      </c>
      <c r="J1" s="38" t="s">
        <v>46</v>
      </c>
      <c r="K1" s="38" t="s">
        <v>47</v>
      </c>
      <c r="L1" s="38" t="s">
        <v>48</v>
      </c>
      <c r="M1" s="38" t="s">
        <v>200</v>
      </c>
      <c r="N1" s="38" t="s">
        <v>49</v>
      </c>
      <c r="O1" s="38" t="s">
        <v>50</v>
      </c>
    </row>
    <row r="2" spans="1:15">
      <c r="A2" s="40"/>
      <c r="B2" s="41"/>
      <c r="C2" s="40"/>
      <c r="D2" s="40"/>
      <c r="E2" s="41"/>
      <c r="F2" s="42"/>
      <c r="G2" s="146"/>
      <c r="H2" s="146"/>
      <c r="I2" s="41"/>
      <c r="J2" s="41"/>
      <c r="K2" s="41"/>
      <c r="L2" s="41"/>
      <c r="M2" s="41"/>
      <c r="N2" s="44"/>
      <c r="O2" s="41"/>
    </row>
    <row r="3" spans="1:15" ht="15.75" customHeight="1">
      <c r="A3" s="40"/>
      <c r="B3" s="41"/>
      <c r="C3" s="40"/>
      <c r="D3" s="40"/>
      <c r="E3" s="41"/>
      <c r="F3" s="42"/>
      <c r="G3" s="146"/>
      <c r="H3" s="146"/>
      <c r="I3" s="41"/>
      <c r="J3" s="41"/>
      <c r="K3" s="41"/>
      <c r="L3" s="41"/>
      <c r="M3" s="41"/>
      <c r="N3" s="44"/>
      <c r="O3" s="41"/>
    </row>
    <row r="4" spans="1:15">
      <c r="A4" s="40"/>
      <c r="B4" s="41"/>
      <c r="C4" s="40"/>
      <c r="D4" s="145"/>
      <c r="E4" s="41"/>
      <c r="F4" s="42"/>
      <c r="G4" s="43"/>
      <c r="H4" s="43"/>
      <c r="I4" s="41"/>
      <c r="J4" s="41"/>
      <c r="K4" s="41"/>
      <c r="L4" s="41"/>
      <c r="M4" s="41"/>
      <c r="N4" s="44"/>
      <c r="O4" s="41"/>
    </row>
    <row r="5" spans="1:15">
      <c r="A5" s="40"/>
      <c r="B5" s="41"/>
      <c r="C5" s="40"/>
      <c r="D5" s="145"/>
      <c r="E5" s="41"/>
      <c r="F5" s="42"/>
      <c r="G5" s="43"/>
      <c r="H5" s="43"/>
      <c r="I5" s="41"/>
      <c r="J5" s="41"/>
      <c r="K5" s="41"/>
      <c r="L5" s="41"/>
      <c r="M5" s="41" t="s">
        <v>199</v>
      </c>
      <c r="N5" s="41"/>
      <c r="O5" s="41" t="s">
        <v>51</v>
      </c>
    </row>
    <row r="6" spans="1:15">
      <c r="A6" s="40"/>
      <c r="B6" s="41"/>
      <c r="C6" s="40"/>
      <c r="D6" s="40"/>
      <c r="E6" s="41"/>
      <c r="F6" s="42"/>
      <c r="G6" s="43"/>
      <c r="H6" s="43"/>
      <c r="I6" s="41"/>
      <c r="J6" s="41"/>
      <c r="K6" s="41"/>
      <c r="L6" s="41"/>
      <c r="M6" s="41" t="s">
        <v>198</v>
      </c>
      <c r="N6" s="41"/>
      <c r="O6" s="41">
        <v>2</v>
      </c>
    </row>
    <row r="7" spans="1:15">
      <c r="A7" s="40"/>
      <c r="B7" s="45"/>
      <c r="C7" s="40"/>
      <c r="D7" s="46"/>
      <c r="E7" s="46"/>
      <c r="F7" s="46"/>
      <c r="G7" s="43"/>
      <c r="H7" s="43"/>
      <c r="I7" s="47"/>
      <c r="J7" s="47"/>
      <c r="K7" s="47"/>
      <c r="L7" s="48"/>
      <c r="M7" s="46" t="s">
        <v>199</v>
      </c>
      <c r="N7" s="41"/>
      <c r="O7" s="49">
        <v>2</v>
      </c>
    </row>
    <row r="8" spans="1:15">
      <c r="A8" s="40"/>
      <c r="B8" s="45"/>
      <c r="C8" s="40"/>
      <c r="D8" s="46"/>
      <c r="E8" s="46"/>
      <c r="F8" s="46"/>
      <c r="G8" s="43"/>
      <c r="H8" s="43"/>
      <c r="I8" s="47"/>
      <c r="J8" s="47"/>
      <c r="K8" s="47"/>
      <c r="L8" s="48"/>
      <c r="M8" s="46" t="s">
        <v>199</v>
      </c>
      <c r="N8" s="41"/>
      <c r="O8" s="49" t="s">
        <v>51</v>
      </c>
    </row>
    <row r="9" spans="1:15">
      <c r="A9" s="40"/>
      <c r="B9" s="45"/>
      <c r="C9" s="40"/>
      <c r="D9" s="46"/>
      <c r="E9" s="46"/>
      <c r="F9" s="46"/>
      <c r="G9" s="43"/>
      <c r="H9" s="43"/>
      <c r="I9" s="47"/>
      <c r="J9" s="47"/>
      <c r="K9" s="47"/>
      <c r="L9" s="48"/>
      <c r="M9" s="46" t="s">
        <v>198</v>
      </c>
      <c r="N9" s="45"/>
      <c r="O9" s="49" t="s">
        <v>51</v>
      </c>
    </row>
    <row r="10" spans="1:15">
      <c r="A10" s="40"/>
      <c r="B10" s="45"/>
      <c r="C10" s="40"/>
      <c r="D10" s="46"/>
      <c r="E10" s="46"/>
      <c r="F10" s="46"/>
      <c r="G10" s="43"/>
      <c r="H10" s="43"/>
      <c r="I10" s="47"/>
      <c r="J10" s="47"/>
      <c r="K10" s="47"/>
      <c r="L10" s="48"/>
      <c r="M10" s="46" t="s">
        <v>198</v>
      </c>
      <c r="N10" s="45"/>
      <c r="O10" s="49" t="s">
        <v>51</v>
      </c>
    </row>
    <row r="11" spans="1:15">
      <c r="A11" s="40"/>
      <c r="B11" s="45"/>
      <c r="C11" s="40"/>
      <c r="D11" s="46"/>
      <c r="E11" s="46"/>
      <c r="F11" s="46"/>
      <c r="G11" s="43"/>
      <c r="H11" s="43"/>
      <c r="I11" s="47"/>
      <c r="J11" s="47"/>
      <c r="K11" s="47"/>
      <c r="L11" s="48"/>
      <c r="M11" s="41" t="s">
        <v>198</v>
      </c>
      <c r="N11" s="45"/>
      <c r="O11" s="49" t="s">
        <v>51</v>
      </c>
    </row>
    <row r="12" spans="1:15">
      <c r="A12" s="40"/>
      <c r="B12" s="45"/>
      <c r="C12" s="40"/>
      <c r="D12" s="46"/>
      <c r="E12" s="46"/>
      <c r="F12" s="46"/>
      <c r="G12" s="43"/>
      <c r="H12" s="43"/>
      <c r="I12" s="47"/>
      <c r="J12" s="47"/>
      <c r="K12" s="47"/>
      <c r="L12" s="48"/>
      <c r="M12" s="41" t="s">
        <v>198</v>
      </c>
      <c r="N12" s="45"/>
      <c r="O12" s="49" t="s">
        <v>51</v>
      </c>
    </row>
    <row r="13" spans="1:15">
      <c r="A13" s="40"/>
      <c r="B13" s="45"/>
      <c r="C13" s="40"/>
      <c r="D13" s="46"/>
      <c r="E13" s="46"/>
      <c r="F13" s="46"/>
      <c r="G13" s="43"/>
      <c r="H13" s="43"/>
      <c r="I13" s="47"/>
      <c r="J13" s="47"/>
      <c r="K13" s="47"/>
      <c r="L13" s="48"/>
      <c r="M13" s="41" t="s">
        <v>198</v>
      </c>
      <c r="N13" s="45"/>
      <c r="O13" s="49" t="s">
        <v>51</v>
      </c>
    </row>
    <row r="14" spans="1:15">
      <c r="A14" s="40"/>
      <c r="B14" s="45"/>
      <c r="C14" s="40"/>
      <c r="D14" s="46"/>
      <c r="E14" s="46"/>
      <c r="F14" s="46"/>
      <c r="G14" s="43"/>
      <c r="H14" s="43"/>
      <c r="I14" s="47"/>
      <c r="J14" s="47"/>
      <c r="K14" s="47"/>
      <c r="L14" s="48"/>
      <c r="M14" s="41" t="s">
        <v>198</v>
      </c>
      <c r="N14" s="45"/>
      <c r="O14" s="49" t="s">
        <v>51</v>
      </c>
    </row>
    <row r="15" spans="1:15">
      <c r="A15" s="50"/>
      <c r="B15" s="40"/>
      <c r="C15" s="40"/>
      <c r="D15" s="40"/>
      <c r="E15" s="40"/>
      <c r="F15" s="40"/>
      <c r="G15" s="51"/>
      <c r="H15" s="51"/>
      <c r="I15" s="40"/>
      <c r="J15" s="40"/>
      <c r="K15" s="40"/>
      <c r="L15" s="40"/>
      <c r="M15" s="52">
        <f>SUMIF(M2:M14,"Y",L2:L14)</f>
        <v>0</v>
      </c>
      <c r="N15" s="40"/>
      <c r="O15" s="53"/>
    </row>
    <row r="19" spans="7:7">
      <c r="G19" s="142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scale="69" firstPageNumber="0" orientation="landscape" horizontalDpi="300" verticalDpi="300" r:id="rId1"/>
  <headerFooter alignWithMargins="0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enableFormatConditionsCalculation="0">
    <tabColor indexed="24"/>
  </sheetPr>
  <dimension ref="A1"/>
  <sheetViews>
    <sheetView workbookViewId="0">
      <selection sqref="A1:XFD1048576"/>
    </sheetView>
  </sheetViews>
  <sheetFormatPr defaultColWidth="11.5703125" defaultRowHeight="13.5" customHeight="1"/>
  <cols>
    <col min="1" max="16384" width="11.5703125" style="4"/>
  </cols>
  <sheetData/>
  <sheetProtection selectLockedCells="1" selectUnlockedCells="1"/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 alignWithMargins="0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enableFormatConditionsCalculation="0">
    <tabColor indexed="24"/>
  </sheetPr>
  <dimension ref="A1:J102"/>
  <sheetViews>
    <sheetView workbookViewId="0">
      <selection activeCell="B9" sqref="B9"/>
    </sheetView>
  </sheetViews>
  <sheetFormatPr defaultRowHeight="13.5"/>
  <cols>
    <col min="1" max="1" width="35.140625" style="4" customWidth="1"/>
    <col min="2" max="4" width="13.140625" style="4" customWidth="1"/>
    <col min="5" max="5" width="12.5703125" style="4" customWidth="1"/>
    <col min="6" max="6" width="13.140625" style="4" customWidth="1"/>
    <col min="7" max="7" width="12.28515625" style="4" customWidth="1"/>
    <col min="8" max="8" width="13.42578125" style="4" customWidth="1"/>
    <col min="9" max="9" width="12.5703125" style="4" customWidth="1"/>
    <col min="10" max="16384" width="9.140625" style="4"/>
  </cols>
  <sheetData>
    <row r="1" spans="1:9">
      <c r="A1" s="172" t="s">
        <v>52</v>
      </c>
      <c r="B1" s="172"/>
      <c r="C1" s="172"/>
      <c r="D1" s="172"/>
      <c r="E1" s="172"/>
      <c r="F1" s="172"/>
      <c r="G1" s="172"/>
      <c r="H1" s="172"/>
    </row>
    <row r="2" spans="1:9">
      <c r="A2" s="172"/>
      <c r="B2" s="172"/>
      <c r="C2" s="172"/>
      <c r="D2" s="172"/>
      <c r="E2" s="172"/>
      <c r="F2" s="172"/>
      <c r="G2" s="172"/>
      <c r="H2" s="172"/>
    </row>
    <row r="3" spans="1:9">
      <c r="A3" s="173" t="s">
        <v>53</v>
      </c>
      <c r="B3" s="54" t="s">
        <v>54</v>
      </c>
      <c r="C3" s="54" t="s">
        <v>55</v>
      </c>
      <c r="D3" s="54" t="s">
        <v>56</v>
      </c>
      <c r="E3" s="54" t="s">
        <v>55</v>
      </c>
      <c r="F3" s="54" t="s">
        <v>57</v>
      </c>
      <c r="G3" s="54" t="s">
        <v>55</v>
      </c>
      <c r="H3" s="54" t="s">
        <v>58</v>
      </c>
    </row>
    <row r="4" spans="1:9">
      <c r="A4" s="173"/>
      <c r="B4" s="54" t="s">
        <v>59</v>
      </c>
      <c r="C4" s="54"/>
      <c r="D4" s="54" t="s">
        <v>60</v>
      </c>
      <c r="E4" s="54"/>
      <c r="F4" s="54" t="s">
        <v>60</v>
      </c>
      <c r="G4" s="54"/>
      <c r="H4" s="54" t="s">
        <v>60</v>
      </c>
    </row>
    <row r="5" spans="1:9">
      <c r="A5" s="173"/>
      <c r="B5" s="54" t="s">
        <v>61</v>
      </c>
      <c r="C5" s="54" t="s">
        <v>62</v>
      </c>
      <c r="D5" s="54" t="s">
        <v>61</v>
      </c>
      <c r="E5" s="54" t="s">
        <v>63</v>
      </c>
      <c r="F5" s="54" t="s">
        <v>61</v>
      </c>
      <c r="G5" s="54" t="s">
        <v>64</v>
      </c>
      <c r="H5" s="54" t="s">
        <v>61</v>
      </c>
    </row>
    <row r="6" spans="1:9">
      <c r="A6" s="55" t="s">
        <v>65</v>
      </c>
      <c r="B6" s="56">
        <v>493.81241999999997</v>
      </c>
      <c r="C6" s="57">
        <f t="shared" ref="C6:C9" si="0">(B6-D6)/D6*100</f>
        <v>6.4419583560299936</v>
      </c>
      <c r="D6" s="56">
        <v>463.92646999999999</v>
      </c>
      <c r="E6" s="57">
        <f t="shared" ref="E6:E9" si="1">(D6-F6)/F6*100</f>
        <v>2.3860842143812642</v>
      </c>
      <c r="F6" s="56">
        <v>453.11477000000002</v>
      </c>
      <c r="G6" s="57">
        <f t="shared" ref="G6:G9" si="2">(F6-H6)/H6*100</f>
        <v>1.2260191403204306</v>
      </c>
      <c r="H6" s="56">
        <v>447.62678</v>
      </c>
      <c r="I6" s="58"/>
    </row>
    <row r="7" spans="1:9" ht="27">
      <c r="A7" s="59" t="s">
        <v>66</v>
      </c>
      <c r="B7" s="56">
        <v>0</v>
      </c>
      <c r="C7" s="60" t="e">
        <f t="shared" si="0"/>
        <v>#DIV/0!</v>
      </c>
      <c r="D7" s="56">
        <v>0</v>
      </c>
      <c r="E7" s="60" t="e">
        <f t="shared" si="1"/>
        <v>#DIV/0!</v>
      </c>
      <c r="F7" s="56">
        <v>0</v>
      </c>
      <c r="G7" s="57" t="e">
        <f t="shared" si="2"/>
        <v>#DIV/0!</v>
      </c>
      <c r="H7" s="56">
        <v>0</v>
      </c>
      <c r="I7" s="58"/>
    </row>
    <row r="8" spans="1:9" ht="27">
      <c r="A8" s="59" t="s">
        <v>67</v>
      </c>
      <c r="B8" s="56">
        <v>14.78515</v>
      </c>
      <c r="C8" s="60">
        <f t="shared" si="0"/>
        <v>17.62887729805589</v>
      </c>
      <c r="D8" s="56">
        <f>0.01932+12.55</f>
        <v>12.569320000000001</v>
      </c>
      <c r="E8" s="60">
        <f t="shared" si="1"/>
        <v>4.359767589765065</v>
      </c>
      <c r="F8" s="56">
        <f>0.04422+12</f>
        <v>12.044219999999999</v>
      </c>
      <c r="G8" s="57">
        <f t="shared" si="2"/>
        <v>13.587533137736981</v>
      </c>
      <c r="H8" s="56">
        <f>0.01463+0.02217+10.56667</f>
        <v>10.60347</v>
      </c>
      <c r="I8" s="58"/>
    </row>
    <row r="9" spans="1:9">
      <c r="A9" s="61" t="s">
        <v>68</v>
      </c>
      <c r="B9" s="62">
        <f>B6+B7+B8</f>
        <v>508.59756999999996</v>
      </c>
      <c r="C9" s="63">
        <f t="shared" si="0"/>
        <v>6.7370542770167949</v>
      </c>
      <c r="D9" s="62">
        <f>D6+D7+D8</f>
        <v>476.49579</v>
      </c>
      <c r="E9" s="63">
        <f t="shared" si="1"/>
        <v>2.437188196663679</v>
      </c>
      <c r="F9" s="62">
        <f>F6+F7+F8</f>
        <v>465.15899000000002</v>
      </c>
      <c r="G9" s="64">
        <f t="shared" si="2"/>
        <v>1.5120651681114472</v>
      </c>
      <c r="H9" s="62">
        <f>H6+H7+H8</f>
        <v>458.23025000000001</v>
      </c>
      <c r="I9" s="58"/>
    </row>
    <row r="10" spans="1:9" ht="40.5">
      <c r="A10" s="61"/>
      <c r="B10" s="61"/>
      <c r="C10" s="65" t="s">
        <v>69</v>
      </c>
      <c r="D10" s="61"/>
      <c r="E10" s="65" t="s">
        <v>70</v>
      </c>
      <c r="F10" s="61"/>
      <c r="G10" s="65" t="s">
        <v>71</v>
      </c>
      <c r="H10" s="66"/>
      <c r="I10" s="67" t="s">
        <v>72</v>
      </c>
    </row>
    <row r="11" spans="1:9">
      <c r="A11" s="68" t="s">
        <v>73</v>
      </c>
      <c r="B11" s="56">
        <f>34.806+486.61517-1.795+0.56148-75.553</f>
        <v>444.63464999999997</v>
      </c>
      <c r="C11" s="57">
        <f t="shared" ref="C11:C27" si="3">B11/$D$6*100</f>
        <v>95.841621194841494</v>
      </c>
      <c r="D11" s="56">
        <f>40.236+197.37484+0.57129-34.806+217.65212</f>
        <v>421.02824999999996</v>
      </c>
      <c r="E11" s="57">
        <f t="shared" ref="E11:E24" si="4">D11/$D$6*100</f>
        <v>90.753228631252696</v>
      </c>
      <c r="F11" s="56">
        <f>31.277+160.83328+0.7512-40.236+262.14788+0.426</f>
        <v>415.19936000000001</v>
      </c>
      <c r="G11" s="57">
        <f t="shared" ref="G11:G24" si="5">F11/$F$6*100</f>
        <v>91.632272326942683</v>
      </c>
      <c r="H11" s="56">
        <f>23.672+157.95139+0.64818-31.277+259.86033</f>
        <v>410.85489999999999</v>
      </c>
      <c r="I11" s="57">
        <f t="shared" ref="I11:I26" si="6">H11/$H$6*100</f>
        <v>91.785147439123278</v>
      </c>
    </row>
    <row r="12" spans="1:9">
      <c r="A12" s="68" t="s">
        <v>74</v>
      </c>
      <c r="B12" s="56">
        <v>0</v>
      </c>
      <c r="C12" s="57">
        <f t="shared" si="3"/>
        <v>0</v>
      </c>
      <c r="D12" s="56">
        <v>1.3205499999999999</v>
      </c>
      <c r="E12" s="57">
        <f t="shared" si="4"/>
        <v>0.28464640096953292</v>
      </c>
      <c r="F12" s="56">
        <v>0.89330000000000009</v>
      </c>
      <c r="G12" s="57">
        <f t="shared" si="5"/>
        <v>0.19714651985411999</v>
      </c>
      <c r="H12" s="56">
        <f>0.75245+0.12777</f>
        <v>0.88022000000000011</v>
      </c>
      <c r="I12" s="57">
        <f t="shared" si="6"/>
        <v>0.19664149673976167</v>
      </c>
    </row>
    <row r="13" spans="1:9">
      <c r="A13" s="68" t="s">
        <v>75</v>
      </c>
      <c r="B13" s="56">
        <v>3.6</v>
      </c>
      <c r="C13" s="57">
        <f t="shared" si="3"/>
        <v>0.77598503918088579</v>
      </c>
      <c r="D13" s="56">
        <v>3</v>
      </c>
      <c r="E13" s="57">
        <f t="shared" si="4"/>
        <v>0.64665419931740475</v>
      </c>
      <c r="F13" s="56">
        <v>2.52</v>
      </c>
      <c r="G13" s="57">
        <f t="shared" si="5"/>
        <v>0.55615048699471881</v>
      </c>
      <c r="H13" s="56">
        <v>2.4</v>
      </c>
      <c r="I13" s="57">
        <f t="shared" si="6"/>
        <v>0.53616095087072313</v>
      </c>
    </row>
    <row r="14" spans="1:9">
      <c r="A14" s="69" t="s">
        <v>76</v>
      </c>
      <c r="B14" s="70">
        <f>B9-B11-B12-B13</f>
        <v>60.362919999999995</v>
      </c>
      <c r="C14" s="64">
        <f t="shared" si="3"/>
        <v>13.011311900353521</v>
      </c>
      <c r="D14" s="70">
        <f>D9-D11-D12-D13</f>
        <v>51.146990000000045</v>
      </c>
      <c r="E14" s="63">
        <f t="shared" si="4"/>
        <v>11.024805288648446</v>
      </c>
      <c r="F14" s="70">
        <f>F9-F11-F12-F13</f>
        <v>46.546329999999998</v>
      </c>
      <c r="G14" s="64">
        <f t="shared" si="5"/>
        <v>10.27252543544321</v>
      </c>
      <c r="H14" s="70">
        <f>H9-H11-H12-H13</f>
        <v>44.095130000000026</v>
      </c>
      <c r="I14" s="57">
        <f t="shared" si="6"/>
        <v>9.8508695123200685</v>
      </c>
    </row>
    <row r="15" spans="1:9">
      <c r="A15" s="71" t="s">
        <v>77</v>
      </c>
      <c r="B15" s="56">
        <f>60.36291-22.05249-B18-B19</f>
        <v>14.119040000000002</v>
      </c>
      <c r="C15" s="57">
        <f t="shared" si="3"/>
        <v>3.0433788354434705</v>
      </c>
      <c r="D15" s="56">
        <f>+D14-D16-D18-D19-21.01087</f>
        <v>16.43390000000004</v>
      </c>
      <c r="E15" s="60">
        <f t="shared" si="4"/>
        <v>3.5423501487207751</v>
      </c>
      <c r="F15" s="56">
        <f>+F14-F16-F18-F19-19.57195</f>
        <v>19.178069999999998</v>
      </c>
      <c r="G15" s="57">
        <f t="shared" si="5"/>
        <v>4.2324972103646052</v>
      </c>
      <c r="H15" s="56">
        <f>+H14-H16-H18-H19-17.89044</f>
        <v>16.051340000000021</v>
      </c>
      <c r="I15" s="57">
        <f t="shared" si="6"/>
        <v>3.5858757154788687</v>
      </c>
    </row>
    <row r="16" spans="1:9">
      <c r="A16" s="71" t="s">
        <v>78</v>
      </c>
      <c r="B16" s="56">
        <v>0</v>
      </c>
      <c r="C16" s="57">
        <f t="shared" si="3"/>
        <v>0</v>
      </c>
      <c r="D16" s="56">
        <v>0</v>
      </c>
      <c r="E16" s="60">
        <f t="shared" si="4"/>
        <v>0</v>
      </c>
      <c r="F16" s="56">
        <v>0</v>
      </c>
      <c r="G16" s="57">
        <f t="shared" si="5"/>
        <v>0</v>
      </c>
      <c r="H16" s="56">
        <v>0</v>
      </c>
      <c r="I16" s="57">
        <f t="shared" si="6"/>
        <v>0</v>
      </c>
    </row>
    <row r="17" spans="1:10">
      <c r="A17" s="69" t="s">
        <v>79</v>
      </c>
      <c r="B17" s="70">
        <f>B14-B15-B16</f>
        <v>46.24387999999999</v>
      </c>
      <c r="C17" s="64">
        <f t="shared" si="3"/>
        <v>9.9679330649100475</v>
      </c>
      <c r="D17" s="70">
        <f>D14-D15-D16</f>
        <v>34.713090000000008</v>
      </c>
      <c r="E17" s="63">
        <f t="shared" si="4"/>
        <v>7.4824551399276711</v>
      </c>
      <c r="F17" s="70">
        <f>F14-F15-F16</f>
        <v>27.368259999999999</v>
      </c>
      <c r="G17" s="64">
        <f t="shared" si="5"/>
        <v>6.0400282250786042</v>
      </c>
      <c r="H17" s="70">
        <f>H14-H15-H16</f>
        <v>28.043790000000005</v>
      </c>
      <c r="I17" s="57">
        <f t="shared" si="6"/>
        <v>6.2649937968412006</v>
      </c>
    </row>
    <row r="18" spans="1:10">
      <c r="A18" s="55" t="s">
        <v>80</v>
      </c>
      <c r="B18" s="56">
        <v>4.2599400000000003</v>
      </c>
      <c r="C18" s="57">
        <f t="shared" si="3"/>
        <v>0.91823602994672848</v>
      </c>
      <c r="D18" s="56">
        <v>3.6797399999999998</v>
      </c>
      <c r="E18" s="60">
        <f t="shared" si="4"/>
        <v>0.79317310779874228</v>
      </c>
      <c r="F18" s="56">
        <v>2.80132</v>
      </c>
      <c r="G18" s="57">
        <f t="shared" si="5"/>
        <v>0.61823630247144667</v>
      </c>
      <c r="H18" s="56">
        <v>2.4082300000000001</v>
      </c>
      <c r="I18" s="57">
        <f t="shared" si="6"/>
        <v>0.53799953613141738</v>
      </c>
      <c r="J18" s="72"/>
    </row>
    <row r="19" spans="1:10">
      <c r="A19" s="55" t="s">
        <v>81</v>
      </c>
      <c r="B19" s="56">
        <f>0.95467+13.10796+0.95731+4.894+0.0175</f>
        <v>19.931439999999998</v>
      </c>
      <c r="C19" s="57">
        <f t="shared" si="3"/>
        <v>4.2962497914809648</v>
      </c>
      <c r="D19" s="56">
        <f>0.63363+8.37255+1.0163</f>
        <v>10.02248</v>
      </c>
      <c r="E19" s="60">
        <f t="shared" si="4"/>
        <v>2.1603595931915676</v>
      </c>
      <c r="F19" s="56">
        <f>0.12619+3.71607+1.15273</f>
        <v>4.9949899999999996</v>
      </c>
      <c r="G19" s="57">
        <f t="shared" si="5"/>
        <v>1.1023675083467264</v>
      </c>
      <c r="H19" s="56">
        <f>6.67186+0.25948+0.81378</f>
        <v>7.74512</v>
      </c>
      <c r="I19" s="57">
        <f t="shared" si="6"/>
        <v>1.7302628765866066</v>
      </c>
      <c r="J19" s="72"/>
    </row>
    <row r="20" spans="1:10">
      <c r="A20" s="55" t="s">
        <v>82</v>
      </c>
      <c r="B20" s="56">
        <v>0</v>
      </c>
      <c r="C20" s="57">
        <f t="shared" si="3"/>
        <v>0</v>
      </c>
      <c r="D20" s="56">
        <v>0</v>
      </c>
      <c r="E20" s="60">
        <f t="shared" si="4"/>
        <v>0</v>
      </c>
      <c r="F20" s="56">
        <v>0</v>
      </c>
      <c r="G20" s="57">
        <f t="shared" si="5"/>
        <v>0</v>
      </c>
      <c r="H20" s="56">
        <v>0</v>
      </c>
      <c r="I20" s="57">
        <f t="shared" si="6"/>
        <v>0</v>
      </c>
    </row>
    <row r="21" spans="1:10">
      <c r="A21" s="73" t="s">
        <v>83</v>
      </c>
      <c r="B21" s="74">
        <f>B17-B18-B19-B20</f>
        <v>22.052499999999991</v>
      </c>
      <c r="C21" s="64">
        <f t="shared" si="3"/>
        <v>4.7534472434823547</v>
      </c>
      <c r="D21" s="74">
        <f>D17-D18-D19-D20</f>
        <v>21.010870000000011</v>
      </c>
      <c r="E21" s="63">
        <f t="shared" si="4"/>
        <v>4.5289224389373626</v>
      </c>
      <c r="F21" s="74">
        <f>F17-F18-F19-F20</f>
        <v>19.571950000000001</v>
      </c>
      <c r="G21" s="64">
        <f t="shared" si="5"/>
        <v>4.319424414260431</v>
      </c>
      <c r="H21" s="74">
        <f>H17-H18-H19-H20</f>
        <v>17.890440000000005</v>
      </c>
      <c r="I21" s="57">
        <f t="shared" si="6"/>
        <v>3.9967313841231764</v>
      </c>
    </row>
    <row r="22" spans="1:10">
      <c r="A22" s="59" t="s">
        <v>84</v>
      </c>
      <c r="B22" s="56">
        <v>0</v>
      </c>
      <c r="C22" s="57">
        <f t="shared" si="3"/>
        <v>0</v>
      </c>
      <c r="D22" s="56">
        <v>2.3240099999999999</v>
      </c>
      <c r="E22" s="60">
        <f t="shared" si="4"/>
        <v>0.50094360858521392</v>
      </c>
      <c r="F22" s="56">
        <v>1.94869</v>
      </c>
      <c r="G22" s="57">
        <f t="shared" si="5"/>
        <v>0.43006543353243598</v>
      </c>
      <c r="H22" s="56">
        <v>1.84196</v>
      </c>
      <c r="I22" s="57">
        <f t="shared" si="6"/>
        <v>0.41149459377743219</v>
      </c>
    </row>
    <row r="23" spans="1:10">
      <c r="A23" s="75" t="s">
        <v>85</v>
      </c>
      <c r="B23" s="62">
        <f>B21-B22</f>
        <v>22.052499999999991</v>
      </c>
      <c r="C23" s="76">
        <f t="shared" si="3"/>
        <v>4.7534472434823547</v>
      </c>
      <c r="D23" s="62">
        <f>D21-D22</f>
        <v>18.68686000000001</v>
      </c>
      <c r="E23" s="77">
        <f t="shared" si="4"/>
        <v>4.027978830352148</v>
      </c>
      <c r="F23" s="62">
        <f>F21-F22</f>
        <v>17.623260000000002</v>
      </c>
      <c r="G23" s="64">
        <f t="shared" si="5"/>
        <v>3.8893589807279958</v>
      </c>
      <c r="H23" s="62">
        <f>H21-H22</f>
        <v>16.048480000000005</v>
      </c>
      <c r="I23" s="57">
        <f t="shared" si="6"/>
        <v>3.5852367903457445</v>
      </c>
    </row>
    <row r="24" spans="1:10">
      <c r="A24" s="73" t="s">
        <v>86</v>
      </c>
      <c r="B24" s="74">
        <f>B23+B18+B20</f>
        <v>26.312439999999992</v>
      </c>
      <c r="C24" s="64">
        <f t="shared" si="3"/>
        <v>5.6716832734290827</v>
      </c>
      <c r="D24" s="74">
        <f>D23+D18+D20</f>
        <v>22.366600000000009</v>
      </c>
      <c r="E24" s="63">
        <f t="shared" si="4"/>
        <v>4.8211519381508898</v>
      </c>
      <c r="F24" s="74">
        <f>F23+F18+F20</f>
        <v>20.424580000000002</v>
      </c>
      <c r="G24" s="64">
        <f t="shared" si="5"/>
        <v>4.5075952831994419</v>
      </c>
      <c r="H24" s="74">
        <f>H23+H18+H20</f>
        <v>18.456710000000005</v>
      </c>
      <c r="I24" s="57">
        <f t="shared" si="6"/>
        <v>4.1232363264771612</v>
      </c>
    </row>
    <row r="25" spans="1:10" ht="27">
      <c r="A25" s="78" t="s">
        <v>87</v>
      </c>
      <c r="B25" s="56">
        <v>0</v>
      </c>
      <c r="C25" s="56">
        <f t="shared" si="3"/>
        <v>0</v>
      </c>
      <c r="D25" s="56">
        <v>0</v>
      </c>
      <c r="E25" s="60"/>
      <c r="F25" s="56">
        <v>0</v>
      </c>
      <c r="G25" s="57"/>
      <c r="H25" s="56">
        <v>0</v>
      </c>
      <c r="I25" s="57">
        <f t="shared" si="6"/>
        <v>0</v>
      </c>
    </row>
    <row r="26" spans="1:10" ht="27">
      <c r="A26" s="78" t="s">
        <v>88</v>
      </c>
      <c r="B26" s="56">
        <v>0</v>
      </c>
      <c r="C26" s="56">
        <f t="shared" si="3"/>
        <v>0</v>
      </c>
      <c r="D26" s="56">
        <f>2.16193+1.44+2.36641</f>
        <v>5.9683399999999995</v>
      </c>
      <c r="E26" s="60"/>
      <c r="F26" s="56">
        <f>2.21065+1.44+1.96475</f>
        <v>5.6154000000000002</v>
      </c>
      <c r="G26" s="57"/>
      <c r="H26" s="56">
        <f>1.2526+1.44+1.641</f>
        <v>4.3335999999999997</v>
      </c>
      <c r="I26" s="57">
        <f t="shared" si="6"/>
        <v>0.96812795695556897</v>
      </c>
    </row>
    <row r="27" spans="1:10">
      <c r="A27" s="79" t="s">
        <v>89</v>
      </c>
      <c r="B27" s="80">
        <f>B24+B25+B26</f>
        <v>26.312439999999992</v>
      </c>
      <c r="C27" s="76">
        <f t="shared" si="3"/>
        <v>5.6716832734290827</v>
      </c>
      <c r="D27" s="80">
        <f>D24+D25+D26</f>
        <v>28.33494000000001</v>
      </c>
      <c r="E27" s="77">
        <f>D27/$D$6*100</f>
        <v>6.1076359794689044</v>
      </c>
      <c r="F27" s="80">
        <f>F24+F25+F26</f>
        <v>26.039980000000003</v>
      </c>
      <c r="G27" s="64">
        <f>F27/$F$6*100</f>
        <v>5.7468839517193411</v>
      </c>
      <c r="H27" s="80">
        <f>H24+H25+H26</f>
        <v>22.790310000000005</v>
      </c>
      <c r="I27" s="81"/>
    </row>
    <row r="28" spans="1:10">
      <c r="A28" s="82"/>
      <c r="B28" s="83"/>
      <c r="C28" s="84"/>
      <c r="D28" s="83"/>
      <c r="E28" s="84"/>
      <c r="F28" s="83"/>
      <c r="G28" s="85"/>
      <c r="H28" s="83"/>
      <c r="I28" s="86"/>
    </row>
    <row r="29" spans="1:10">
      <c r="A29" s="174" t="s">
        <v>90</v>
      </c>
      <c r="B29" s="175"/>
      <c r="C29" s="87" t="s">
        <v>55</v>
      </c>
      <c r="D29" s="175"/>
      <c r="E29" s="87" t="s">
        <v>55</v>
      </c>
      <c r="F29" s="175"/>
      <c r="G29" s="88" t="s">
        <v>55</v>
      </c>
      <c r="H29" s="176"/>
      <c r="I29" s="89"/>
    </row>
    <row r="30" spans="1:10">
      <c r="A30" s="174"/>
      <c r="B30" s="175"/>
      <c r="C30" s="87" t="str">
        <f>+C5</f>
        <v>In 2015</v>
      </c>
      <c r="D30" s="175"/>
      <c r="E30" s="87" t="str">
        <f>+E5</f>
        <v>In 2014</v>
      </c>
      <c r="F30" s="175"/>
      <c r="G30" s="88" t="str">
        <f>+G5</f>
        <v>In 2013</v>
      </c>
      <c r="H30" s="176"/>
      <c r="I30" s="89"/>
      <c r="J30" s="90"/>
    </row>
    <row r="31" spans="1:10">
      <c r="A31" s="91" t="s">
        <v>91</v>
      </c>
      <c r="B31" s="56">
        <v>22.57282</v>
      </c>
      <c r="C31" s="57">
        <f t="shared" ref="C31:C62" si="7">(B31-D31)/D31*100</f>
        <v>-32.310409610301207</v>
      </c>
      <c r="D31" s="56">
        <v>33.347549999999998</v>
      </c>
      <c r="E31" s="60">
        <f t="shared" ref="E31:E62" si="8">(D31-F31)/F31*100</f>
        <v>37.565193572778973</v>
      </c>
      <c r="F31" s="56">
        <v>24.24127</v>
      </c>
      <c r="G31" s="57">
        <f t="shared" ref="G31:G62" si="9">(F31-H31)/H31*100</f>
        <v>17.154276462841477</v>
      </c>
      <c r="H31" s="56">
        <v>20.691749999999999</v>
      </c>
    </row>
    <row r="32" spans="1:10" ht="27">
      <c r="A32" s="91" t="s">
        <v>92</v>
      </c>
      <c r="B32" s="56">
        <v>0</v>
      </c>
      <c r="C32" s="57" t="e">
        <f t="shared" si="7"/>
        <v>#DIV/0!</v>
      </c>
      <c r="D32" s="56">
        <v>0</v>
      </c>
      <c r="E32" s="60" t="e">
        <f t="shared" si="8"/>
        <v>#DIV/0!</v>
      </c>
      <c r="F32" s="56">
        <v>0</v>
      </c>
      <c r="G32" s="57" t="e">
        <f t="shared" si="9"/>
        <v>#DIV/0!</v>
      </c>
      <c r="H32" s="56">
        <v>0</v>
      </c>
    </row>
    <row r="33" spans="1:10">
      <c r="A33" s="92" t="s">
        <v>93</v>
      </c>
      <c r="B33" s="62">
        <f>SUM(B31:B32)</f>
        <v>22.57282</v>
      </c>
      <c r="C33" s="64">
        <f t="shared" si="7"/>
        <v>-32.310409610301207</v>
      </c>
      <c r="D33" s="62">
        <f>SUM(D31:D32)</f>
        <v>33.347549999999998</v>
      </c>
      <c r="E33" s="63">
        <f t="shared" si="8"/>
        <v>37.565193572778973</v>
      </c>
      <c r="F33" s="62">
        <f>SUM(F31:F32)</f>
        <v>24.24127</v>
      </c>
      <c r="G33" s="64">
        <f t="shared" si="9"/>
        <v>17.154276462841477</v>
      </c>
      <c r="H33" s="62">
        <f>SUM(H31:H32)</f>
        <v>20.691749999999999</v>
      </c>
    </row>
    <row r="34" spans="1:10">
      <c r="A34" s="91" t="s">
        <v>94</v>
      </c>
      <c r="B34" s="56">
        <v>0</v>
      </c>
      <c r="C34" s="57" t="e">
        <f t="shared" si="7"/>
        <v>#DIV/0!</v>
      </c>
      <c r="D34" s="56">
        <v>0</v>
      </c>
      <c r="E34" s="60" t="e">
        <f t="shared" si="8"/>
        <v>#DIV/0!</v>
      </c>
      <c r="F34" s="56">
        <v>0</v>
      </c>
      <c r="G34" s="57" t="e">
        <f t="shared" si="9"/>
        <v>#DIV/0!</v>
      </c>
      <c r="H34" s="56">
        <v>0</v>
      </c>
    </row>
    <row r="35" spans="1:10">
      <c r="A35" s="92" t="s">
        <v>95</v>
      </c>
      <c r="B35" s="62">
        <f>B31+B32+B40-B59-B61-B49</f>
        <v>66.274799999999999</v>
      </c>
      <c r="C35" s="64">
        <f t="shared" si="7"/>
        <v>-10.279344462563873</v>
      </c>
      <c r="D35" s="62">
        <f>D31+D32+D40-D59-D61-D49</f>
        <v>73.867940000000004</v>
      </c>
      <c r="E35" s="63">
        <f t="shared" si="8"/>
        <v>15.654030272546866</v>
      </c>
      <c r="F35" s="62">
        <f>F31+F32+F40-F59-F61-F49</f>
        <v>63.869750000000003</v>
      </c>
      <c r="G35" s="64">
        <f t="shared" si="9"/>
        <v>28.092060587561207</v>
      </c>
      <c r="H35" s="62">
        <f>H31+H32+H40-H59-H61-H49</f>
        <v>49.862380000000002</v>
      </c>
    </row>
    <row r="36" spans="1:10">
      <c r="A36" s="91" t="s">
        <v>96</v>
      </c>
      <c r="B36" s="56">
        <v>87.194699999999997</v>
      </c>
      <c r="C36" s="57">
        <f t="shared" si="7"/>
        <v>132.62627011792628</v>
      </c>
      <c r="D36" s="56">
        <f>3.17206+4.73395+29.57673</f>
        <v>37.48274</v>
      </c>
      <c r="E36" s="60">
        <f t="shared" si="8"/>
        <v>261.22963292770254</v>
      </c>
      <c r="F36" s="56">
        <f>5.0374+5.33903</f>
        <v>10.376429999999999</v>
      </c>
      <c r="G36" s="57">
        <f t="shared" si="9"/>
        <v>135.73848107650048</v>
      </c>
      <c r="H36" s="56">
        <f>1.22786+1.91185+1.26196</f>
        <v>4.4016700000000002</v>
      </c>
      <c r="J36" s="93"/>
    </row>
    <row r="37" spans="1:10" ht="27">
      <c r="A37" s="91" t="s">
        <v>97</v>
      </c>
      <c r="B37" s="56">
        <v>71.272819999999996</v>
      </c>
      <c r="C37" s="57">
        <f t="shared" si="7"/>
        <v>24.186957836127434</v>
      </c>
      <c r="D37" s="56">
        <f>57.39155</f>
        <v>57.391550000000002</v>
      </c>
      <c r="E37" s="60">
        <f t="shared" si="8"/>
        <v>40.881651317142818</v>
      </c>
      <c r="F37" s="56">
        <v>40.73742</v>
      </c>
      <c r="G37" s="57">
        <f t="shared" si="9"/>
        <v>115.55867043627201</v>
      </c>
      <c r="H37" s="56">
        <v>18.898530000000001</v>
      </c>
    </row>
    <row r="38" spans="1:10" ht="27">
      <c r="A38" s="94" t="s">
        <v>98</v>
      </c>
      <c r="B38" s="70">
        <f>B36+B37</f>
        <v>158.46751999999998</v>
      </c>
      <c r="C38" s="64">
        <f t="shared" si="7"/>
        <v>67.028939030795357</v>
      </c>
      <c r="D38" s="70">
        <f>D36+D37</f>
        <v>94.874290000000002</v>
      </c>
      <c r="E38" s="63">
        <f t="shared" si="8"/>
        <v>85.613664398201266</v>
      </c>
      <c r="F38" s="70">
        <f>F36+F37</f>
        <v>51.113849999999999</v>
      </c>
      <c r="G38" s="64">
        <f t="shared" si="9"/>
        <v>119.37086376940971</v>
      </c>
      <c r="H38" s="70">
        <f>H36+H37</f>
        <v>23.3002</v>
      </c>
    </row>
    <row r="39" spans="1:10">
      <c r="A39" s="91" t="s">
        <v>99</v>
      </c>
      <c r="B39" s="56">
        <v>0</v>
      </c>
      <c r="C39" s="57" t="e">
        <f t="shared" si="7"/>
        <v>#DIV/0!</v>
      </c>
      <c r="D39" s="56">
        <v>0</v>
      </c>
      <c r="E39" s="60" t="e">
        <f t="shared" si="8"/>
        <v>#DIV/0!</v>
      </c>
      <c r="F39" s="56">
        <v>0</v>
      </c>
      <c r="G39" s="57" t="e">
        <f t="shared" si="9"/>
        <v>#DIV/0!</v>
      </c>
      <c r="H39" s="56">
        <v>0</v>
      </c>
    </row>
    <row r="40" spans="1:10" ht="27">
      <c r="A40" s="95" t="s">
        <v>100</v>
      </c>
      <c r="B40" s="56">
        <v>43.701979999999999</v>
      </c>
      <c r="C40" s="57">
        <f t="shared" si="7"/>
        <v>7.8518247233059695</v>
      </c>
      <c r="D40" s="56">
        <v>40.520389999999999</v>
      </c>
      <c r="E40" s="60">
        <f t="shared" si="8"/>
        <v>2.2506793094259372</v>
      </c>
      <c r="F40" s="56">
        <v>39.628480000000003</v>
      </c>
      <c r="G40" s="57">
        <f t="shared" si="9"/>
        <v>35.850614127977366</v>
      </c>
      <c r="H40" s="56">
        <v>29.170629999999999</v>
      </c>
    </row>
    <row r="41" spans="1:10">
      <c r="A41" s="92" t="s">
        <v>101</v>
      </c>
      <c r="B41" s="74">
        <f>B42+B43</f>
        <v>114.97753</v>
      </c>
      <c r="C41" s="64">
        <f t="shared" si="7"/>
        <v>25.349376101450353</v>
      </c>
      <c r="D41" s="74">
        <f>D42+D43</f>
        <v>91.725650000000002</v>
      </c>
      <c r="E41" s="63">
        <f t="shared" si="8"/>
        <v>-19.62800362194962</v>
      </c>
      <c r="F41" s="74">
        <f>F42+F43</f>
        <v>114.12637999999998</v>
      </c>
      <c r="G41" s="64">
        <f t="shared" si="9"/>
        <v>1.5992440128389505</v>
      </c>
      <c r="H41" s="74">
        <f>H42+H43</f>
        <v>112.32995</v>
      </c>
    </row>
    <row r="42" spans="1:10">
      <c r="A42" s="96" t="s">
        <v>102</v>
      </c>
      <c r="B42" s="56">
        <v>0</v>
      </c>
      <c r="C42" s="57" t="e">
        <f t="shared" si="7"/>
        <v>#DIV/0!</v>
      </c>
      <c r="D42" s="56">
        <v>0</v>
      </c>
      <c r="E42" s="60" t="e">
        <f t="shared" si="8"/>
        <v>#DIV/0!</v>
      </c>
      <c r="F42" s="56">
        <v>0</v>
      </c>
      <c r="G42" s="57" t="e">
        <f t="shared" si="9"/>
        <v>#DIV/0!</v>
      </c>
      <c r="H42" s="56">
        <v>0</v>
      </c>
    </row>
    <row r="43" spans="1:10">
      <c r="A43" s="91" t="s">
        <v>103</v>
      </c>
      <c r="B43" s="56">
        <f>92.92504+22.05249</f>
        <v>114.97753</v>
      </c>
      <c r="C43" s="57">
        <f t="shared" si="7"/>
        <v>25.349376101450353</v>
      </c>
      <c r="D43" s="56">
        <f>85.54989+6.08646+0.0893</f>
        <v>91.725650000000002</v>
      </c>
      <c r="E43" s="60">
        <f t="shared" si="8"/>
        <v>-19.62800362194962</v>
      </c>
      <c r="F43" s="56">
        <f>104.80792+9.24846+0.07</f>
        <v>114.12637999999998</v>
      </c>
      <c r="G43" s="57">
        <f t="shared" si="9"/>
        <v>1.5992440128389505</v>
      </c>
      <c r="H43" s="56">
        <f>105.33006+6.99534+0.00455</f>
        <v>112.32995</v>
      </c>
    </row>
    <row r="44" spans="1:10">
      <c r="A44" s="97" t="s">
        <v>104</v>
      </c>
      <c r="B44" s="74">
        <f>B38+B39+B41</f>
        <v>273.44504999999998</v>
      </c>
      <c r="C44" s="64">
        <f t="shared" si="7"/>
        <v>46.540802746238811</v>
      </c>
      <c r="D44" s="74">
        <f>D38+D39+D41</f>
        <v>186.59994</v>
      </c>
      <c r="E44" s="63">
        <f t="shared" si="8"/>
        <v>12.926458647509753</v>
      </c>
      <c r="F44" s="74">
        <f>F38+F39+F41</f>
        <v>165.24023</v>
      </c>
      <c r="G44" s="64">
        <f t="shared" si="9"/>
        <v>21.831488057780675</v>
      </c>
      <c r="H44" s="74">
        <f>H38+H39+H41</f>
        <v>135.63014999999999</v>
      </c>
    </row>
    <row r="45" spans="1:10">
      <c r="A45" s="98" t="s">
        <v>105</v>
      </c>
      <c r="B45" s="99">
        <f>B33+B34+B38+B39+B40+B41</f>
        <v>339.71984999999995</v>
      </c>
      <c r="C45" s="100">
        <f t="shared" si="7"/>
        <v>30.426772775207439</v>
      </c>
      <c r="D45" s="99">
        <f>D33+D34+D38+D39+D40+D41</f>
        <v>260.46787999999998</v>
      </c>
      <c r="E45" s="101">
        <f t="shared" si="8"/>
        <v>13.686832847700481</v>
      </c>
      <c r="F45" s="99">
        <f>F33+F34+F38+F39+F40+F41</f>
        <v>229.10997999999998</v>
      </c>
      <c r="G45" s="100">
        <f t="shared" si="9"/>
        <v>23.514397048765247</v>
      </c>
      <c r="H45" s="99">
        <f>H33+H34+H38+H39+H40+H41</f>
        <v>185.49252999999999</v>
      </c>
      <c r="I45" s="89"/>
    </row>
    <row r="46" spans="1:10">
      <c r="A46" s="95" t="s">
        <v>106</v>
      </c>
      <c r="B46" s="56">
        <v>29.86225</v>
      </c>
      <c r="C46" s="57">
        <f t="shared" si="7"/>
        <v>42.527510605233303</v>
      </c>
      <c r="D46" s="56">
        <v>20.951920000000001</v>
      </c>
      <c r="E46" s="60">
        <f t="shared" si="8"/>
        <v>-14.113911000651354</v>
      </c>
      <c r="F46" s="56">
        <v>24.395009999999999</v>
      </c>
      <c r="G46" s="57">
        <f t="shared" si="9"/>
        <v>71.978845095027182</v>
      </c>
      <c r="H46" s="56">
        <v>14.184889999999999</v>
      </c>
    </row>
    <row r="47" spans="1:10">
      <c r="A47" s="102" t="s">
        <v>107</v>
      </c>
      <c r="B47" s="74">
        <f>B48+B50+B49</f>
        <v>0</v>
      </c>
      <c r="C47" s="64" t="e">
        <f t="shared" si="7"/>
        <v>#DIV/0!</v>
      </c>
      <c r="D47" s="74">
        <f>D48+D50+D49</f>
        <v>0</v>
      </c>
      <c r="E47" s="63" t="e">
        <f t="shared" si="8"/>
        <v>#DIV/0!</v>
      </c>
      <c r="F47" s="74">
        <f>F48+F50+F49</f>
        <v>0</v>
      </c>
      <c r="G47" s="64" t="e">
        <f t="shared" si="9"/>
        <v>#DIV/0!</v>
      </c>
      <c r="H47" s="74">
        <f>H48+H50+H49</f>
        <v>0</v>
      </c>
    </row>
    <row r="48" spans="1:10">
      <c r="A48" s="103" t="s">
        <v>108</v>
      </c>
      <c r="B48" s="104">
        <v>0</v>
      </c>
      <c r="C48" s="57" t="e">
        <f t="shared" si="7"/>
        <v>#DIV/0!</v>
      </c>
      <c r="D48" s="104">
        <v>0</v>
      </c>
      <c r="E48" s="60" t="e">
        <f t="shared" si="8"/>
        <v>#DIV/0!</v>
      </c>
      <c r="F48" s="104">
        <v>0</v>
      </c>
      <c r="G48" s="57" t="e">
        <f t="shared" si="9"/>
        <v>#DIV/0!</v>
      </c>
      <c r="H48" s="104">
        <v>0</v>
      </c>
    </row>
    <row r="49" spans="1:9">
      <c r="A49" s="103" t="s">
        <v>109</v>
      </c>
      <c r="B49" s="104">
        <v>0</v>
      </c>
      <c r="C49" s="57" t="e">
        <f t="shared" si="7"/>
        <v>#DIV/0!</v>
      </c>
      <c r="D49" s="104">
        <v>0</v>
      </c>
      <c r="E49" s="60" t="e">
        <f t="shared" si="8"/>
        <v>#DIV/0!</v>
      </c>
      <c r="F49" s="104">
        <v>0</v>
      </c>
      <c r="G49" s="57" t="e">
        <f t="shared" si="9"/>
        <v>#DIV/0!</v>
      </c>
      <c r="H49" s="104">
        <v>0</v>
      </c>
    </row>
    <row r="50" spans="1:9">
      <c r="A50" s="103" t="s">
        <v>110</v>
      </c>
      <c r="B50" s="104">
        <v>0</v>
      </c>
      <c r="C50" s="57" t="e">
        <f t="shared" si="7"/>
        <v>#DIV/0!</v>
      </c>
      <c r="D50" s="104">
        <v>0</v>
      </c>
      <c r="E50" s="60" t="e">
        <f t="shared" si="8"/>
        <v>#DIV/0!</v>
      </c>
      <c r="F50" s="104">
        <v>0</v>
      </c>
      <c r="G50" s="57" t="e">
        <f t="shared" si="9"/>
        <v>#DIV/0!</v>
      </c>
      <c r="H50" s="104">
        <v>0</v>
      </c>
    </row>
    <row r="51" spans="1:9">
      <c r="A51" s="105" t="s">
        <v>111</v>
      </c>
      <c r="B51" s="74">
        <f>B53+B54+B57+B58+B52</f>
        <v>309.85442</v>
      </c>
      <c r="C51" s="64">
        <f t="shared" si="7"/>
        <v>29.366919849516513</v>
      </c>
      <c r="D51" s="74">
        <f>D53+D54+D57+D58+D52</f>
        <v>239.51595999999998</v>
      </c>
      <c r="E51" s="63">
        <f t="shared" si="8"/>
        <v>16.999728940194252</v>
      </c>
      <c r="F51" s="74">
        <f>F53+F54+F57+F58+F52</f>
        <v>204.71496999999999</v>
      </c>
      <c r="G51" s="64">
        <f t="shared" si="9"/>
        <v>19.578917891681684</v>
      </c>
      <c r="H51" s="74">
        <f>H53+H54+H57+H58+H52</f>
        <v>171.19654</v>
      </c>
    </row>
    <row r="52" spans="1:9">
      <c r="A52" s="106" t="s">
        <v>112</v>
      </c>
      <c r="B52" s="56">
        <v>0</v>
      </c>
      <c r="C52" s="57" t="e">
        <f t="shared" si="7"/>
        <v>#DIV/0!</v>
      </c>
      <c r="D52" s="56">
        <v>0</v>
      </c>
      <c r="E52" s="60" t="e">
        <f t="shared" si="8"/>
        <v>#DIV/0!</v>
      </c>
      <c r="F52" s="56">
        <v>0</v>
      </c>
      <c r="G52" s="57" t="e">
        <f t="shared" si="9"/>
        <v>#DIV/0!</v>
      </c>
      <c r="H52" s="56">
        <v>0</v>
      </c>
    </row>
    <row r="53" spans="1:9">
      <c r="A53" s="95" t="s">
        <v>113</v>
      </c>
      <c r="B53" s="56">
        <v>75.552999999999997</v>
      </c>
      <c r="C53" s="57">
        <f t="shared" si="7"/>
        <v>117.06889616732748</v>
      </c>
      <c r="D53" s="56">
        <v>34.805999999999997</v>
      </c>
      <c r="E53" s="60">
        <f t="shared" si="8"/>
        <v>-13.495377274082912</v>
      </c>
      <c r="F53" s="56">
        <v>40.235999999999997</v>
      </c>
      <c r="G53" s="57">
        <f t="shared" si="9"/>
        <v>28.644051539469885</v>
      </c>
      <c r="H53" s="56">
        <v>31.277000000000001</v>
      </c>
    </row>
    <row r="54" spans="1:9">
      <c r="A54" s="102" t="s">
        <v>114</v>
      </c>
      <c r="B54" s="74">
        <f>B55+B56</f>
        <v>213.45187000000001</v>
      </c>
      <c r="C54" s="64">
        <f t="shared" si="7"/>
        <v>21.927913330434219</v>
      </c>
      <c r="D54" s="74">
        <f>D55+D56</f>
        <v>175.06398999999999</v>
      </c>
      <c r="E54" s="63">
        <f t="shared" si="8"/>
        <v>15.104788929941067</v>
      </c>
      <c r="F54" s="74">
        <f>F55+F56</f>
        <v>152.09097</v>
      </c>
      <c r="G54" s="64">
        <f t="shared" si="9"/>
        <v>14.978419665758075</v>
      </c>
      <c r="H54" s="74">
        <f>H55+H56</f>
        <v>132.27784</v>
      </c>
    </row>
    <row r="55" spans="1:9">
      <c r="A55" s="95" t="s">
        <v>115</v>
      </c>
      <c r="B55" s="56">
        <v>0</v>
      </c>
      <c r="C55" s="57" t="e">
        <f t="shared" si="7"/>
        <v>#DIV/0!</v>
      </c>
      <c r="D55" s="56">
        <v>0</v>
      </c>
      <c r="E55" s="60" t="e">
        <f t="shared" si="8"/>
        <v>#DIV/0!</v>
      </c>
      <c r="F55" s="56">
        <v>0</v>
      </c>
      <c r="G55" s="57" t="e">
        <f t="shared" si="9"/>
        <v>#DIV/0!</v>
      </c>
      <c r="H55" s="56">
        <v>0</v>
      </c>
    </row>
    <row r="56" spans="1:9">
      <c r="A56" s="95" t="s">
        <v>116</v>
      </c>
      <c r="B56" s="56">
        <v>213.45187000000001</v>
      </c>
      <c r="C56" s="57">
        <f t="shared" si="7"/>
        <v>21.927913330434219</v>
      </c>
      <c r="D56" s="56">
        <v>175.06398999999999</v>
      </c>
      <c r="E56" s="60">
        <f t="shared" si="8"/>
        <v>15.104788929941067</v>
      </c>
      <c r="F56" s="56">
        <v>152.09097</v>
      </c>
      <c r="G56" s="57">
        <f t="shared" si="9"/>
        <v>14.978419665758075</v>
      </c>
      <c r="H56" s="56">
        <v>132.27784</v>
      </c>
    </row>
    <row r="57" spans="1:9">
      <c r="A57" s="95" t="s">
        <v>117</v>
      </c>
      <c r="B57" s="56">
        <f>8.82493+2.03253</f>
        <v>10.85746</v>
      </c>
      <c r="C57" s="57">
        <f t="shared" si="7"/>
        <v>-59.400512660393346</v>
      </c>
      <c r="D57" s="56">
        <v>26.742850000000001</v>
      </c>
      <c r="E57" s="60">
        <f t="shared" si="8"/>
        <v>499.25269455710668</v>
      </c>
      <c r="F57" s="56">
        <v>4.4626999999999999</v>
      </c>
      <c r="G57" s="57">
        <f t="shared" si="9"/>
        <v>-8.9972919623484948</v>
      </c>
      <c r="H57" s="56">
        <v>4.9039200000000003</v>
      </c>
    </row>
    <row r="58" spans="1:9">
      <c r="A58" s="97" t="s">
        <v>118</v>
      </c>
      <c r="B58" s="107">
        <f>B59+B60</f>
        <v>9.992090000000001</v>
      </c>
      <c r="C58" s="64">
        <f t="shared" si="7"/>
        <v>244.18453250296238</v>
      </c>
      <c r="D58" s="107">
        <f>D59+D60</f>
        <v>2.9031199999999999</v>
      </c>
      <c r="E58" s="63">
        <f t="shared" si="8"/>
        <v>-63.368957641982014</v>
      </c>
      <c r="F58" s="107">
        <f>F59+F60</f>
        <v>7.9253</v>
      </c>
      <c r="G58" s="64">
        <f t="shared" si="9"/>
        <v>189.47906698127682</v>
      </c>
      <c r="H58" s="107">
        <f>H59+H60</f>
        <v>2.7377799999999999</v>
      </c>
      <c r="I58" s="72"/>
    </row>
    <row r="59" spans="1:9" ht="27">
      <c r="A59" s="91" t="s">
        <v>119</v>
      </c>
      <c r="B59" s="56">
        <v>0</v>
      </c>
      <c r="C59" s="57" t="e">
        <f t="shared" si="7"/>
        <v>#DIV/0!</v>
      </c>
      <c r="D59" s="56">
        <v>0</v>
      </c>
      <c r="E59" s="60" t="e">
        <f t="shared" si="8"/>
        <v>#DIV/0!</v>
      </c>
      <c r="F59" s="56">
        <v>0</v>
      </c>
      <c r="G59" s="57" t="e">
        <f t="shared" si="9"/>
        <v>#DIV/0!</v>
      </c>
      <c r="H59" s="56">
        <v>0</v>
      </c>
    </row>
    <row r="60" spans="1:9">
      <c r="A60" s="91" t="s">
        <v>120</v>
      </c>
      <c r="B60" s="56">
        <f>1+7.12+0.45921+0.01+0.065+1.33788</f>
        <v>9.992090000000001</v>
      </c>
      <c r="C60" s="57">
        <f t="shared" si="7"/>
        <v>244.18453250296238</v>
      </c>
      <c r="D60" s="56">
        <v>2.9031199999999999</v>
      </c>
      <c r="E60" s="60">
        <f t="shared" si="8"/>
        <v>-63.368957641982014</v>
      </c>
      <c r="F60" s="56">
        <v>7.9253</v>
      </c>
      <c r="G60" s="57">
        <f t="shared" si="9"/>
        <v>189.47906698127682</v>
      </c>
      <c r="H60" s="56">
        <f>2.66853+0.06925</f>
        <v>2.7377799999999999</v>
      </c>
    </row>
    <row r="61" spans="1:9" ht="27">
      <c r="A61" s="91" t="s">
        <v>121</v>
      </c>
      <c r="B61" s="56">
        <v>0</v>
      </c>
      <c r="C61" s="57" t="e">
        <f t="shared" si="7"/>
        <v>#DIV/0!</v>
      </c>
      <c r="D61" s="56">
        <v>0</v>
      </c>
      <c r="E61" s="60" t="e">
        <f t="shared" si="8"/>
        <v>#DIV/0!</v>
      </c>
      <c r="F61" s="56">
        <v>0</v>
      </c>
      <c r="G61" s="57" t="e">
        <f t="shared" si="9"/>
        <v>#DIV/0!</v>
      </c>
      <c r="H61" s="56">
        <v>0</v>
      </c>
    </row>
    <row r="62" spans="1:9">
      <c r="A62" s="98" t="s">
        <v>105</v>
      </c>
      <c r="B62" s="108">
        <f>B46+B47+B51+B61</f>
        <v>339.71667000000002</v>
      </c>
      <c r="C62" s="101">
        <f t="shared" si="7"/>
        <v>30.425551895304732</v>
      </c>
      <c r="D62" s="108">
        <f>D46+D47+D51+D61</f>
        <v>260.46787999999998</v>
      </c>
      <c r="E62" s="101">
        <f t="shared" si="8"/>
        <v>13.686832847700467</v>
      </c>
      <c r="F62" s="99">
        <f>F46+F47+F51+F61</f>
        <v>229.10998000000001</v>
      </c>
      <c r="G62" s="100">
        <f t="shared" si="9"/>
        <v>23.588419832558209</v>
      </c>
      <c r="H62" s="99">
        <f>H46+H47+H51+H61</f>
        <v>185.38142999999999</v>
      </c>
      <c r="I62" s="89"/>
    </row>
    <row r="63" spans="1:9">
      <c r="B63" s="109"/>
      <c r="D63" s="109"/>
      <c r="F63" s="109"/>
    </row>
    <row r="64" spans="1:9">
      <c r="A64" s="171" t="s">
        <v>122</v>
      </c>
      <c r="B64" s="171"/>
      <c r="C64" s="171"/>
      <c r="D64" s="171"/>
      <c r="E64" s="171"/>
      <c r="F64" s="171"/>
      <c r="G64" s="171"/>
      <c r="H64" s="171"/>
    </row>
    <row r="65" spans="1:9">
      <c r="A65" s="171"/>
      <c r="B65" s="171"/>
      <c r="C65" s="171"/>
      <c r="D65" s="171"/>
      <c r="E65" s="171"/>
      <c r="F65" s="171"/>
      <c r="G65" s="171"/>
      <c r="H65" s="171"/>
    </row>
    <row r="66" spans="1:9">
      <c r="A66" s="110" t="s">
        <v>123</v>
      </c>
      <c r="B66" s="111">
        <f>B54/B6*365</f>
        <v>157.7723228387006</v>
      </c>
      <c r="C66" s="111"/>
      <c r="D66" s="111">
        <f>D54/D6*365</f>
        <v>137.73380154402486</v>
      </c>
      <c r="E66" s="111"/>
      <c r="F66" s="111">
        <f>F54/F6*365</f>
        <v>122.51466455176467</v>
      </c>
      <c r="G66" s="111"/>
      <c r="H66" s="111">
        <f>H54/H6*365</f>
        <v>107.86086480348652</v>
      </c>
    </row>
    <row r="67" spans="1:9">
      <c r="A67" s="110" t="s">
        <v>124</v>
      </c>
      <c r="B67" s="111">
        <f>B53/(B11+B12+B13)*365</f>
        <v>61.523233422494222</v>
      </c>
      <c r="C67" s="111"/>
      <c r="D67" s="111">
        <f>D53/(D11+D12+D13)*365</f>
        <v>29.867699168306103</v>
      </c>
      <c r="E67" s="111"/>
      <c r="F67" s="111">
        <f>F53/(F11+F12+F13)*365</f>
        <v>35.08288545310598</v>
      </c>
      <c r="G67" s="111"/>
      <c r="H67" s="111">
        <f>H53/(H11+H12+H13)*365</f>
        <v>27.566135902697653</v>
      </c>
    </row>
    <row r="68" spans="1:9">
      <c r="A68" s="110" t="s">
        <v>125</v>
      </c>
      <c r="B68" s="111">
        <f>B53/(B12+B11+B13)</f>
        <v>0.16855680389724445</v>
      </c>
      <c r="C68" s="111"/>
      <c r="D68" s="111">
        <f>D53/(D12+D11+D13)</f>
        <v>8.1829312789879732E-2</v>
      </c>
      <c r="E68" s="111"/>
      <c r="F68" s="111">
        <f>F53/(F12+F11+F13)</f>
        <v>9.6117494392071179E-2</v>
      </c>
      <c r="G68" s="111"/>
      <c r="H68" s="111">
        <f>H53/(H12+H11+H13)</f>
        <v>7.552366000739083E-2</v>
      </c>
    </row>
    <row r="69" spans="1:9">
      <c r="A69" s="110" t="s">
        <v>126</v>
      </c>
      <c r="B69" s="111">
        <f>B51/(B41+B37)</f>
        <v>1.6636447663051372</v>
      </c>
      <c r="C69" s="111"/>
      <c r="D69" s="111">
        <f>D51/(D41+D37)</f>
        <v>1.6062262435185208</v>
      </c>
      <c r="E69" s="111"/>
      <c r="F69" s="111">
        <f>F51/(F41+F37)</f>
        <v>1.3219033111676197</v>
      </c>
      <c r="G69" s="111"/>
      <c r="H69" s="111">
        <f>H51/(H41+H37)</f>
        <v>1.3045684900107051</v>
      </c>
    </row>
    <row r="70" spans="1:9">
      <c r="A70" s="110" t="s">
        <v>127</v>
      </c>
      <c r="B70" s="111">
        <f>(B51-B53)/(B41+B37)</f>
        <v>1.2579918373307755</v>
      </c>
      <c r="C70" s="111"/>
      <c r="D70" s="111">
        <f>(D51-D53)/(D41+D37)</f>
        <v>1.3728125259862709</v>
      </c>
      <c r="E70" s="111"/>
      <c r="F70" s="111">
        <f>(F51-F53)/(F41+F37)</f>
        <v>1.0620879120879123</v>
      </c>
      <c r="G70" s="111"/>
      <c r="H70" s="111">
        <f>(H51-H53)/(H41+H37)</f>
        <v>1.0662284589442779</v>
      </c>
    </row>
    <row r="71" spans="1:9">
      <c r="A71" s="110" t="s">
        <v>128</v>
      </c>
      <c r="B71" s="111">
        <f>(B36+B37+B39)/B33</f>
        <v>7.0202801422241432</v>
      </c>
      <c r="C71" s="111"/>
      <c r="D71" s="111">
        <f>(D36+D37+D39)/D33</f>
        <v>2.8450153009741346</v>
      </c>
      <c r="E71" s="111"/>
      <c r="F71" s="111">
        <f>(F36+F37+F39)/F33</f>
        <v>2.1085467056800242</v>
      </c>
      <c r="G71" s="111"/>
      <c r="H71" s="111">
        <f>(H36+H37+H39)/H33</f>
        <v>1.1260623195234816</v>
      </c>
    </row>
    <row r="72" spans="1:9">
      <c r="A72" s="110" t="s">
        <v>129</v>
      </c>
      <c r="B72" s="111">
        <f>B17/B19</f>
        <v>2.320147465511774</v>
      </c>
      <c r="C72" s="111"/>
      <c r="D72" s="111">
        <f>D17/D19</f>
        <v>3.463523000295337</v>
      </c>
      <c r="E72" s="111"/>
      <c r="F72" s="111">
        <f>F17/F19</f>
        <v>5.4791421003845855</v>
      </c>
      <c r="G72" s="111"/>
      <c r="H72" s="111">
        <f>H17/H19</f>
        <v>3.6208335054847445</v>
      </c>
    </row>
    <row r="73" spans="1:9">
      <c r="A73" s="110" t="s">
        <v>130</v>
      </c>
      <c r="B73" s="111">
        <f>$D$17/($D$19+($D$36+$D$39)/5)</f>
        <v>1.9814506832228369</v>
      </c>
      <c r="C73" s="111"/>
      <c r="D73" s="111">
        <f>$D$17/($D$19+($D$36+$D$39)/5)</f>
        <v>1.9814506832228369</v>
      </c>
      <c r="E73" s="111"/>
      <c r="F73" s="111">
        <f>$F$17/($F$19+($F$36+$F$39)/5)</f>
        <v>3.8708899058537463</v>
      </c>
      <c r="G73" s="111"/>
      <c r="H73" s="111">
        <f>$H$17/($H$19+($H$36+$H$39)/5)</f>
        <v>3.2512827730575116</v>
      </c>
      <c r="I73" s="112"/>
    </row>
    <row r="74" spans="1:9">
      <c r="A74" s="110" t="s">
        <v>131</v>
      </c>
      <c r="B74" s="111">
        <f>B14/B6*100</f>
        <v>12.223856175994925</v>
      </c>
      <c r="C74" s="111"/>
      <c r="D74" s="111">
        <f>D14/D6*100</f>
        <v>11.024805288648446</v>
      </c>
      <c r="E74" s="111"/>
      <c r="F74" s="111">
        <f>F14/F6*100</f>
        <v>10.27252543544321</v>
      </c>
      <c r="G74" s="111"/>
      <c r="H74" s="111">
        <f>H14/H6*100</f>
        <v>9.8508695123200685</v>
      </c>
    </row>
    <row r="75" spans="1:9">
      <c r="A75" s="110" t="s">
        <v>132</v>
      </c>
      <c r="B75" s="111">
        <f>B23/B6*100</f>
        <v>4.4657645508389594</v>
      </c>
      <c r="C75" s="111"/>
      <c r="D75" s="111">
        <f>D23/D6*100</f>
        <v>4.027978830352148</v>
      </c>
      <c r="E75" s="111"/>
      <c r="F75" s="111">
        <f>F23/F6*100</f>
        <v>3.8893589807279958</v>
      </c>
      <c r="G75" s="111"/>
      <c r="H75" s="111">
        <f>H23/H6*100</f>
        <v>3.5852367903457445</v>
      </c>
    </row>
    <row r="76" spans="1:9">
      <c r="A76" s="110" t="s">
        <v>133</v>
      </c>
      <c r="B76" s="111">
        <f>B24/B6*100</f>
        <v>5.32842815091609</v>
      </c>
      <c r="C76" s="111"/>
      <c r="D76" s="111">
        <f>D24/D6*100</f>
        <v>4.8211519381508898</v>
      </c>
      <c r="E76" s="111"/>
      <c r="F76" s="111">
        <f>F24/F6*100</f>
        <v>4.5075952831994419</v>
      </c>
      <c r="G76" s="111"/>
      <c r="H76" s="111">
        <f>H24/H6*100</f>
        <v>4.1232363264771612</v>
      </c>
    </row>
    <row r="77" spans="1:9">
      <c r="A77" s="110" t="s">
        <v>134</v>
      </c>
      <c r="B77" s="113">
        <f>(B6-D6)/D6*100</f>
        <v>6.4419583560299936</v>
      </c>
      <c r="C77" s="114"/>
      <c r="D77" s="113">
        <f>(D6-F6)/F6*100</f>
        <v>2.3860842143812642</v>
      </c>
      <c r="E77" s="114"/>
      <c r="F77" s="113">
        <f>(F6-H6)/H6*100</f>
        <v>1.2260191403204306</v>
      </c>
      <c r="G77" s="114"/>
      <c r="H77" s="114" t="e">
        <f>(H6-J6)/J6*100</f>
        <v>#DIV/0!</v>
      </c>
    </row>
    <row r="78" spans="1:9">
      <c r="A78" s="110" t="s">
        <v>135</v>
      </c>
      <c r="B78" s="113">
        <f>(B23-D23)/D23*100</f>
        <v>18.010730534717869</v>
      </c>
      <c r="C78" s="114"/>
      <c r="D78" s="113">
        <f>(D23-F23)/F23*100</f>
        <v>6.0352057451346006</v>
      </c>
      <c r="E78" s="114"/>
      <c r="F78" s="113">
        <f>(F23-H23)/H23*100</f>
        <v>9.8126426926412762</v>
      </c>
      <c r="G78" s="114"/>
      <c r="H78" s="114" t="e">
        <f>(H23-J23)/J23*100</f>
        <v>#DIV/0!</v>
      </c>
    </row>
    <row r="79" spans="1:9">
      <c r="A79" s="110"/>
      <c r="B79" s="115"/>
      <c r="C79" s="110"/>
      <c r="D79" s="115"/>
      <c r="E79" s="110"/>
      <c r="F79" s="115"/>
      <c r="G79" s="110"/>
      <c r="H79" s="110"/>
    </row>
    <row r="80" spans="1:9">
      <c r="A80" s="116" t="s">
        <v>136</v>
      </c>
      <c r="B80" s="115"/>
      <c r="C80" s="110"/>
      <c r="D80" s="115"/>
      <c r="E80" s="110"/>
      <c r="F80" s="115"/>
      <c r="G80" s="110"/>
      <c r="H80" s="110"/>
    </row>
    <row r="81" spans="1:9">
      <c r="A81" s="116"/>
      <c r="B81" s="115"/>
      <c r="C81" s="110"/>
      <c r="D81" s="115"/>
      <c r="E81" s="110"/>
      <c r="F81" s="115"/>
      <c r="G81" s="110"/>
      <c r="H81" s="110"/>
    </row>
    <row r="82" spans="1:9">
      <c r="A82" s="110" t="s">
        <v>137</v>
      </c>
      <c r="B82" s="115">
        <f>B23</f>
        <v>22.052499999999991</v>
      </c>
      <c r="C82" s="110"/>
      <c r="D82" s="115">
        <f>D23</f>
        <v>18.68686000000001</v>
      </c>
      <c r="E82" s="110"/>
      <c r="F82" s="115">
        <f>F23</f>
        <v>17.623260000000002</v>
      </c>
      <c r="G82" s="110"/>
      <c r="H82" s="110"/>
    </row>
    <row r="83" spans="1:9">
      <c r="A83" s="110" t="s">
        <v>138</v>
      </c>
      <c r="B83" s="115"/>
      <c r="C83" s="110"/>
      <c r="D83" s="115"/>
      <c r="E83" s="110"/>
      <c r="F83" s="115"/>
      <c r="G83" s="110"/>
      <c r="H83" s="110"/>
    </row>
    <row r="84" spans="1:9">
      <c r="A84" s="110" t="s">
        <v>139</v>
      </c>
      <c r="B84" s="115">
        <f>B18</f>
        <v>4.2599400000000003</v>
      </c>
      <c r="C84" s="110"/>
      <c r="D84" s="115">
        <f>D18</f>
        <v>3.6797399999999998</v>
      </c>
      <c r="E84" s="110"/>
      <c r="F84" s="115">
        <f>F18</f>
        <v>2.80132</v>
      </c>
      <c r="G84" s="110"/>
      <c r="H84" s="110"/>
    </row>
    <row r="85" spans="1:9" ht="27">
      <c r="A85" s="117" t="s">
        <v>140</v>
      </c>
      <c r="B85" s="115">
        <f>B20</f>
        <v>0</v>
      </c>
      <c r="C85" s="110"/>
      <c r="D85" s="115">
        <f>D20</f>
        <v>0</v>
      </c>
      <c r="E85" s="110"/>
      <c r="F85" s="115">
        <f>F20</f>
        <v>0</v>
      </c>
      <c r="G85" s="110"/>
      <c r="H85" s="110"/>
    </row>
    <row r="86" spans="1:9">
      <c r="A86" s="110" t="s">
        <v>141</v>
      </c>
      <c r="B86" s="115">
        <f t="shared" ref="B86:B87" si="10">B25</f>
        <v>0</v>
      </c>
      <c r="C86" s="110"/>
      <c r="D86" s="115">
        <f t="shared" ref="D86:D87" si="11">D25</f>
        <v>0</v>
      </c>
      <c r="E86" s="110"/>
      <c r="F86" s="115">
        <f t="shared" ref="F86:F87" si="12">F25</f>
        <v>0</v>
      </c>
      <c r="G86" s="110"/>
      <c r="H86" s="110"/>
    </row>
    <row r="87" spans="1:9">
      <c r="A87" s="110" t="s">
        <v>142</v>
      </c>
      <c r="B87" s="115">
        <f t="shared" si="10"/>
        <v>0</v>
      </c>
      <c r="C87" s="110"/>
      <c r="D87" s="115">
        <f t="shared" si="11"/>
        <v>5.9683399999999995</v>
      </c>
      <c r="E87" s="110"/>
      <c r="F87" s="115">
        <f t="shared" si="12"/>
        <v>5.6154000000000002</v>
      </c>
      <c r="G87" s="110"/>
      <c r="H87" s="110"/>
    </row>
    <row r="88" spans="1:9">
      <c r="A88" s="110" t="s">
        <v>143</v>
      </c>
      <c r="B88" s="115">
        <f>B22</f>
        <v>0</v>
      </c>
      <c r="C88" s="110"/>
      <c r="D88" s="115">
        <f>D22</f>
        <v>2.3240099999999999</v>
      </c>
      <c r="E88" s="110"/>
      <c r="F88" s="115">
        <f>F22</f>
        <v>1.94869</v>
      </c>
      <c r="G88" s="110"/>
      <c r="H88" s="110"/>
    </row>
    <row r="89" spans="1:9">
      <c r="A89" s="110" t="s">
        <v>144</v>
      </c>
      <c r="B89" s="115">
        <f>B19</f>
        <v>19.931439999999998</v>
      </c>
      <c r="C89" s="110"/>
      <c r="D89" s="115">
        <f>D19</f>
        <v>10.02248</v>
      </c>
      <c r="E89" s="110"/>
      <c r="F89" s="115">
        <f>F19</f>
        <v>4.9949899999999996</v>
      </c>
      <c r="G89" s="110"/>
      <c r="H89" s="110"/>
    </row>
    <row r="90" spans="1:9" ht="27">
      <c r="A90" s="118" t="s">
        <v>145</v>
      </c>
      <c r="B90" s="119">
        <f>-B8</f>
        <v>-14.78515</v>
      </c>
      <c r="C90" s="116"/>
      <c r="D90" s="119">
        <f>-D8</f>
        <v>-12.569320000000001</v>
      </c>
      <c r="E90" s="116"/>
      <c r="F90" s="119">
        <f>-F8</f>
        <v>-12.044219999999999</v>
      </c>
      <c r="G90" s="116"/>
      <c r="H90" s="116"/>
      <c r="I90" s="89"/>
    </row>
    <row r="91" spans="1:9">
      <c r="A91" s="118"/>
      <c r="B91" s="119"/>
      <c r="C91" s="116"/>
      <c r="D91" s="119"/>
      <c r="E91" s="116"/>
      <c r="F91" s="119"/>
      <c r="G91" s="116"/>
      <c r="H91" s="116"/>
      <c r="I91" s="89"/>
    </row>
    <row r="92" spans="1:9" ht="27">
      <c r="A92" s="117" t="s">
        <v>146</v>
      </c>
      <c r="B92" s="115">
        <f>SUM(B82:B90)</f>
        <v>31.458729999999989</v>
      </c>
      <c r="C92" s="110"/>
      <c r="D92" s="115">
        <f>SUM(D82:D90)</f>
        <v>28.112110000000012</v>
      </c>
      <c r="E92" s="110"/>
      <c r="F92" s="115">
        <f>SUM(F82:F90)</f>
        <v>20.939440000000001</v>
      </c>
      <c r="G92" s="110"/>
      <c r="H92" s="110"/>
    </row>
    <row r="93" spans="1:9">
      <c r="A93" s="110" t="s">
        <v>147</v>
      </c>
      <c r="B93" s="115">
        <f>D54-B54</f>
        <v>-38.387880000000024</v>
      </c>
      <c r="C93" s="110"/>
      <c r="D93" s="115">
        <f>F54-D54</f>
        <v>-22.973019999999991</v>
      </c>
      <c r="E93" s="110"/>
      <c r="F93" s="115">
        <f>H54-F54</f>
        <v>-19.813130000000001</v>
      </c>
      <c r="G93" s="110"/>
      <c r="H93" s="110"/>
    </row>
    <row r="94" spans="1:9">
      <c r="A94" s="110" t="s">
        <v>148</v>
      </c>
      <c r="B94" s="115">
        <f>D53-B53</f>
        <v>-40.747</v>
      </c>
      <c r="C94" s="110"/>
      <c r="D94" s="115">
        <f>F53-D53</f>
        <v>5.43</v>
      </c>
      <c r="E94" s="110"/>
      <c r="F94" s="115">
        <f>H53-F53</f>
        <v>-8.9589999999999961</v>
      </c>
      <c r="G94" s="110"/>
      <c r="H94" s="110"/>
    </row>
    <row r="95" spans="1:9">
      <c r="A95" s="110" t="s">
        <v>149</v>
      </c>
      <c r="B95" s="115">
        <f>D58-B58</f>
        <v>-7.0889700000000015</v>
      </c>
      <c r="C95" s="110"/>
      <c r="D95" s="115">
        <f>F58-D58</f>
        <v>5.0221800000000005</v>
      </c>
      <c r="E95" s="110"/>
      <c r="F95" s="115">
        <f>H58-F58</f>
        <v>-5.1875200000000001</v>
      </c>
      <c r="G95" s="110"/>
      <c r="H95" s="110"/>
    </row>
    <row r="96" spans="1:9">
      <c r="A96" s="110" t="s">
        <v>150</v>
      </c>
      <c r="B96" s="115">
        <f>B41-D41</f>
        <v>23.25188</v>
      </c>
      <c r="C96" s="110"/>
      <c r="D96" s="115">
        <f>D41-F41</f>
        <v>-22.400729999999982</v>
      </c>
      <c r="E96" s="110"/>
      <c r="F96" s="115">
        <f>F41-H41</f>
        <v>1.7964299999999866</v>
      </c>
      <c r="G96" s="110"/>
      <c r="H96" s="110"/>
    </row>
    <row r="97" spans="1:9">
      <c r="A97" s="110" t="s">
        <v>151</v>
      </c>
      <c r="B97" s="115">
        <f>SUM(B93:B96)</f>
        <v>-62.971970000000027</v>
      </c>
      <c r="C97" s="110"/>
      <c r="D97" s="115">
        <f>SUM(D93:D96)</f>
        <v>-34.921569999999974</v>
      </c>
      <c r="E97" s="110"/>
      <c r="F97" s="115">
        <f>SUM(F93:F96)</f>
        <v>-32.16322000000001</v>
      </c>
      <c r="G97" s="110"/>
      <c r="H97" s="110"/>
    </row>
    <row r="98" spans="1:9">
      <c r="A98" s="116" t="s">
        <v>152</v>
      </c>
      <c r="B98" s="119">
        <f>B92+B97</f>
        <v>-31.513240000000039</v>
      </c>
      <c r="C98" s="116"/>
      <c r="D98" s="119">
        <f>D92+D97</f>
        <v>-6.8094599999999623</v>
      </c>
      <c r="E98" s="116"/>
      <c r="F98" s="119">
        <f>F92+F97</f>
        <v>-11.223780000000009</v>
      </c>
      <c r="G98" s="116"/>
      <c r="H98" s="116"/>
      <c r="I98" s="89"/>
    </row>
    <row r="99" spans="1:9">
      <c r="A99" s="116"/>
      <c r="B99" s="119"/>
      <c r="C99" s="116"/>
      <c r="D99" s="119"/>
      <c r="E99" s="116"/>
      <c r="F99" s="119"/>
      <c r="G99" s="116"/>
      <c r="H99" s="116"/>
      <c r="I99" s="89"/>
    </row>
    <row r="100" spans="1:9">
      <c r="A100" s="110" t="s">
        <v>153</v>
      </c>
      <c r="B100" s="115">
        <f>B22</f>
        <v>0</v>
      </c>
      <c r="C100" s="110"/>
      <c r="D100" s="115">
        <f>D22</f>
        <v>2.3240099999999999</v>
      </c>
      <c r="E100" s="110"/>
      <c r="F100" s="115">
        <f>F22</f>
        <v>1.94869</v>
      </c>
      <c r="G100" s="110"/>
      <c r="H100" s="110"/>
    </row>
    <row r="101" spans="1:9">
      <c r="A101" s="110"/>
      <c r="B101" s="115"/>
      <c r="C101" s="110"/>
      <c r="D101" s="115"/>
      <c r="E101" s="110"/>
      <c r="F101" s="115"/>
      <c r="G101" s="110"/>
      <c r="H101" s="110"/>
    </row>
    <row r="102" spans="1:9">
      <c r="A102" s="116" t="s">
        <v>154</v>
      </c>
      <c r="B102" s="115">
        <f>B98-B100</f>
        <v>-31.513240000000039</v>
      </c>
      <c r="C102" s="110"/>
      <c r="D102" s="115">
        <f>D98-D100</f>
        <v>-9.1334699999999618</v>
      </c>
      <c r="E102" s="110"/>
      <c r="F102" s="115">
        <f>F98-F100</f>
        <v>-13.172470000000008</v>
      </c>
      <c r="G102" s="110"/>
      <c r="H102" s="110"/>
    </row>
  </sheetData>
  <sheetProtection selectLockedCells="1" selectUnlockedCells="1"/>
  <mergeCells count="8">
    <mergeCell ref="A64:H65"/>
    <mergeCell ref="A1:H2"/>
    <mergeCell ref="A3:A5"/>
    <mergeCell ref="A29:A30"/>
    <mergeCell ref="B29:B30"/>
    <mergeCell ref="D29:D30"/>
    <mergeCell ref="F29:F30"/>
    <mergeCell ref="H29:H30"/>
  </mergeCell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 alignWithMargins="0">
    <oddHeader>&amp;C&amp;A</oddHeader>
    <oddFooter>&amp;CPage &amp;P</oddFooter>
  </headerFooter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F13"/>
  <sheetViews>
    <sheetView workbookViewId="0"/>
  </sheetViews>
  <sheetFormatPr defaultRowHeight="12.75"/>
  <cols>
    <col min="2" max="2" width="23.28515625" customWidth="1"/>
    <col min="3" max="3" width="28.5703125" customWidth="1"/>
    <col min="4" max="4" width="10.5703125" customWidth="1"/>
    <col min="5" max="5" width="19" customWidth="1"/>
    <col min="6" max="6" width="14.85546875" customWidth="1"/>
  </cols>
  <sheetData>
    <row r="1" spans="1:6" ht="17.25" customHeight="1">
      <c r="A1" s="177" t="s">
        <v>155</v>
      </c>
      <c r="B1" s="177"/>
      <c r="C1" s="121"/>
    </row>
    <row r="2" spans="1:6" ht="14.25" customHeight="1">
      <c r="A2" s="177" t="s">
        <v>156</v>
      </c>
      <c r="B2" s="177"/>
      <c r="C2" s="121"/>
    </row>
    <row r="5" spans="1:6" ht="30">
      <c r="A5" s="122" t="s">
        <v>37</v>
      </c>
      <c r="B5" s="123" t="s">
        <v>157</v>
      </c>
      <c r="C5" s="123" t="s">
        <v>158</v>
      </c>
      <c r="D5" s="124" t="s">
        <v>159</v>
      </c>
      <c r="E5" s="120" t="s">
        <v>160</v>
      </c>
      <c r="F5" s="120" t="s">
        <v>161</v>
      </c>
    </row>
    <row r="6" spans="1:6" ht="42.75">
      <c r="A6" s="125">
        <v>1</v>
      </c>
      <c r="B6" s="126" t="s">
        <v>162</v>
      </c>
      <c r="C6" s="127" t="s">
        <v>163</v>
      </c>
      <c r="D6" s="128"/>
      <c r="E6" s="129">
        <v>0.2</v>
      </c>
      <c r="F6" s="129">
        <f t="shared" ref="F6:F12" si="0">E6/10*D6</f>
        <v>0</v>
      </c>
    </row>
    <row r="7" spans="1:6" ht="42.75">
      <c r="A7" s="125">
        <v>2</v>
      </c>
      <c r="B7" s="126" t="s">
        <v>164</v>
      </c>
      <c r="C7" s="127" t="s">
        <v>165</v>
      </c>
      <c r="D7" s="130"/>
      <c r="E7" s="129">
        <v>0.15</v>
      </c>
      <c r="F7" s="129">
        <f t="shared" si="0"/>
        <v>0</v>
      </c>
    </row>
    <row r="8" spans="1:6" ht="42.75">
      <c r="A8" s="125">
        <v>3</v>
      </c>
      <c r="B8" s="126" t="s">
        <v>166</v>
      </c>
      <c r="C8" s="127" t="s">
        <v>167</v>
      </c>
      <c r="D8" s="130"/>
      <c r="E8" s="129">
        <v>0.1</v>
      </c>
      <c r="F8" s="129">
        <f t="shared" si="0"/>
        <v>0</v>
      </c>
    </row>
    <row r="9" spans="1:6" ht="57">
      <c r="A9" s="125">
        <v>4</v>
      </c>
      <c r="B9" s="126" t="s">
        <v>168</v>
      </c>
      <c r="C9" s="131" t="s">
        <v>169</v>
      </c>
      <c r="D9" s="130"/>
      <c r="E9" s="129">
        <v>0.1</v>
      </c>
      <c r="F9" s="129">
        <f t="shared" si="0"/>
        <v>0</v>
      </c>
    </row>
    <row r="10" spans="1:6" ht="85.5">
      <c r="A10" s="125">
        <v>5</v>
      </c>
      <c r="B10" s="126" t="s">
        <v>170</v>
      </c>
      <c r="C10" s="127" t="s">
        <v>171</v>
      </c>
      <c r="D10" s="130"/>
      <c r="E10" s="129">
        <v>0.1</v>
      </c>
      <c r="F10" s="129">
        <f t="shared" si="0"/>
        <v>0</v>
      </c>
    </row>
    <row r="11" spans="1:6" ht="128.25">
      <c r="A11" s="125">
        <v>6</v>
      </c>
      <c r="B11" s="132" t="s">
        <v>172</v>
      </c>
      <c r="C11" s="133" t="s">
        <v>173</v>
      </c>
      <c r="D11" s="130"/>
      <c r="E11" s="129">
        <v>0.1</v>
      </c>
      <c r="F11" s="129">
        <f t="shared" si="0"/>
        <v>0</v>
      </c>
    </row>
    <row r="12" spans="1:6" ht="28.5">
      <c r="A12" s="125">
        <v>7</v>
      </c>
      <c r="B12" s="125" t="s">
        <v>174</v>
      </c>
      <c r="C12" s="134" t="s">
        <v>175</v>
      </c>
      <c r="D12" s="130"/>
      <c r="E12" s="129">
        <v>0.25</v>
      </c>
      <c r="F12" s="129">
        <f t="shared" si="0"/>
        <v>0</v>
      </c>
    </row>
    <row r="13" spans="1:6" ht="15">
      <c r="A13" s="135"/>
      <c r="B13" s="136" t="s">
        <v>176</v>
      </c>
      <c r="C13" s="136"/>
      <c r="D13" s="137"/>
      <c r="E13" s="138">
        <f>SUM(E6:E12)</f>
        <v>0.99999999999999989</v>
      </c>
      <c r="F13" s="138">
        <f>SUM(F6:F12)</f>
        <v>0</v>
      </c>
    </row>
  </sheetData>
  <sheetProtection sheet="1"/>
  <mergeCells count="2">
    <mergeCell ref="A1:B1"/>
    <mergeCell ref="A2:B2"/>
  </mergeCell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 alignWithMargins="0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enableFormatConditionsCalculation="0">
    <tabColor indexed="24"/>
  </sheetPr>
  <dimension ref="B1:C1"/>
  <sheetViews>
    <sheetView workbookViewId="0">
      <selection activeCell="H7" sqref="H7"/>
    </sheetView>
  </sheetViews>
  <sheetFormatPr defaultColWidth="11.5703125" defaultRowHeight="13.5"/>
  <cols>
    <col min="1" max="1" width="11.5703125" style="4"/>
    <col min="2" max="3" width="11.5703125" style="139"/>
    <col min="4" max="16384" width="11.5703125" style="4"/>
  </cols>
  <sheetData/>
  <sheetProtection selectLockedCells="1" selectUnlockedCells="1"/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 alignWithMargins="0"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sqref="A1:XFD1048576"/>
    </sheetView>
  </sheetViews>
  <sheetFormatPr defaultColWidth="11.5703125" defaultRowHeight="13.5" customHeight="1"/>
  <sheetData/>
  <sheetProtection selectLockedCells="1" selectUnlockedCells="1"/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Eligibility</vt:lpstr>
      <vt:lpstr>RTR</vt:lpstr>
      <vt:lpstr>RTR Details</vt:lpstr>
      <vt:lpstr>Ratios</vt:lpstr>
      <vt:lpstr>Sheet1</vt:lpstr>
      <vt:lpstr>Loans</vt:lpstr>
      <vt:lpstr>Banking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Alok Kumar Jaiswal</dc:creator>
  <cp:lastModifiedBy>MyPc</cp:lastModifiedBy>
  <cp:lastPrinted>2018-04-07T10:36:13Z</cp:lastPrinted>
  <dcterms:created xsi:type="dcterms:W3CDTF">2015-09-25T09:25:31Z</dcterms:created>
  <dcterms:modified xsi:type="dcterms:W3CDTF">2019-07-06T05:19:03Z</dcterms:modified>
</cp:coreProperties>
</file>