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  <sheet name="Banking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/>
  <c r="D15"/>
  <c r="F15" s="1"/>
  <c r="B10"/>
  <c r="K10" i="2"/>
  <c r="K9"/>
  <c r="K8"/>
  <c r="AI34" i="6"/>
  <c r="AI32"/>
  <c r="AI31"/>
  <c r="AI30"/>
  <c r="AI29"/>
  <c r="AI28"/>
  <c r="AI27"/>
  <c r="AI26"/>
  <c r="AI25"/>
  <c r="AI24"/>
  <c r="AI23"/>
  <c r="AI22"/>
  <c r="AI21"/>
  <c r="AI33" l="1"/>
  <c r="AI16"/>
  <c r="AI15"/>
  <c r="AI14"/>
  <c r="AI13"/>
  <c r="AI12"/>
  <c r="AI11"/>
  <c r="AI10"/>
  <c r="AI9"/>
  <c r="AI8"/>
  <c r="AI7"/>
  <c r="AI6"/>
  <c r="AI5"/>
  <c r="C5" i="1"/>
  <c r="AI17" i="6" l="1"/>
  <c r="B9" i="1"/>
  <c r="I10" i="2"/>
  <c r="I9"/>
  <c r="I8"/>
  <c r="I7"/>
  <c r="I6"/>
  <c r="J5"/>
  <c r="J4"/>
  <c r="I3"/>
  <c r="D27" i="1"/>
  <c r="F27" s="1"/>
  <c r="C26"/>
  <c r="B26"/>
  <c r="D29"/>
  <c r="F29" s="1"/>
  <c r="D28"/>
  <c r="F28" s="1"/>
  <c r="D22"/>
  <c r="F22" s="1"/>
  <c r="D24"/>
  <c r="F24" s="1"/>
  <c r="D23"/>
  <c r="F23" s="1"/>
  <c r="C19"/>
  <c r="D26" l="1"/>
  <c r="F26" s="1"/>
  <c r="C14"/>
  <c r="D14"/>
  <c r="F14" s="1"/>
  <c r="B14"/>
  <c r="D5"/>
  <c r="F5" s="1"/>
  <c r="D8" l="1"/>
  <c r="F8" s="1"/>
  <c r="C9"/>
  <c r="D20"/>
  <c r="F20" s="1"/>
  <c r="D19"/>
  <c r="F19" s="1"/>
  <c r="D9" l="1"/>
  <c r="F9" s="1"/>
  <c r="L12" i="2"/>
  <c r="D16" i="1"/>
  <c r="F16" s="1"/>
  <c r="D17"/>
  <c r="F17" s="1"/>
  <c r="D10"/>
  <c r="F10" s="1"/>
  <c r="D13" l="1"/>
  <c r="F13" s="1"/>
  <c r="D7" l="1"/>
  <c r="F7" s="1"/>
  <c r="D6" l="1"/>
  <c r="F6" s="1"/>
  <c r="D3"/>
  <c r="D4"/>
  <c r="D11"/>
  <c r="F3" l="1"/>
  <c r="F4"/>
  <c r="F11"/>
  <c r="E13" i="5"/>
  <c r="F12"/>
  <c r="F11"/>
  <c r="F10"/>
  <c r="F9"/>
  <c r="F13" s="1"/>
  <c r="F8"/>
  <c r="F7"/>
  <c r="F6"/>
  <c r="F32" i="1"/>
  <c r="F37"/>
  <c r="F30" l="1"/>
  <c r="F31" s="1"/>
  <c r="F34" s="1"/>
  <c r="F38" s="1"/>
</calcChain>
</file>

<file path=xl/sharedStrings.xml><?xml version="1.0" encoding="utf-8"?>
<sst xmlns="http://schemas.openxmlformats.org/spreadsheetml/2006/main" count="191" uniqueCount="115">
  <si>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</si>
  <si>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</si>
  <si>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</si>
  <si>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</si>
  <si>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</si>
  <si>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</si>
  <si>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</si>
  <si>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</si>
  <si>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</si>
  <si>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</si>
  <si>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</si>
  <si>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</si>
  <si>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</si>
  <si>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</si>
  <si>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</si>
  <si>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</si>
  <si>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</si>
  <si>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</si>
  <si>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</si>
  <si>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</si>
  <si>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</si>
  <si>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</si>
  <si>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</si>
  <si>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</si>
  <si>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</si>
  <si>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</si>
  <si>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</si>
  <si>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</si>
  <si>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</si>
  <si>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</si>
  <si>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</si>
  <si>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</si>
  <si>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</si>
  <si>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</si>
  <si>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</si>
  <si>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</si>
  <si>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</si>
  <si>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</si>
  <si>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</si>
  <si>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</si>
  <si>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</si>
  <si>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</si>
  <si>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</si>
  <si>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</si>
  <si>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</si>
  <si>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</si>
  <si>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</si>
  <si>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</si>
  <si>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</si>
  <si>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Income From Other Sources</t>
  </si>
  <si>
    <t>n</t>
  </si>
  <si>
    <t>Payment Made u/s 40 (2)ab</t>
  </si>
  <si>
    <t xml:space="preserve">Sanvi Agro Mills </t>
  </si>
  <si>
    <t>Interest To Partner</t>
  </si>
  <si>
    <t>Interest To Other</t>
  </si>
  <si>
    <t>Salary To Partner</t>
  </si>
  <si>
    <t>Interest</t>
  </si>
  <si>
    <t>Shiv Shakti Soap And General Mills (Prop. Vinay Aggarwal)</t>
  </si>
  <si>
    <t>Income From House Property</t>
  </si>
  <si>
    <t>Income From Other sources</t>
  </si>
  <si>
    <t>Aameet Singla</t>
  </si>
  <si>
    <t>Harbans Lal Singal</t>
  </si>
  <si>
    <t>Vikram Aggarwal</t>
  </si>
  <si>
    <t>Business Income u/s 44AD</t>
  </si>
  <si>
    <t>Aameet Singal</t>
  </si>
  <si>
    <t xml:space="preserve">IDFC First </t>
  </si>
  <si>
    <t>Home Loan</t>
  </si>
  <si>
    <t>Saanvi Agro Mills</t>
  </si>
  <si>
    <t>Lap</t>
  </si>
  <si>
    <t>Loan Start Date</t>
  </si>
  <si>
    <t>Shiv Shakti Soap &amp; General Mills</t>
  </si>
  <si>
    <t>Harbans Lal, Aameet Singal &amp; Pooja Singal</t>
  </si>
  <si>
    <t>SBI</t>
  </si>
  <si>
    <t>MTL</t>
  </si>
  <si>
    <t>CC</t>
  </si>
  <si>
    <t>y</t>
  </si>
  <si>
    <t>Income From Salary (Pension)</t>
  </si>
  <si>
    <t>POS</t>
  </si>
  <si>
    <t>As on Sep/20</t>
  </si>
  <si>
    <t>As Per Days</t>
  </si>
  <si>
    <t>Crs.</t>
  </si>
  <si>
    <t>Total</t>
  </si>
  <si>
    <t>Sep</t>
  </si>
  <si>
    <t>Oct</t>
  </si>
  <si>
    <t>Nov</t>
  </si>
  <si>
    <t>Dec</t>
  </si>
  <si>
    <t>Jan</t>
  </si>
  <si>
    <t>Feb</t>
  </si>
  <si>
    <t>March</t>
  </si>
  <si>
    <t>April</t>
  </si>
  <si>
    <t xml:space="preserve">May </t>
  </si>
  <si>
    <t>June</t>
  </si>
  <si>
    <t xml:space="preserve">July </t>
  </si>
  <si>
    <t>August</t>
  </si>
  <si>
    <t>Eligibilty In Lacs</t>
  </si>
  <si>
    <t>Saanvi Agro Mills SBI Account No 65149937597</t>
  </si>
  <si>
    <t xml:space="preserve">Interest Of Unsecured  Loans </t>
  </si>
  <si>
    <t>h</t>
  </si>
  <si>
    <t xml:space="preserve">Max FOIR  </t>
  </si>
  <si>
    <t xml:space="preserve">Shiv Shankar Industries </t>
  </si>
  <si>
    <t>Firm</t>
  </si>
  <si>
    <t>Vijay Aggarwal</t>
  </si>
  <si>
    <t>Saanvi Agro mills</t>
  </si>
  <si>
    <t>Aameet Single</t>
  </si>
  <si>
    <t>Harbans Lal Singh</t>
  </si>
  <si>
    <t xml:space="preserve">Shiv Shakti Shops &amp; Genral Mills </t>
  </si>
  <si>
    <t>Propriroship</t>
  </si>
  <si>
    <t>Basti Jodewal</t>
  </si>
  <si>
    <t xml:space="preserve">Bhutari </t>
  </si>
  <si>
    <t>Rahoon Road</t>
  </si>
  <si>
    <t xml:space="preserve">Saanvi Agro Mills </t>
  </si>
  <si>
    <t>As On March /20</t>
  </si>
  <si>
    <t>Shiv Sakti Shop &amp; Genral Mills</t>
  </si>
  <si>
    <t xml:space="preserve">Interest On Car Loan </t>
  </si>
  <si>
    <t xml:space="preserve">Shiv Shakti Soap &amp; General Mills </t>
  </si>
</sst>
</file>

<file path=xl/styles.xml><?xml version="1.0" encoding="utf-8"?>
<styleSheet xmlns="http://schemas.openxmlformats.org/spreadsheetml/2006/main">
  <numFmts count="5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  <numFmt numFmtId="168" formatCode="[$-409]d\-mmm\-yy;@"/>
  </numFmts>
  <fonts count="22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  <font>
      <sz val="10.5"/>
      <color rgb="FFFF0000"/>
      <name val="Cambria"/>
      <family val="1"/>
      <scheme val="major"/>
    </font>
    <font>
      <sz val="10.5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.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26"/>
      </patternFill>
    </fill>
  </fills>
  <borders count="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5" fontId="8" fillId="0" borderId="0" applyFill="0" applyAlignment="0" applyProtection="0"/>
    <xf numFmtId="9" fontId="8" fillId="0" borderId="0" applyFill="0" applyBorder="0" applyAlignment="0" applyProtection="0"/>
    <xf numFmtId="0" fontId="8" fillId="0" borderId="0"/>
    <xf numFmtId="0" fontId="6" fillId="0" borderId="0"/>
    <xf numFmtId="165" fontId="5" fillId="0" borderId="0" applyBorder="0" applyProtection="0"/>
    <xf numFmtId="0" fontId="13" fillId="0" borderId="0"/>
  </cellStyleXfs>
  <cellXfs count="88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10" fillId="0" borderId="0" xfId="0" applyFont="1" applyBorder="1" applyAlignment="1">
      <alignment horizontal="center"/>
    </xf>
    <xf numFmtId="0" fontId="10" fillId="0" borderId="0" xfId="0" applyFont="1"/>
    <xf numFmtId="0" fontId="11" fillId="5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left" vertical="center" wrapText="1"/>
    </xf>
    <xf numFmtId="168" fontId="12" fillId="0" borderId="2" xfId="0" applyNumberFormat="1" applyFont="1" applyBorder="1" applyAlignment="1">
      <alignment horizontal="left" vertical="center" wrapText="1"/>
    </xf>
    <xf numFmtId="1" fontId="12" fillId="4" borderId="2" xfId="0" applyNumberFormat="1" applyFont="1" applyFill="1" applyBorder="1" applyAlignment="1">
      <alignment horizontal="left" vertical="center" wrapText="1"/>
    </xf>
    <xf numFmtId="2" fontId="10" fillId="6" borderId="2" xfId="0" applyNumberFormat="1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" fontId="9" fillId="6" borderId="2" xfId="0" applyNumberFormat="1" applyFont="1" applyFill="1" applyBorder="1" applyAlignment="1">
      <alignment horizontal="left" vertical="center"/>
    </xf>
    <xf numFmtId="1" fontId="14" fillId="4" borderId="2" xfId="0" applyNumberFormat="1" applyFont="1" applyFill="1" applyBorder="1" applyAlignment="1">
      <alignment horizontal="left" vertical="center" wrapText="1"/>
    </xf>
    <xf numFmtId="0" fontId="16" fillId="0" borderId="0" xfId="0" applyFont="1"/>
    <xf numFmtId="0" fontId="17" fillId="0" borderId="0" xfId="0" applyFont="1"/>
    <xf numFmtId="0" fontId="17" fillId="9" borderId="2" xfId="0" applyFont="1" applyFill="1" applyBorder="1"/>
    <xf numFmtId="0" fontId="17" fillId="0" borderId="2" xfId="0" applyFont="1" applyBorder="1"/>
    <xf numFmtId="0" fontId="17" fillId="10" borderId="3" xfId="0" applyFont="1" applyFill="1" applyBorder="1"/>
    <xf numFmtId="0" fontId="16" fillId="0" borderId="2" xfId="0" applyFont="1" applyBorder="1"/>
    <xf numFmtId="0" fontId="16" fillId="0" borderId="6" xfId="0" applyFont="1" applyBorder="1"/>
    <xf numFmtId="0" fontId="16" fillId="0" borderId="7" xfId="0" applyFont="1" applyBorder="1"/>
    <xf numFmtId="0" fontId="8" fillId="0" borderId="0" xfId="0" applyFont="1"/>
    <xf numFmtId="0" fontId="0" fillId="0" borderId="2" xfId="0" applyBorder="1"/>
    <xf numFmtId="0" fontId="16" fillId="0" borderId="0" xfId="0" applyFont="1" applyBorder="1"/>
    <xf numFmtId="1" fontId="10" fillId="4" borderId="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7" fillId="9" borderId="3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7" fillId="9" borderId="5" xfId="0" applyFont="1" applyFill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164" fontId="18" fillId="7" borderId="2" xfId="1" applyNumberFormat="1" applyFont="1" applyFill="1" applyBorder="1" applyAlignment="1" applyProtection="1">
      <alignment horizontal="left" vertical="center" wrapText="1"/>
    </xf>
    <xf numFmtId="164" fontId="19" fillId="6" borderId="2" xfId="1" applyNumberFormat="1" applyFont="1" applyFill="1" applyBorder="1" applyAlignment="1" applyProtection="1">
      <alignment horizontal="left" vertical="center" wrapText="1"/>
    </xf>
    <xf numFmtId="164" fontId="18" fillId="6" borderId="2" xfId="1" applyNumberFormat="1" applyFont="1" applyFill="1" applyBorder="1" applyAlignment="1" applyProtection="1">
      <alignment horizontal="left" vertical="center" wrapText="1"/>
    </xf>
    <xf numFmtId="164" fontId="19" fillId="0" borderId="2" xfId="1" applyNumberFormat="1" applyFont="1" applyFill="1" applyBorder="1" applyAlignment="1" applyProtection="1">
      <alignment horizontal="left" vertical="top" wrapText="1"/>
    </xf>
    <xf numFmtId="164" fontId="18" fillId="5" borderId="2" xfId="1" applyNumberFormat="1" applyFont="1" applyFill="1" applyBorder="1" applyAlignment="1" applyProtection="1">
      <alignment horizontal="left" vertical="center" wrapText="1"/>
    </xf>
    <xf numFmtId="164" fontId="18" fillId="5" borderId="2" xfId="1" applyNumberFormat="1" applyFont="1" applyFill="1" applyBorder="1" applyAlignment="1" applyProtection="1">
      <alignment horizontal="left" vertical="center" wrapText="1"/>
    </xf>
    <xf numFmtId="0" fontId="15" fillId="6" borderId="0" xfId="3" applyFont="1" applyFill="1" applyBorder="1" applyAlignment="1">
      <alignment horizontal="left" vertical="top" wrapText="1"/>
    </xf>
    <xf numFmtId="0" fontId="15" fillId="0" borderId="0" xfId="0" applyFont="1" applyBorder="1" applyAlignment="1">
      <alignment horizontal="left"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164" fontId="18" fillId="8" borderId="2" xfId="1" applyNumberFormat="1" applyFont="1" applyFill="1" applyBorder="1" applyAlignment="1" applyProtection="1">
      <alignment horizontal="left" vertical="center" wrapText="1"/>
    </xf>
    <xf numFmtId="9" fontId="18" fillId="8" borderId="2" xfId="1" applyNumberFormat="1" applyFont="1" applyFill="1" applyBorder="1" applyAlignment="1" applyProtection="1">
      <alignment horizontal="left" vertical="center" wrapText="1"/>
    </xf>
    <xf numFmtId="166" fontId="19" fillId="6" borderId="2" xfId="1" applyNumberFormat="1" applyFont="1" applyFill="1" applyBorder="1" applyAlignment="1" applyProtection="1">
      <alignment horizontal="left" vertical="center"/>
    </xf>
    <xf numFmtId="166" fontId="19" fillId="0" borderId="2" xfId="1" applyNumberFormat="1" applyFont="1" applyFill="1" applyBorder="1" applyAlignment="1" applyProtection="1">
      <alignment horizontal="left" vertical="center"/>
    </xf>
    <xf numFmtId="164" fontId="19" fillId="6" borderId="2" xfId="1" applyNumberFormat="1" applyFont="1" applyFill="1" applyBorder="1" applyAlignment="1" applyProtection="1">
      <alignment horizontal="left" vertical="top"/>
    </xf>
    <xf numFmtId="9" fontId="19" fillId="6" borderId="2" xfId="1" applyNumberFormat="1" applyFont="1" applyFill="1" applyBorder="1" applyAlignment="1" applyProtection="1">
      <alignment horizontal="left" vertical="top"/>
    </xf>
    <xf numFmtId="166" fontId="20" fillId="6" borderId="2" xfId="1" applyNumberFormat="1" applyFont="1" applyFill="1" applyBorder="1" applyAlignment="1" applyProtection="1">
      <alignment horizontal="left" vertical="center"/>
    </xf>
    <xf numFmtId="166" fontId="20" fillId="0" borderId="2" xfId="1" applyNumberFormat="1" applyFont="1" applyFill="1" applyBorder="1" applyAlignment="1" applyProtection="1">
      <alignment horizontal="left" vertical="center"/>
    </xf>
    <xf numFmtId="0" fontId="16" fillId="6" borderId="0" xfId="3" applyFont="1" applyFill="1" applyBorder="1" applyAlignment="1">
      <alignment horizontal="left" vertical="top" wrapText="1"/>
    </xf>
    <xf numFmtId="166" fontId="18" fillId="6" borderId="2" xfId="1" applyNumberFormat="1" applyFont="1" applyFill="1" applyBorder="1" applyAlignment="1" applyProtection="1">
      <alignment horizontal="left" vertical="center"/>
    </xf>
    <xf numFmtId="166" fontId="18" fillId="0" borderId="2" xfId="1" applyNumberFormat="1" applyFont="1" applyFill="1" applyBorder="1" applyAlignment="1" applyProtection="1">
      <alignment horizontal="left" vertical="center"/>
    </xf>
    <xf numFmtId="164" fontId="18" fillId="6" borderId="2" xfId="1" applyNumberFormat="1" applyFont="1" applyFill="1" applyBorder="1" applyAlignment="1" applyProtection="1">
      <alignment horizontal="left" vertical="top"/>
    </xf>
    <xf numFmtId="9" fontId="18" fillId="6" borderId="2" xfId="1" applyNumberFormat="1" applyFont="1" applyFill="1" applyBorder="1" applyAlignment="1" applyProtection="1">
      <alignment horizontal="left" vertical="top"/>
    </xf>
    <xf numFmtId="0" fontId="21" fillId="6" borderId="0" xfId="3" applyFont="1" applyFill="1" applyBorder="1" applyAlignment="1">
      <alignment horizontal="left" vertical="top" wrapText="1"/>
    </xf>
    <xf numFmtId="0" fontId="21" fillId="0" borderId="0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0" xfId="0" applyFont="1" applyAlignment="1">
      <alignment horizontal="left"/>
    </xf>
    <xf numFmtId="0" fontId="15" fillId="6" borderId="2" xfId="3" applyFont="1" applyFill="1" applyBorder="1" applyAlignment="1">
      <alignment horizontal="left" vertical="top" wrapText="1"/>
    </xf>
    <xf numFmtId="165" fontId="18" fillId="8" borderId="2" xfId="1" applyFont="1" applyFill="1" applyBorder="1" applyAlignment="1" applyProtection="1">
      <alignment horizontal="left" vertical="top" wrapText="1"/>
    </xf>
    <xf numFmtId="0" fontId="19" fillId="8" borderId="2" xfId="0" applyNumberFormat="1" applyFont="1" applyFill="1" applyBorder="1" applyAlignment="1">
      <alignment horizontal="left"/>
    </xf>
    <xf numFmtId="167" fontId="18" fillId="8" borderId="2" xfId="1" applyNumberFormat="1" applyFont="1" applyFill="1" applyBorder="1" applyAlignment="1" applyProtection="1">
      <alignment horizontal="left" vertical="top"/>
    </xf>
    <xf numFmtId="0" fontId="19" fillId="0" borderId="2" xfId="0" applyNumberFormat="1" applyFont="1" applyFill="1" applyBorder="1" applyAlignment="1">
      <alignment horizontal="left"/>
    </xf>
    <xf numFmtId="164" fontId="18" fillId="0" borderId="2" xfId="1" applyNumberFormat="1" applyFont="1" applyFill="1" applyBorder="1" applyAlignment="1" applyProtection="1">
      <alignment horizontal="left" vertical="center"/>
    </xf>
    <xf numFmtId="10" fontId="19" fillId="0" borderId="2" xfId="1" applyNumberFormat="1" applyFont="1" applyFill="1" applyBorder="1" applyAlignment="1" applyProtection="1">
      <alignment horizontal="left" vertical="top"/>
    </xf>
    <xf numFmtId="164" fontId="19" fillId="8" borderId="2" xfId="1" applyNumberFormat="1" applyFont="1" applyFill="1" applyBorder="1" applyAlignment="1" applyProtection="1">
      <alignment horizontal="left" vertical="top"/>
    </xf>
    <xf numFmtId="164" fontId="19" fillId="0" borderId="2" xfId="1" applyNumberFormat="1" applyFont="1" applyFill="1" applyBorder="1" applyAlignment="1" applyProtection="1">
      <alignment horizontal="left" vertical="top"/>
    </xf>
    <xf numFmtId="2" fontId="19" fillId="8" borderId="2" xfId="5" applyNumberFormat="1" applyFont="1" applyFill="1" applyBorder="1" applyAlignment="1" applyProtection="1">
      <alignment horizontal="left" vertical="top"/>
    </xf>
    <xf numFmtId="165" fontId="19" fillId="8" borderId="2" xfId="5" applyNumberFormat="1" applyFont="1" applyFill="1" applyBorder="1" applyAlignment="1" applyProtection="1">
      <alignment horizontal="left" vertical="top"/>
    </xf>
    <xf numFmtId="166" fontId="20" fillId="11" borderId="2" xfId="1" applyNumberFormat="1" applyFont="1" applyFill="1" applyBorder="1" applyAlignment="1" applyProtection="1">
      <alignment horizontal="left" vertical="center"/>
    </xf>
    <xf numFmtId="166" fontId="19" fillId="11" borderId="2" xfId="1" applyNumberFormat="1" applyFont="1" applyFill="1" applyBorder="1" applyAlignment="1" applyProtection="1">
      <alignment horizontal="left" vertical="center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38"/>
  <sheetViews>
    <sheetView tabSelected="1" topLeftCell="A15" zoomScale="107" zoomScaleNormal="107" workbookViewId="0">
      <selection activeCell="A12" sqref="A12"/>
    </sheetView>
  </sheetViews>
  <sheetFormatPr defaultColWidth="31.28515625" defaultRowHeight="14.25"/>
  <cols>
    <col min="1" max="1" width="38" style="54" customWidth="1"/>
    <col min="2" max="2" width="12.42578125" style="54" customWidth="1"/>
    <col min="3" max="3" width="12" style="54" customWidth="1"/>
    <col min="4" max="4" width="14.140625" style="54" customWidth="1"/>
    <col min="5" max="5" width="14.7109375" style="54" customWidth="1"/>
    <col min="6" max="6" width="17.85546875" style="54" customWidth="1"/>
    <col min="7" max="7" width="33.140625" style="54" customWidth="1"/>
    <col min="8" max="8" width="27.28515625" style="54" customWidth="1"/>
    <col min="9" max="9" width="21.140625" style="54" customWidth="1"/>
    <col min="10" max="10" width="14.5703125" style="54" customWidth="1"/>
    <col min="11" max="12" width="13.140625" style="54" customWidth="1"/>
    <col min="13" max="13" width="13.5703125" style="54" customWidth="1"/>
    <col min="14" max="14" width="14.140625" style="54" customWidth="1"/>
    <col min="15" max="15" width="11.85546875" style="54" customWidth="1"/>
    <col min="16" max="16" width="12" style="54" customWidth="1"/>
    <col min="17" max="17" width="11" style="54" customWidth="1"/>
    <col min="18" max="18" width="11.5703125" style="54" customWidth="1"/>
    <col min="19" max="19" width="12" style="54" customWidth="1"/>
    <col min="20" max="237" width="31.28515625" style="54"/>
    <col min="238" max="245" width="31.28515625" style="55"/>
    <col min="246" max="247" width="31.28515625" style="56"/>
    <col min="248" max="16384" width="31.28515625" style="57"/>
  </cols>
  <sheetData>
    <row r="1" spans="1:7" ht="12.75" customHeight="1">
      <c r="A1" s="52" t="s">
        <v>52</v>
      </c>
      <c r="B1" s="53"/>
      <c r="C1" s="53"/>
      <c r="D1" s="52"/>
      <c r="E1" s="52"/>
      <c r="F1" s="52"/>
    </row>
    <row r="2" spans="1:7" ht="12.75" customHeight="1">
      <c r="A2" s="48" t="s">
        <v>52</v>
      </c>
      <c r="B2" s="58" t="s">
        <v>46</v>
      </c>
      <c r="C2" s="58" t="s">
        <v>0</v>
      </c>
      <c r="D2" s="58" t="s">
        <v>1</v>
      </c>
      <c r="E2" s="59" t="s">
        <v>2</v>
      </c>
      <c r="F2" s="58" t="s">
        <v>3</v>
      </c>
    </row>
    <row r="3" spans="1:7" ht="12.75" customHeight="1">
      <c r="A3" s="49" t="s">
        <v>47</v>
      </c>
      <c r="B3" s="87">
        <v>212704.48</v>
      </c>
      <c r="C3" s="61">
        <v>171493.07</v>
      </c>
      <c r="D3" s="62">
        <f>AVERAGE(B3:C3)</f>
        <v>192098.77500000002</v>
      </c>
      <c r="E3" s="63">
        <v>1</v>
      </c>
      <c r="F3" s="62">
        <f t="shared" ref="F3:F11" si="0">E3*D3</f>
        <v>192098.77500000002</v>
      </c>
    </row>
    <row r="4" spans="1:7" ht="12.75" customHeight="1">
      <c r="A4" s="49" t="s">
        <v>48</v>
      </c>
      <c r="B4" s="87">
        <v>3738161</v>
      </c>
      <c r="C4" s="61">
        <v>4472241</v>
      </c>
      <c r="D4" s="62">
        <f t="shared" ref="D4:D11" si="1">AVERAGE(B4:C4)</f>
        <v>4105201</v>
      </c>
      <c r="E4" s="63">
        <v>1</v>
      </c>
      <c r="F4" s="62">
        <f t="shared" si="0"/>
        <v>4105201</v>
      </c>
    </row>
    <row r="5" spans="1:7" ht="12.75" customHeight="1">
      <c r="A5" s="49" t="s">
        <v>56</v>
      </c>
      <c r="B5" s="64">
        <f>3056332-1934911</f>
        <v>1121421</v>
      </c>
      <c r="C5" s="65">
        <f>2247+2217+2052+575+2033+2021+1972+1920+1836+94.64+590+590+590+1982+334+590+1648+33.28+1478+1649+135+16898+16788+329+15572+15889+15511+14534+14193+13517+13946+13570+11897+12563+675+52224+150+53746+51591+52284+52388+50789+590+51262+590+49502+590+50957+48677+590+44340+194+48338+99+25066+24885+309+23411+23931+23260+21624+22148+21520+21750+19940+17386+18205+33693+1123+212+34322+32264+31700+31773+30931+30084+28589+28911+26539+24176+26366</f>
        <v>1435487.92</v>
      </c>
      <c r="D5" s="62">
        <f t="shared" si="1"/>
        <v>1278454.46</v>
      </c>
      <c r="E5" s="63">
        <v>1</v>
      </c>
      <c r="F5" s="62">
        <f t="shared" ref="F5" si="2">E5*D5</f>
        <v>1278454.46</v>
      </c>
    </row>
    <row r="6" spans="1:7" ht="12.75" customHeight="1">
      <c r="A6" s="49" t="s">
        <v>54</v>
      </c>
      <c r="B6" s="64">
        <v>364037</v>
      </c>
      <c r="C6" s="65">
        <v>315056</v>
      </c>
      <c r="D6" s="62">
        <f t="shared" ref="D6:D9" si="3">AVERAGE(B6:C6)</f>
        <v>339546.5</v>
      </c>
      <c r="E6" s="63">
        <v>0</v>
      </c>
      <c r="F6" s="62">
        <f t="shared" ref="F6:F9" si="4">E6*D6</f>
        <v>0</v>
      </c>
      <c r="G6" s="66" t="s">
        <v>96</v>
      </c>
    </row>
    <row r="7" spans="1:7" ht="12.75" customHeight="1">
      <c r="A7" s="49" t="s">
        <v>53</v>
      </c>
      <c r="B7" s="87">
        <v>1199594</v>
      </c>
      <c r="C7" s="61">
        <v>1167891</v>
      </c>
      <c r="D7" s="62">
        <f t="shared" ref="D7:D8" si="5">AVERAGE(B7:C7)</f>
        <v>1183742.5</v>
      </c>
      <c r="E7" s="63">
        <v>0</v>
      </c>
      <c r="F7" s="62">
        <f t="shared" ref="F7:F8" si="6">E7*D7</f>
        <v>0</v>
      </c>
    </row>
    <row r="8" spans="1:7" ht="12.75" customHeight="1">
      <c r="A8" s="49" t="s">
        <v>55</v>
      </c>
      <c r="B8" s="87">
        <v>300000</v>
      </c>
      <c r="C8" s="61">
        <v>300000</v>
      </c>
      <c r="D8" s="62">
        <f t="shared" si="5"/>
        <v>300000</v>
      </c>
      <c r="E8" s="63">
        <v>0</v>
      </c>
      <c r="F8" s="62">
        <f t="shared" si="6"/>
        <v>0</v>
      </c>
    </row>
    <row r="9" spans="1:7" ht="12.75" customHeight="1">
      <c r="A9" s="49" t="s">
        <v>51</v>
      </c>
      <c r="B9" s="87">
        <f>(436308+300000+763286)</f>
        <v>1499594</v>
      </c>
      <c r="C9" s="61">
        <f>(477700+180000+690191+120000+109677)</f>
        <v>1577568</v>
      </c>
      <c r="D9" s="62">
        <f t="shared" si="3"/>
        <v>1538581</v>
      </c>
      <c r="E9" s="63">
        <v>1</v>
      </c>
      <c r="F9" s="62">
        <f t="shared" si="4"/>
        <v>1538581</v>
      </c>
    </row>
    <row r="10" spans="1:7" ht="12.75" customHeight="1">
      <c r="A10" s="49" t="s">
        <v>49</v>
      </c>
      <c r="B10" s="86">
        <f>(19784+17597+42222)</f>
        <v>79603</v>
      </c>
      <c r="C10" s="61">
        <v>0</v>
      </c>
      <c r="D10" s="62">
        <f t="shared" ref="D10" si="7">AVERAGE(B10:C10)</f>
        <v>39801.5</v>
      </c>
      <c r="E10" s="63">
        <v>0.5</v>
      </c>
      <c r="F10" s="62">
        <f t="shared" ref="F10" si="8">E10*D10</f>
        <v>19900.75</v>
      </c>
    </row>
    <row r="11" spans="1:7" ht="12.75" customHeight="1">
      <c r="A11" s="49" t="s">
        <v>4</v>
      </c>
      <c r="B11" s="86">
        <v>-93398</v>
      </c>
      <c r="C11" s="60">
        <v>-53945</v>
      </c>
      <c r="D11" s="62">
        <f t="shared" si="1"/>
        <v>-73671.5</v>
      </c>
      <c r="E11" s="63">
        <v>1</v>
      </c>
      <c r="F11" s="62">
        <f t="shared" si="0"/>
        <v>-73671.5</v>
      </c>
    </row>
    <row r="12" spans="1:7" ht="12.75" customHeight="1">
      <c r="A12" s="48" t="s">
        <v>57</v>
      </c>
      <c r="B12" s="58" t="s">
        <v>46</v>
      </c>
      <c r="C12" s="58" t="s">
        <v>0</v>
      </c>
      <c r="D12" s="58" t="s">
        <v>1</v>
      </c>
      <c r="E12" s="59" t="s">
        <v>2</v>
      </c>
      <c r="F12" s="58" t="s">
        <v>3</v>
      </c>
    </row>
    <row r="13" spans="1:7" ht="12.75" customHeight="1">
      <c r="A13" s="49" t="s">
        <v>47</v>
      </c>
      <c r="B13" s="60">
        <v>114236.78</v>
      </c>
      <c r="C13" s="61">
        <v>115450.28</v>
      </c>
      <c r="D13" s="62">
        <f>AVERAGE(B13:C13)</f>
        <v>114843.53</v>
      </c>
      <c r="E13" s="63">
        <v>1</v>
      </c>
      <c r="F13" s="62">
        <f t="shared" ref="F13" si="9">E13*D13</f>
        <v>114843.53</v>
      </c>
    </row>
    <row r="14" spans="1:7" ht="12.75" customHeight="1">
      <c r="A14" s="49" t="s">
        <v>58</v>
      </c>
      <c r="B14" s="60">
        <f>(262000+375000+57750)</f>
        <v>694750</v>
      </c>
      <c r="C14" s="61">
        <f>122250+180750+214250</f>
        <v>517250</v>
      </c>
      <c r="D14" s="62">
        <f t="shared" ref="D14" si="10">AVERAGE(B14:C14)</f>
        <v>606000</v>
      </c>
      <c r="E14" s="63">
        <v>0.5</v>
      </c>
      <c r="F14" s="62">
        <f t="shared" ref="F14" si="11">E14*D14</f>
        <v>303000</v>
      </c>
    </row>
    <row r="15" spans="1:7" ht="12.75" customHeight="1">
      <c r="A15" s="49" t="s">
        <v>113</v>
      </c>
      <c r="B15" s="60">
        <v>0</v>
      </c>
      <c r="C15" s="61">
        <v>17300</v>
      </c>
      <c r="D15" s="62">
        <f t="shared" ref="D15" si="12">AVERAGE(B15:C15)</f>
        <v>8650</v>
      </c>
      <c r="E15" s="63">
        <v>0.5</v>
      </c>
      <c r="F15" s="62">
        <f t="shared" ref="F15" si="13">E15*D15</f>
        <v>4325</v>
      </c>
    </row>
    <row r="16" spans="1:7" ht="12.75" customHeight="1">
      <c r="A16" s="49" t="s">
        <v>59</v>
      </c>
      <c r="B16" s="60">
        <v>34149</v>
      </c>
      <c r="C16" s="61">
        <v>52825</v>
      </c>
      <c r="D16" s="62">
        <f t="shared" ref="D16" si="14">AVERAGE(B16:C16)</f>
        <v>43487</v>
      </c>
      <c r="E16" s="63">
        <v>0.5</v>
      </c>
      <c r="F16" s="62">
        <f t="shared" ref="F16" si="15">E16*D16</f>
        <v>21743.5</v>
      </c>
    </row>
    <row r="17" spans="1:247" ht="12.75" customHeight="1">
      <c r="A17" s="49" t="s">
        <v>4</v>
      </c>
      <c r="B17" s="60">
        <v>-21108</v>
      </c>
      <c r="C17" s="60">
        <v>-7246</v>
      </c>
      <c r="D17" s="62">
        <f t="shared" ref="D17" si="16">AVERAGE(B17:C17)</f>
        <v>-14177</v>
      </c>
      <c r="E17" s="63">
        <v>1</v>
      </c>
      <c r="F17" s="62">
        <f t="shared" ref="F17" si="17">E17*D17</f>
        <v>-14177</v>
      </c>
    </row>
    <row r="18" spans="1:247" ht="12.75" customHeight="1">
      <c r="A18" s="48" t="s">
        <v>60</v>
      </c>
      <c r="B18" s="58" t="s">
        <v>46</v>
      </c>
      <c r="C18" s="58" t="s">
        <v>0</v>
      </c>
      <c r="D18" s="58" t="s">
        <v>1</v>
      </c>
      <c r="E18" s="59" t="s">
        <v>2</v>
      </c>
      <c r="F18" s="58" t="s">
        <v>3</v>
      </c>
    </row>
    <row r="19" spans="1:247" ht="12.75" customHeight="1">
      <c r="A19" s="49" t="s">
        <v>49</v>
      </c>
      <c r="B19" s="60">
        <v>125000</v>
      </c>
      <c r="C19" s="61">
        <f>634+46667</f>
        <v>47301</v>
      </c>
      <c r="D19" s="62">
        <f t="shared" ref="D19:D20" si="18">AVERAGE(B19:C19)</f>
        <v>86150.5</v>
      </c>
      <c r="E19" s="63">
        <v>0.5</v>
      </c>
      <c r="F19" s="62">
        <f t="shared" ref="F19:F20" si="19">E19*D19</f>
        <v>43075.25</v>
      </c>
    </row>
    <row r="20" spans="1:247" ht="12.75" customHeight="1">
      <c r="A20" s="49" t="s">
        <v>4</v>
      </c>
      <c r="B20" s="60">
        <v>-41899</v>
      </c>
      <c r="C20" s="60">
        <v>-59210</v>
      </c>
      <c r="D20" s="62">
        <f t="shared" si="18"/>
        <v>-50554.5</v>
      </c>
      <c r="E20" s="63">
        <v>1</v>
      </c>
      <c r="F20" s="62">
        <f t="shared" si="19"/>
        <v>-50554.5</v>
      </c>
    </row>
    <row r="21" spans="1:247" ht="12.75" customHeight="1">
      <c r="A21" s="48" t="s">
        <v>61</v>
      </c>
      <c r="B21" s="58" t="s">
        <v>46</v>
      </c>
      <c r="C21" s="58" t="s">
        <v>0</v>
      </c>
      <c r="D21" s="58" t="s">
        <v>1</v>
      </c>
      <c r="E21" s="59" t="s">
        <v>2</v>
      </c>
      <c r="F21" s="58" t="s">
        <v>3</v>
      </c>
    </row>
    <row r="22" spans="1:247" s="74" customFormat="1" ht="12.75" customHeight="1">
      <c r="A22" s="50" t="s">
        <v>76</v>
      </c>
      <c r="B22" s="67">
        <v>296898</v>
      </c>
      <c r="C22" s="68">
        <v>313212</v>
      </c>
      <c r="D22" s="69">
        <f t="shared" ref="D22" si="20">AVERAGE(B22:C22)</f>
        <v>305055</v>
      </c>
      <c r="E22" s="70">
        <v>0</v>
      </c>
      <c r="F22" s="69">
        <f t="shared" ref="F22" si="21">E22*D22</f>
        <v>0</v>
      </c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1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  <c r="DY22" s="71"/>
      <c r="DZ22" s="71"/>
      <c r="EA22" s="71"/>
      <c r="EB22" s="71"/>
      <c r="EC22" s="71"/>
      <c r="ED22" s="71"/>
      <c r="EE22" s="71"/>
      <c r="EF22" s="71"/>
      <c r="EG22" s="71"/>
      <c r="EH22" s="71"/>
      <c r="EI22" s="71"/>
      <c r="EJ22" s="71"/>
      <c r="EK22" s="71"/>
      <c r="EL22" s="71"/>
      <c r="EM22" s="71"/>
      <c r="EN22" s="71"/>
      <c r="EO22" s="71"/>
      <c r="EP22" s="71"/>
      <c r="EQ22" s="71"/>
      <c r="ER22" s="71"/>
      <c r="ES22" s="71"/>
      <c r="ET22" s="71"/>
      <c r="EU22" s="71"/>
      <c r="EV22" s="71"/>
      <c r="EW22" s="71"/>
      <c r="EX22" s="71"/>
      <c r="EY22" s="71"/>
      <c r="EZ22" s="71"/>
      <c r="FA22" s="71"/>
      <c r="FB22" s="71"/>
      <c r="FC22" s="71"/>
      <c r="FD22" s="71"/>
      <c r="FE22" s="71"/>
      <c r="FF22" s="71"/>
      <c r="FG22" s="71"/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71"/>
      <c r="FS22" s="71"/>
      <c r="FT22" s="71"/>
      <c r="FU22" s="71"/>
      <c r="FV22" s="71"/>
      <c r="FW22" s="71"/>
      <c r="FX22" s="71"/>
      <c r="FY22" s="71"/>
      <c r="FZ22" s="71"/>
      <c r="GA22" s="71"/>
      <c r="GB22" s="71"/>
      <c r="GC22" s="71"/>
      <c r="GD22" s="71"/>
      <c r="GE22" s="71"/>
      <c r="GF22" s="71"/>
      <c r="GG22" s="71"/>
      <c r="GH22" s="71"/>
      <c r="GI22" s="71"/>
      <c r="GJ22" s="71"/>
      <c r="GK22" s="71"/>
      <c r="GL22" s="71"/>
      <c r="GM22" s="71"/>
      <c r="GN22" s="71"/>
      <c r="GO22" s="71"/>
      <c r="GP22" s="71"/>
      <c r="GQ22" s="71"/>
      <c r="GR22" s="71"/>
      <c r="GS22" s="71"/>
      <c r="GT22" s="71"/>
      <c r="GU22" s="71"/>
      <c r="GV22" s="71"/>
      <c r="GW22" s="71"/>
      <c r="GX22" s="71"/>
      <c r="GY22" s="71"/>
      <c r="GZ22" s="71"/>
      <c r="HA22" s="71"/>
      <c r="HB22" s="71"/>
      <c r="HC22" s="71"/>
      <c r="HD22" s="71"/>
      <c r="HE22" s="71"/>
      <c r="HF22" s="71"/>
      <c r="HG22" s="71"/>
      <c r="HH22" s="71"/>
      <c r="HI22" s="71"/>
      <c r="HJ22" s="71"/>
      <c r="HK22" s="71"/>
      <c r="HL22" s="71"/>
      <c r="HM22" s="71"/>
      <c r="HN22" s="71"/>
      <c r="HO22" s="71"/>
      <c r="HP22" s="71"/>
      <c r="HQ22" s="71"/>
      <c r="HR22" s="71"/>
      <c r="HS22" s="71"/>
      <c r="HT22" s="71"/>
      <c r="HU22" s="71"/>
      <c r="HV22" s="71"/>
      <c r="HW22" s="71"/>
      <c r="HX22" s="71"/>
      <c r="HY22" s="71"/>
      <c r="HZ22" s="71"/>
      <c r="IA22" s="71"/>
      <c r="IB22" s="71"/>
      <c r="IC22" s="71"/>
      <c r="ID22" s="72"/>
      <c r="IE22" s="72"/>
      <c r="IF22" s="72"/>
      <c r="IG22" s="72"/>
      <c r="IH22" s="72"/>
      <c r="II22" s="72"/>
      <c r="IJ22" s="72"/>
      <c r="IK22" s="72"/>
      <c r="IL22" s="73"/>
      <c r="IM22" s="73"/>
    </row>
    <row r="23" spans="1:247" ht="12.75" customHeight="1">
      <c r="A23" s="49" t="s">
        <v>49</v>
      </c>
      <c r="B23" s="60">
        <v>5598</v>
      </c>
      <c r="C23" s="61">
        <v>0</v>
      </c>
      <c r="D23" s="62">
        <f t="shared" ref="D23:D24" si="22">AVERAGE(B23:C23)</f>
        <v>2799</v>
      </c>
      <c r="E23" s="63">
        <v>0.5</v>
      </c>
      <c r="F23" s="62">
        <f t="shared" ref="F23:F24" si="23">E23*D23</f>
        <v>1399.5</v>
      </c>
      <c r="H23" s="75" t="s">
        <v>99</v>
      </c>
      <c r="I23" s="75" t="s">
        <v>100</v>
      </c>
      <c r="J23" s="54" t="s">
        <v>109</v>
      </c>
    </row>
    <row r="24" spans="1:247" ht="12.75" customHeight="1">
      <c r="A24" s="49" t="s">
        <v>4</v>
      </c>
      <c r="B24" s="60">
        <v>-10559</v>
      </c>
      <c r="C24" s="60">
        <v>-88302</v>
      </c>
      <c r="D24" s="62">
        <f t="shared" si="22"/>
        <v>-49430.5</v>
      </c>
      <c r="E24" s="63">
        <v>1</v>
      </c>
      <c r="F24" s="62">
        <f t="shared" si="23"/>
        <v>-49430.5</v>
      </c>
      <c r="H24" s="75" t="s">
        <v>101</v>
      </c>
      <c r="I24" s="75"/>
    </row>
    <row r="25" spans="1:247" ht="12.75" customHeight="1">
      <c r="A25" s="48" t="s">
        <v>62</v>
      </c>
      <c r="B25" s="58" t="s">
        <v>46</v>
      </c>
      <c r="C25" s="58" t="s">
        <v>0</v>
      </c>
      <c r="D25" s="58" t="s">
        <v>1</v>
      </c>
      <c r="E25" s="59" t="s">
        <v>2</v>
      </c>
      <c r="F25" s="58" t="s">
        <v>3</v>
      </c>
      <c r="H25" s="75" t="s">
        <v>62</v>
      </c>
      <c r="I25" s="75"/>
    </row>
    <row r="26" spans="1:247" ht="12.75" customHeight="1">
      <c r="A26" s="49" t="s">
        <v>58</v>
      </c>
      <c r="B26" s="60">
        <f>262000+375000+57750</f>
        <v>694750</v>
      </c>
      <c r="C26" s="61">
        <f>122250+180750+214250</f>
        <v>517250</v>
      </c>
      <c r="D26" s="62">
        <f t="shared" ref="D26:D29" si="24">AVERAGE(B26:C26)</f>
        <v>606000</v>
      </c>
      <c r="E26" s="63">
        <v>0.5</v>
      </c>
      <c r="F26" s="62">
        <f t="shared" ref="F26:F29" si="25">E26*D26</f>
        <v>303000</v>
      </c>
      <c r="H26" s="75" t="s">
        <v>102</v>
      </c>
      <c r="I26" s="75" t="s">
        <v>100</v>
      </c>
      <c r="J26" s="54" t="s">
        <v>108</v>
      </c>
    </row>
    <row r="27" spans="1:247" ht="12.75" customHeight="1">
      <c r="A27" s="49" t="s">
        <v>49</v>
      </c>
      <c r="B27" s="60">
        <v>7267</v>
      </c>
      <c r="C27" s="61">
        <v>50188</v>
      </c>
      <c r="D27" s="62">
        <f t="shared" ref="D27" si="26">AVERAGE(B27:C27)</f>
        <v>28727.5</v>
      </c>
      <c r="E27" s="63">
        <v>0.5</v>
      </c>
      <c r="F27" s="62">
        <f t="shared" ref="F27" si="27">E27*D27</f>
        <v>14363.75</v>
      </c>
      <c r="H27" s="75" t="s">
        <v>103</v>
      </c>
      <c r="I27" s="75"/>
    </row>
    <row r="28" spans="1:247" ht="12.75" customHeight="1">
      <c r="A28" s="49" t="s">
        <v>63</v>
      </c>
      <c r="B28" s="60">
        <v>0</v>
      </c>
      <c r="C28" s="61">
        <v>88984</v>
      </c>
      <c r="D28" s="62">
        <f t="shared" si="24"/>
        <v>44492</v>
      </c>
      <c r="E28" s="63">
        <v>0</v>
      </c>
      <c r="F28" s="62">
        <f t="shared" si="25"/>
        <v>0</v>
      </c>
      <c r="H28" s="75" t="s">
        <v>104</v>
      </c>
      <c r="I28" s="75"/>
    </row>
    <row r="29" spans="1:247" ht="12.75" customHeight="1">
      <c r="A29" s="49" t="s">
        <v>4</v>
      </c>
      <c r="B29" s="60">
        <v>-8718</v>
      </c>
      <c r="C29" s="60">
        <v>-1358</v>
      </c>
      <c r="D29" s="62">
        <f t="shared" si="24"/>
        <v>-5038</v>
      </c>
      <c r="E29" s="63">
        <v>1</v>
      </c>
      <c r="F29" s="62">
        <f t="shared" si="25"/>
        <v>-5038</v>
      </c>
      <c r="H29" s="75" t="s">
        <v>105</v>
      </c>
      <c r="I29" s="75" t="s">
        <v>106</v>
      </c>
      <c r="J29" s="54" t="s">
        <v>107</v>
      </c>
    </row>
    <row r="30" spans="1:247" ht="12.75" customHeight="1">
      <c r="A30" s="76" t="s">
        <v>5</v>
      </c>
      <c r="B30" s="77"/>
      <c r="C30" s="77"/>
      <c r="D30" s="77"/>
      <c r="E30" s="77"/>
      <c r="F30" s="78">
        <f>+SUM(F3:F29)</f>
        <v>7747115.0150000006</v>
      </c>
    </row>
    <row r="31" spans="1:247" ht="12.75" customHeight="1">
      <c r="A31" s="51" t="s">
        <v>6</v>
      </c>
      <c r="B31" s="79"/>
      <c r="C31" s="79"/>
      <c r="D31" s="79"/>
      <c r="E31" s="79"/>
      <c r="F31" s="78">
        <f>F30/12</f>
        <v>645592.91791666672</v>
      </c>
    </row>
    <row r="32" spans="1:247" ht="12.75" customHeight="1">
      <c r="A32" s="51" t="s">
        <v>7</v>
      </c>
      <c r="B32" s="79"/>
      <c r="C32" s="79"/>
      <c r="D32" s="79"/>
      <c r="E32" s="79"/>
      <c r="F32" s="62">
        <f>RTR!L12</f>
        <v>499034</v>
      </c>
      <c r="I32" s="54" t="s">
        <v>111</v>
      </c>
      <c r="J32" s="54">
        <v>2019</v>
      </c>
    </row>
    <row r="33" spans="1:247" ht="12.75" customHeight="1">
      <c r="A33" s="51" t="s">
        <v>98</v>
      </c>
      <c r="B33" s="80"/>
      <c r="C33" s="80"/>
      <c r="D33" s="80"/>
      <c r="E33" s="80"/>
      <c r="F33" s="81">
        <v>1</v>
      </c>
      <c r="H33" s="75" t="s">
        <v>110</v>
      </c>
      <c r="I33" s="75">
        <v>57414971</v>
      </c>
      <c r="J33" s="75">
        <v>95197563</v>
      </c>
    </row>
    <row r="34" spans="1:247" ht="12.75" customHeight="1">
      <c r="A34" s="51" t="s">
        <v>8</v>
      </c>
      <c r="B34" s="79"/>
      <c r="C34" s="79"/>
      <c r="D34" s="79"/>
      <c r="E34" s="79"/>
      <c r="F34" s="82">
        <f>(F31*F33)-F32</f>
        <v>146558.91791666672</v>
      </c>
      <c r="H34" s="75" t="s">
        <v>112</v>
      </c>
      <c r="I34" s="75">
        <v>2305990</v>
      </c>
      <c r="J34" s="75">
        <v>2367541</v>
      </c>
    </row>
    <row r="35" spans="1:247" ht="12.75" customHeight="1">
      <c r="A35" s="51" t="s">
        <v>9</v>
      </c>
      <c r="B35" s="79"/>
      <c r="C35" s="79"/>
      <c r="D35" s="79"/>
      <c r="E35" s="79"/>
      <c r="F35" s="83">
        <v>180</v>
      </c>
      <c r="IB35" s="55"/>
      <c r="IC35" s="55"/>
      <c r="IJ35" s="56"/>
      <c r="IK35" s="56"/>
      <c r="IL35" s="57"/>
      <c r="IM35" s="57"/>
    </row>
    <row r="36" spans="1:247" ht="12.75" customHeight="1">
      <c r="A36" s="51" t="s">
        <v>10</v>
      </c>
      <c r="B36" s="79"/>
      <c r="C36" s="79"/>
      <c r="D36" s="79"/>
      <c r="E36" s="79"/>
      <c r="F36" s="81">
        <v>9.5000000000000001E-2</v>
      </c>
      <c r="IB36" s="55"/>
      <c r="IC36" s="55"/>
      <c r="IJ36" s="56"/>
      <c r="IK36" s="56"/>
      <c r="IL36" s="57"/>
      <c r="IM36" s="57"/>
    </row>
    <row r="37" spans="1:247" ht="12.75" customHeight="1">
      <c r="A37" s="51" t="s">
        <v>11</v>
      </c>
      <c r="B37" s="79"/>
      <c r="C37" s="79"/>
      <c r="D37" s="79"/>
      <c r="E37" s="79"/>
      <c r="F37" s="84">
        <f>PMT(F36/12,F35,-100000)</f>
        <v>1044.2246828637926</v>
      </c>
      <c r="IB37" s="55"/>
      <c r="IC37" s="55"/>
      <c r="IJ37" s="56"/>
      <c r="IK37" s="56"/>
      <c r="IL37" s="57"/>
      <c r="IM37" s="57"/>
    </row>
    <row r="38" spans="1:247" ht="12.75" customHeight="1">
      <c r="A38" s="51" t="s">
        <v>12</v>
      </c>
      <c r="B38" s="79"/>
      <c r="C38" s="79"/>
      <c r="D38" s="79"/>
      <c r="E38" s="79"/>
      <c r="F38" s="85">
        <f>F34/F37</f>
        <v>140.35189966466601</v>
      </c>
      <c r="IB38" s="55"/>
      <c r="IC38" s="55"/>
      <c r="IJ38" s="56"/>
      <c r="IK38" s="56"/>
      <c r="IL38" s="57"/>
      <c r="IM38" s="57"/>
    </row>
  </sheetData>
  <sheetProtection selectLockedCells="1" selectUnlockedCells="1"/>
  <mergeCells count="10">
    <mergeCell ref="B34:E34"/>
    <mergeCell ref="B35:E35"/>
    <mergeCell ref="B36:E36"/>
    <mergeCell ref="B37:E37"/>
    <mergeCell ref="B38:E38"/>
    <mergeCell ref="B1:C1"/>
    <mergeCell ref="B30:E30"/>
    <mergeCell ref="B31:E31"/>
    <mergeCell ref="B32:E32"/>
    <mergeCell ref="B33:E33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23"/>
  <sheetViews>
    <sheetView zoomScale="89" zoomScaleNormal="89" workbookViewId="0">
      <selection activeCell="F3" sqref="F3"/>
    </sheetView>
  </sheetViews>
  <sheetFormatPr defaultColWidth="22.140625" defaultRowHeight="13.5"/>
  <cols>
    <col min="1" max="1" width="4" style="20" bestFit="1" customWidth="1"/>
    <col min="2" max="2" width="18.85546875" style="20" bestFit="1" customWidth="1"/>
    <col min="3" max="3" width="36.28515625" style="20" customWidth="1"/>
    <col min="4" max="4" width="12.42578125" style="20" bestFit="1" customWidth="1"/>
    <col min="5" max="5" width="10.85546875" style="20" bestFit="1" customWidth="1"/>
    <col min="6" max="6" width="10.140625" style="20" bestFit="1" customWidth="1"/>
    <col min="7" max="7" width="10.140625" style="20" customWidth="1"/>
    <col min="8" max="8" width="7.5703125" style="20" bestFit="1" customWidth="1"/>
    <col min="9" max="10" width="5" style="20" bestFit="1" customWidth="1"/>
    <col min="11" max="11" width="8.7109375" style="20" bestFit="1" customWidth="1"/>
    <col min="12" max="12" width="11.28515625" style="20" bestFit="1" customWidth="1"/>
    <col min="13" max="248" width="22.140625" style="20"/>
    <col min="249" max="16384" width="22.140625" style="21"/>
  </cols>
  <sheetData>
    <row r="1" spans="1:14" ht="27">
      <c r="A1" s="22" t="s">
        <v>13</v>
      </c>
      <c r="B1" s="22" t="s">
        <v>14</v>
      </c>
      <c r="C1" s="22" t="s">
        <v>15</v>
      </c>
      <c r="D1" s="22" t="s">
        <v>16</v>
      </c>
      <c r="E1" s="22" t="s">
        <v>17</v>
      </c>
      <c r="F1" s="22" t="s">
        <v>18</v>
      </c>
      <c r="G1" s="22" t="s">
        <v>69</v>
      </c>
      <c r="H1" s="22" t="s">
        <v>19</v>
      </c>
      <c r="I1" s="22" t="s">
        <v>20</v>
      </c>
      <c r="J1" s="22" t="s">
        <v>21</v>
      </c>
      <c r="K1" s="22" t="s">
        <v>22</v>
      </c>
      <c r="L1" s="22" t="s">
        <v>23</v>
      </c>
      <c r="M1" s="20" t="s">
        <v>77</v>
      </c>
    </row>
    <row r="2" spans="1:14" ht="15.75" customHeight="1">
      <c r="A2" s="23">
        <v>1</v>
      </c>
      <c r="B2" s="24">
        <v>16002735</v>
      </c>
      <c r="C2" s="23" t="s">
        <v>64</v>
      </c>
      <c r="D2" s="23" t="s">
        <v>65</v>
      </c>
      <c r="E2" s="24" t="s">
        <v>68</v>
      </c>
      <c r="F2" s="24">
        <v>9975576</v>
      </c>
      <c r="G2" s="25">
        <v>43345</v>
      </c>
      <c r="H2" s="26">
        <v>195</v>
      </c>
      <c r="I2" s="26">
        <v>23</v>
      </c>
      <c r="J2" s="26">
        <v>172</v>
      </c>
      <c r="K2" s="26">
        <v>98384</v>
      </c>
      <c r="L2" s="27" t="s">
        <v>75</v>
      </c>
      <c r="M2" s="20">
        <v>93.98</v>
      </c>
      <c r="N2" s="20" t="s">
        <v>78</v>
      </c>
    </row>
    <row r="3" spans="1:14">
      <c r="A3" s="23">
        <v>2</v>
      </c>
      <c r="B3" s="24">
        <v>14778708</v>
      </c>
      <c r="C3" s="23" t="s">
        <v>64</v>
      </c>
      <c r="D3" s="23" t="s">
        <v>65</v>
      </c>
      <c r="E3" s="24" t="s">
        <v>68</v>
      </c>
      <c r="F3" s="24">
        <v>3501749</v>
      </c>
      <c r="G3" s="25">
        <v>43345</v>
      </c>
      <c r="H3" s="26">
        <v>198</v>
      </c>
      <c r="I3" s="26">
        <f>198-175</f>
        <v>23</v>
      </c>
      <c r="J3" s="26">
        <v>175</v>
      </c>
      <c r="K3" s="26">
        <v>34283</v>
      </c>
      <c r="L3" s="27" t="s">
        <v>75</v>
      </c>
      <c r="M3" s="20">
        <v>33.1</v>
      </c>
    </row>
    <row r="4" spans="1:14">
      <c r="A4" s="23">
        <v>3</v>
      </c>
      <c r="B4" s="24">
        <v>24925199</v>
      </c>
      <c r="C4" s="23" t="s">
        <v>67</v>
      </c>
      <c r="D4" s="23" t="s">
        <v>65</v>
      </c>
      <c r="E4" s="24" t="s">
        <v>68</v>
      </c>
      <c r="F4" s="24">
        <v>5400000</v>
      </c>
      <c r="G4" s="25">
        <v>43832</v>
      </c>
      <c r="H4" s="26">
        <v>180</v>
      </c>
      <c r="I4" s="26">
        <v>8</v>
      </c>
      <c r="J4" s="26">
        <f>180-8</f>
        <v>172</v>
      </c>
      <c r="K4" s="26">
        <v>60027</v>
      </c>
      <c r="L4" s="27" t="s">
        <v>75</v>
      </c>
      <c r="M4" s="20">
        <v>52.85</v>
      </c>
    </row>
    <row r="5" spans="1:14">
      <c r="A5" s="23">
        <v>4</v>
      </c>
      <c r="B5" s="24">
        <v>20498249</v>
      </c>
      <c r="C5" s="23" t="s">
        <v>70</v>
      </c>
      <c r="D5" s="23" t="s">
        <v>65</v>
      </c>
      <c r="E5" s="24" t="s">
        <v>68</v>
      </c>
      <c r="F5" s="24">
        <v>15000000</v>
      </c>
      <c r="G5" s="25">
        <v>43587</v>
      </c>
      <c r="H5" s="26">
        <v>180</v>
      </c>
      <c r="I5" s="26">
        <v>18</v>
      </c>
      <c r="J5" s="26">
        <f>180-18</f>
        <v>162</v>
      </c>
      <c r="K5" s="26">
        <v>163955</v>
      </c>
      <c r="L5" s="27" t="s">
        <v>75</v>
      </c>
      <c r="M5" s="20">
        <v>143.58000000000001</v>
      </c>
    </row>
    <row r="6" spans="1:14" ht="15.75" customHeight="1">
      <c r="A6" s="23">
        <v>5</v>
      </c>
      <c r="B6" s="24">
        <v>37036966593</v>
      </c>
      <c r="C6" s="23" t="s">
        <v>71</v>
      </c>
      <c r="D6" s="23" t="s">
        <v>72</v>
      </c>
      <c r="E6" s="24" t="s">
        <v>66</v>
      </c>
      <c r="F6" s="24">
        <v>4880000</v>
      </c>
      <c r="G6" s="25">
        <v>42941</v>
      </c>
      <c r="H6" s="26">
        <v>360</v>
      </c>
      <c r="I6" s="26">
        <f>360-322</f>
        <v>38</v>
      </c>
      <c r="J6" s="26">
        <v>322</v>
      </c>
      <c r="K6" s="30">
        <v>41635</v>
      </c>
      <c r="L6" s="27" t="s">
        <v>75</v>
      </c>
    </row>
    <row r="7" spans="1:14">
      <c r="A7" s="23">
        <v>6</v>
      </c>
      <c r="B7" s="24">
        <v>65161683013</v>
      </c>
      <c r="C7" s="23" t="s">
        <v>67</v>
      </c>
      <c r="D7" s="23" t="s">
        <v>72</v>
      </c>
      <c r="E7" s="24" t="s">
        <v>73</v>
      </c>
      <c r="F7" s="24">
        <v>3375000</v>
      </c>
      <c r="G7" s="25">
        <v>41324</v>
      </c>
      <c r="H7" s="26">
        <v>96</v>
      </c>
      <c r="I7" s="26">
        <f>96-7</f>
        <v>89</v>
      </c>
      <c r="J7" s="26">
        <v>7</v>
      </c>
      <c r="K7" s="42">
        <v>35000</v>
      </c>
      <c r="L7" s="27" t="s">
        <v>75</v>
      </c>
    </row>
    <row r="8" spans="1:14">
      <c r="A8" s="23">
        <v>7</v>
      </c>
      <c r="B8" s="24">
        <v>65156095527</v>
      </c>
      <c r="C8" s="23" t="s">
        <v>67</v>
      </c>
      <c r="D8" s="23" t="s">
        <v>72</v>
      </c>
      <c r="E8" s="24" t="s">
        <v>73</v>
      </c>
      <c r="F8" s="24">
        <v>7500000</v>
      </c>
      <c r="G8" s="25">
        <v>41250</v>
      </c>
      <c r="H8" s="26">
        <v>96</v>
      </c>
      <c r="I8" s="26">
        <f>96-5</f>
        <v>91</v>
      </c>
      <c r="J8" s="26">
        <v>5</v>
      </c>
      <c r="K8" s="30">
        <f>(300000/4)</f>
        <v>75000</v>
      </c>
      <c r="L8" s="27" t="s">
        <v>50</v>
      </c>
    </row>
    <row r="9" spans="1:14">
      <c r="A9" s="23">
        <v>8</v>
      </c>
      <c r="B9" s="24">
        <v>65178368706</v>
      </c>
      <c r="C9" s="23" t="s">
        <v>67</v>
      </c>
      <c r="D9" s="23" t="s">
        <v>72</v>
      </c>
      <c r="E9" s="24" t="s">
        <v>73</v>
      </c>
      <c r="F9" s="24">
        <v>5000000</v>
      </c>
      <c r="G9" s="25">
        <v>41556</v>
      </c>
      <c r="H9" s="26">
        <v>96</v>
      </c>
      <c r="I9" s="26">
        <f>36-19</f>
        <v>17</v>
      </c>
      <c r="J9" s="26">
        <v>19</v>
      </c>
      <c r="K9" s="30">
        <f>(113000/4)</f>
        <v>28250</v>
      </c>
      <c r="L9" s="27" t="s">
        <v>75</v>
      </c>
    </row>
    <row r="10" spans="1:14" ht="15.75" customHeight="1">
      <c r="A10" s="23">
        <v>9</v>
      </c>
      <c r="B10" s="24">
        <v>65251272634</v>
      </c>
      <c r="C10" s="23" t="s">
        <v>67</v>
      </c>
      <c r="D10" s="23" t="s">
        <v>72</v>
      </c>
      <c r="E10" s="24" t="s">
        <v>73</v>
      </c>
      <c r="F10" s="24">
        <v>6000000</v>
      </c>
      <c r="G10" s="24"/>
      <c r="H10" s="26">
        <v>96</v>
      </c>
      <c r="I10" s="26">
        <f>96-43</f>
        <v>53</v>
      </c>
      <c r="J10" s="26">
        <v>43</v>
      </c>
      <c r="K10" s="30">
        <f>(150000/4)</f>
        <v>37500</v>
      </c>
      <c r="L10" s="27" t="s">
        <v>75</v>
      </c>
    </row>
    <row r="11" spans="1:14">
      <c r="A11" s="23">
        <v>10</v>
      </c>
      <c r="B11" s="24"/>
      <c r="C11" s="23" t="s">
        <v>67</v>
      </c>
      <c r="D11" s="23" t="s">
        <v>72</v>
      </c>
      <c r="E11" s="24" t="s">
        <v>74</v>
      </c>
      <c r="F11" s="24">
        <v>20000000</v>
      </c>
      <c r="G11" s="24"/>
      <c r="H11" s="26"/>
      <c r="I11" s="26"/>
      <c r="J11" s="26"/>
      <c r="K11" s="26"/>
      <c r="L11" s="27" t="s">
        <v>75</v>
      </c>
    </row>
    <row r="12" spans="1:14">
      <c r="A12" s="28"/>
      <c r="B12" s="23"/>
      <c r="C12" s="23"/>
      <c r="D12" s="23"/>
      <c r="E12" s="24"/>
      <c r="F12" s="23"/>
      <c r="G12" s="23"/>
      <c r="H12" s="23"/>
      <c r="I12" s="23"/>
      <c r="J12" s="23"/>
      <c r="K12" s="23"/>
      <c r="L12" s="29">
        <f>SUMIF(L2:L11,"Y",K2:K11)</f>
        <v>499034</v>
      </c>
    </row>
    <row r="23" spans="8:8">
      <c r="H23" s="20"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43" t="s">
        <v>24</v>
      </c>
      <c r="B1" s="43"/>
      <c r="C1" s="2"/>
    </row>
    <row r="2" spans="1:6" ht="14.25" customHeight="1">
      <c r="A2" s="43" t="s">
        <v>25</v>
      </c>
      <c r="B2" s="43"/>
      <c r="C2" s="2"/>
    </row>
    <row r="5" spans="1:6" ht="27">
      <c r="A5" s="3" t="s">
        <v>13</v>
      </c>
      <c r="B5" s="4" t="s">
        <v>26</v>
      </c>
      <c r="C5" s="4" t="s">
        <v>27</v>
      </c>
      <c r="D5" s="5" t="s">
        <v>28</v>
      </c>
      <c r="E5" s="1" t="s">
        <v>29</v>
      </c>
      <c r="F5" s="1" t="s">
        <v>30</v>
      </c>
    </row>
    <row r="6" spans="1:6" ht="40.5">
      <c r="A6" s="6">
        <v>1</v>
      </c>
      <c r="B6" s="7" t="s">
        <v>31</v>
      </c>
      <c r="C6" s="8" t="s">
        <v>32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33</v>
      </c>
      <c r="C7" s="8" t="s">
        <v>34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35</v>
      </c>
      <c r="C8" s="8" t="s">
        <v>36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37</v>
      </c>
      <c r="C9" s="12" t="s">
        <v>38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39</v>
      </c>
      <c r="C10" s="8" t="s">
        <v>40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41</v>
      </c>
      <c r="C11" s="14" t="s">
        <v>42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43</v>
      </c>
      <c r="C12" s="15" t="s">
        <v>44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45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2:AJ37"/>
  <sheetViews>
    <sheetView topLeftCell="B5" workbookViewId="0">
      <selection activeCell="D19" sqref="D19"/>
    </sheetView>
  </sheetViews>
  <sheetFormatPr defaultRowHeight="12.75"/>
  <cols>
    <col min="34" max="34" width="4.28515625" bestFit="1" customWidth="1"/>
    <col min="35" max="35" width="12" bestFit="1" customWidth="1"/>
  </cols>
  <sheetData>
    <row r="2" spans="2:35" ht="15">
      <c r="B2" s="31"/>
      <c r="C2" s="31"/>
      <c r="D2" s="44" t="s">
        <v>95</v>
      </c>
      <c r="E2" s="45"/>
      <c r="F2" s="45"/>
      <c r="G2" s="45"/>
      <c r="H2" s="45"/>
      <c r="I2" s="45"/>
      <c r="J2" s="45"/>
      <c r="K2" s="45"/>
      <c r="L2" s="46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2:35" ht="15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2" t="s">
        <v>79</v>
      </c>
    </row>
    <row r="4" spans="2:35" ht="15">
      <c r="B4" s="31"/>
      <c r="C4" s="33">
        <v>1</v>
      </c>
      <c r="D4" s="33">
        <v>2</v>
      </c>
      <c r="E4" s="33">
        <v>3</v>
      </c>
      <c r="F4" s="33">
        <v>4</v>
      </c>
      <c r="G4" s="33">
        <v>5</v>
      </c>
      <c r="H4" s="33">
        <v>6</v>
      </c>
      <c r="I4" s="33">
        <v>7</v>
      </c>
      <c r="J4" s="33">
        <v>8</v>
      </c>
      <c r="K4" s="33">
        <v>9</v>
      </c>
      <c r="L4" s="33">
        <v>10</v>
      </c>
      <c r="M4" s="33">
        <v>11</v>
      </c>
      <c r="N4" s="33">
        <v>12</v>
      </c>
      <c r="O4" s="33">
        <v>13</v>
      </c>
      <c r="P4" s="33">
        <v>14</v>
      </c>
      <c r="Q4" s="33">
        <v>15</v>
      </c>
      <c r="R4" s="33">
        <v>16</v>
      </c>
      <c r="S4" s="33">
        <v>17</v>
      </c>
      <c r="T4" s="33">
        <v>18</v>
      </c>
      <c r="U4" s="33">
        <v>19</v>
      </c>
      <c r="V4" s="33">
        <v>20</v>
      </c>
      <c r="W4" s="33">
        <v>21</v>
      </c>
      <c r="X4" s="33">
        <v>22</v>
      </c>
      <c r="Y4" s="33">
        <v>23</v>
      </c>
      <c r="Z4" s="33">
        <v>24</v>
      </c>
      <c r="AA4" s="33">
        <v>25</v>
      </c>
      <c r="AB4" s="33">
        <v>26</v>
      </c>
      <c r="AC4" s="33">
        <v>27</v>
      </c>
      <c r="AD4" s="33">
        <v>28</v>
      </c>
      <c r="AE4" s="33">
        <v>29</v>
      </c>
      <c r="AF4" s="33">
        <v>30</v>
      </c>
      <c r="AG4" s="33">
        <v>31</v>
      </c>
      <c r="AH4" s="34" t="s">
        <v>80</v>
      </c>
      <c r="AI4" s="34" t="s">
        <v>81</v>
      </c>
    </row>
    <row r="5" spans="2:35" ht="15">
      <c r="B5" s="35" t="s">
        <v>82</v>
      </c>
      <c r="C5" s="36">
        <v>114600</v>
      </c>
      <c r="D5" s="36">
        <v>114600</v>
      </c>
      <c r="E5" s="36">
        <v>16216</v>
      </c>
      <c r="F5" s="36">
        <v>16216</v>
      </c>
      <c r="G5" s="36">
        <v>16216</v>
      </c>
      <c r="H5" s="36">
        <v>16216</v>
      </c>
      <c r="I5" s="36">
        <v>16216</v>
      </c>
      <c r="J5" s="36">
        <v>16216</v>
      </c>
      <c r="K5" s="36">
        <v>16216</v>
      </c>
      <c r="L5" s="36">
        <v>16216</v>
      </c>
      <c r="M5" s="36">
        <v>16216</v>
      </c>
      <c r="N5" s="36">
        <v>16216</v>
      </c>
      <c r="O5" s="36">
        <v>16216</v>
      </c>
      <c r="P5" s="36">
        <v>16216</v>
      </c>
      <c r="Q5" s="36">
        <v>16216</v>
      </c>
      <c r="R5" s="36">
        <v>16216</v>
      </c>
      <c r="S5" s="36">
        <v>16216</v>
      </c>
      <c r="T5" s="36">
        <v>16216</v>
      </c>
      <c r="U5" s="36">
        <v>16216</v>
      </c>
      <c r="V5" s="36">
        <v>16216</v>
      </c>
      <c r="W5" s="36">
        <v>86216</v>
      </c>
      <c r="X5" s="36">
        <v>86216</v>
      </c>
      <c r="Y5" s="36">
        <v>18216</v>
      </c>
      <c r="Z5" s="36">
        <v>648216</v>
      </c>
      <c r="AA5" s="36">
        <v>648216</v>
      </c>
      <c r="AB5" s="36">
        <v>648216</v>
      </c>
      <c r="AC5" s="36">
        <v>648216</v>
      </c>
      <c r="AD5" s="36">
        <v>648216</v>
      </c>
      <c r="AE5" s="36">
        <v>648216</v>
      </c>
      <c r="AF5" s="36">
        <v>613616</v>
      </c>
      <c r="AG5" s="36"/>
      <c r="AH5" s="36"/>
      <c r="AI5" s="36">
        <f t="shared" ref="AI5:AI16" si="0">SUM(D5:AH5)</f>
        <v>5100048</v>
      </c>
    </row>
    <row r="6" spans="2:35" ht="15">
      <c r="B6" s="35" t="s">
        <v>83</v>
      </c>
      <c r="C6" s="36">
        <v>552616</v>
      </c>
      <c r="D6" s="36">
        <v>532616</v>
      </c>
      <c r="E6" s="36">
        <v>434232</v>
      </c>
      <c r="F6" s="36">
        <v>396183</v>
      </c>
      <c r="G6" s="36">
        <v>366178</v>
      </c>
      <c r="H6" s="36">
        <v>366178</v>
      </c>
      <c r="I6" s="36">
        <v>337518</v>
      </c>
      <c r="J6" s="36">
        <v>337518</v>
      </c>
      <c r="K6" s="36">
        <v>307518</v>
      </c>
      <c r="L6" s="36">
        <v>277223</v>
      </c>
      <c r="M6" s="36">
        <v>731713</v>
      </c>
      <c r="N6" s="36">
        <v>31713</v>
      </c>
      <c r="O6" s="36">
        <v>31713</v>
      </c>
      <c r="P6" s="36">
        <v>31713</v>
      </c>
      <c r="Q6" s="36">
        <v>26713</v>
      </c>
      <c r="R6" s="36">
        <v>26713</v>
      </c>
      <c r="S6" s="36">
        <v>6713</v>
      </c>
      <c r="T6" s="36">
        <v>6713</v>
      </c>
      <c r="U6" s="36">
        <v>6713</v>
      </c>
      <c r="V6" s="36">
        <v>6713</v>
      </c>
      <c r="W6" s="36">
        <v>6713</v>
      </c>
      <c r="X6" s="36">
        <v>6713</v>
      </c>
      <c r="Y6" s="36">
        <v>6713</v>
      </c>
      <c r="Z6" s="36">
        <v>6713</v>
      </c>
      <c r="AA6" s="36">
        <v>6713</v>
      </c>
      <c r="AB6" s="36">
        <v>6713</v>
      </c>
      <c r="AC6" s="36">
        <v>6713</v>
      </c>
      <c r="AD6" s="36">
        <v>106713</v>
      </c>
      <c r="AE6" s="36">
        <v>28531</v>
      </c>
      <c r="AF6" s="36">
        <v>28531</v>
      </c>
      <c r="AG6" s="36">
        <v>28531</v>
      </c>
      <c r="AH6" s="36"/>
      <c r="AI6" s="36">
        <f t="shared" si="0"/>
        <v>4501591</v>
      </c>
    </row>
    <row r="7" spans="2:35" ht="15">
      <c r="B7" s="35" t="s">
        <v>84</v>
      </c>
      <c r="C7" s="36">
        <v>160035</v>
      </c>
      <c r="D7" s="36">
        <v>111651</v>
      </c>
      <c r="E7" s="36">
        <v>111651</v>
      </c>
      <c r="F7" s="36">
        <v>122489</v>
      </c>
      <c r="G7" s="36">
        <v>88072</v>
      </c>
      <c r="H7" s="36">
        <v>20572</v>
      </c>
      <c r="I7" s="36">
        <v>395</v>
      </c>
      <c r="J7" s="36">
        <v>395</v>
      </c>
      <c r="K7" s="36">
        <v>395</v>
      </c>
      <c r="L7" s="36">
        <v>395</v>
      </c>
      <c r="M7" s="36">
        <v>395</v>
      </c>
      <c r="N7" s="36">
        <v>395</v>
      </c>
      <c r="O7" s="36">
        <v>395</v>
      </c>
      <c r="P7" s="36">
        <v>395</v>
      </c>
      <c r="Q7" s="36">
        <v>395</v>
      </c>
      <c r="R7" s="36">
        <v>395</v>
      </c>
      <c r="S7" s="36">
        <v>395</v>
      </c>
      <c r="T7" s="36">
        <v>395</v>
      </c>
      <c r="U7" s="36">
        <v>395</v>
      </c>
      <c r="V7" s="36">
        <v>395</v>
      </c>
      <c r="W7" s="36">
        <v>395</v>
      </c>
      <c r="X7" s="36">
        <v>395</v>
      </c>
      <c r="Y7" s="36">
        <v>395</v>
      </c>
      <c r="Z7" s="36">
        <v>395</v>
      </c>
      <c r="AA7" s="36">
        <v>395</v>
      </c>
      <c r="AB7" s="36">
        <v>395</v>
      </c>
      <c r="AC7" s="36">
        <v>395</v>
      </c>
      <c r="AD7" s="36">
        <v>336</v>
      </c>
      <c r="AE7" s="36">
        <v>336</v>
      </c>
      <c r="AF7" s="36">
        <v>336</v>
      </c>
      <c r="AG7" s="36"/>
      <c r="AH7" s="36"/>
      <c r="AI7" s="36">
        <f t="shared" si="0"/>
        <v>463738</v>
      </c>
    </row>
    <row r="8" spans="2:35" ht="15">
      <c r="B8" s="35" t="s">
        <v>85</v>
      </c>
      <c r="C8" s="36">
        <v>336</v>
      </c>
      <c r="D8" s="36">
        <v>41952</v>
      </c>
      <c r="E8" s="36">
        <v>10952</v>
      </c>
      <c r="F8" s="36">
        <v>10952</v>
      </c>
      <c r="G8" s="36">
        <v>10952</v>
      </c>
      <c r="H8" s="36">
        <v>10952</v>
      </c>
      <c r="I8" s="36">
        <v>25952</v>
      </c>
      <c r="J8" s="36">
        <v>25952</v>
      </c>
      <c r="K8" s="36">
        <v>104312</v>
      </c>
      <c r="L8" s="36">
        <v>4312</v>
      </c>
      <c r="M8" s="36">
        <v>9312</v>
      </c>
      <c r="N8" s="36">
        <v>118352</v>
      </c>
      <c r="O8" s="36">
        <v>118352</v>
      </c>
      <c r="P8" s="36">
        <v>118352</v>
      </c>
      <c r="Q8" s="36">
        <v>118352</v>
      </c>
      <c r="R8" s="36">
        <v>118352</v>
      </c>
      <c r="S8" s="36">
        <v>118352</v>
      </c>
      <c r="T8" s="36">
        <v>88352</v>
      </c>
      <c r="U8" s="36">
        <v>88352</v>
      </c>
      <c r="V8" s="36">
        <v>88352</v>
      </c>
      <c r="W8" s="36">
        <v>88352</v>
      </c>
      <c r="X8" s="36">
        <v>88352</v>
      </c>
      <c r="Y8" s="36">
        <v>88352</v>
      </c>
      <c r="Z8" s="36">
        <v>88352</v>
      </c>
      <c r="AA8" s="36">
        <v>88352</v>
      </c>
      <c r="AB8" s="36">
        <v>88352</v>
      </c>
      <c r="AC8" s="36">
        <v>88352</v>
      </c>
      <c r="AD8" s="36">
        <v>63352</v>
      </c>
      <c r="AE8" s="36">
        <v>63352</v>
      </c>
      <c r="AF8" s="36">
        <v>113352</v>
      </c>
      <c r="AG8" s="36">
        <v>113352</v>
      </c>
      <c r="AH8" s="36"/>
      <c r="AI8" s="36">
        <f t="shared" si="0"/>
        <v>2202640</v>
      </c>
    </row>
    <row r="9" spans="2:35" ht="15">
      <c r="B9" s="35" t="s">
        <v>86</v>
      </c>
      <c r="C9" s="36">
        <v>205948</v>
      </c>
      <c r="D9" s="36">
        <v>238037</v>
      </c>
      <c r="E9" s="36">
        <v>38037</v>
      </c>
      <c r="F9" s="36">
        <v>21037</v>
      </c>
      <c r="G9" s="36">
        <v>21037</v>
      </c>
      <c r="H9" s="36">
        <v>21037</v>
      </c>
      <c r="I9" s="36">
        <v>21037</v>
      </c>
      <c r="J9" s="36">
        <v>21037</v>
      </c>
      <c r="K9" s="36">
        <v>21037</v>
      </c>
      <c r="L9" s="36">
        <v>21037</v>
      </c>
      <c r="M9" s="36">
        <v>21037</v>
      </c>
      <c r="N9" s="36">
        <v>21037</v>
      </c>
      <c r="O9" s="36">
        <v>21037</v>
      </c>
      <c r="P9" s="36">
        <v>21037</v>
      </c>
      <c r="Q9" s="36">
        <v>21037</v>
      </c>
      <c r="R9" s="36">
        <v>21037</v>
      </c>
      <c r="S9" s="36">
        <v>21037</v>
      </c>
      <c r="T9" s="36">
        <v>21037</v>
      </c>
      <c r="U9" s="36">
        <v>21037</v>
      </c>
      <c r="V9" s="36">
        <v>21037</v>
      </c>
      <c r="W9" s="36">
        <v>722739</v>
      </c>
      <c r="X9" s="36">
        <v>722739</v>
      </c>
      <c r="Y9" s="36">
        <v>722739</v>
      </c>
      <c r="Z9" s="36">
        <v>515074</v>
      </c>
      <c r="AA9" s="36">
        <v>515074</v>
      </c>
      <c r="AB9" s="36">
        <v>515074</v>
      </c>
      <c r="AC9" s="36">
        <v>55074</v>
      </c>
      <c r="AD9" s="36">
        <v>55074</v>
      </c>
      <c r="AE9" s="36">
        <v>109150</v>
      </c>
      <c r="AF9" s="36">
        <v>109150</v>
      </c>
      <c r="AG9" s="36">
        <v>209150</v>
      </c>
      <c r="AH9" s="36"/>
      <c r="AI9" s="36">
        <f t="shared" si="0"/>
        <v>4884740</v>
      </c>
    </row>
    <row r="10" spans="2:35" ht="15">
      <c r="B10" s="35" t="s">
        <v>87</v>
      </c>
      <c r="C10" s="36">
        <v>209150</v>
      </c>
      <c r="D10" s="36">
        <v>209150</v>
      </c>
      <c r="E10" s="36">
        <v>250739</v>
      </c>
      <c r="F10" s="36">
        <v>200739</v>
      </c>
      <c r="G10" s="36">
        <v>272204</v>
      </c>
      <c r="H10" s="36">
        <v>82381</v>
      </c>
      <c r="I10" s="36">
        <v>82381</v>
      </c>
      <c r="J10" s="36">
        <v>82381</v>
      </c>
      <c r="K10" s="36">
        <v>82381</v>
      </c>
      <c r="L10" s="36">
        <v>82381</v>
      </c>
      <c r="M10" s="36">
        <v>133262</v>
      </c>
      <c r="N10" s="36">
        <v>118262</v>
      </c>
      <c r="O10" s="36">
        <v>177628</v>
      </c>
      <c r="P10" s="36">
        <v>62628</v>
      </c>
      <c r="Q10" s="36">
        <v>62628</v>
      </c>
      <c r="R10" s="36">
        <v>62333</v>
      </c>
      <c r="S10" s="36">
        <v>177551</v>
      </c>
      <c r="T10" s="36">
        <v>157551</v>
      </c>
      <c r="U10" s="36">
        <v>150551</v>
      </c>
      <c r="V10" s="36">
        <v>120551</v>
      </c>
      <c r="W10" s="36">
        <v>120551</v>
      </c>
      <c r="X10" s="36">
        <v>80321</v>
      </c>
      <c r="Y10" s="36">
        <v>80321</v>
      </c>
      <c r="Z10" s="36">
        <v>75321</v>
      </c>
      <c r="AA10" s="36">
        <v>75321</v>
      </c>
      <c r="AB10" s="36">
        <v>282559</v>
      </c>
      <c r="AC10" s="36">
        <v>32559</v>
      </c>
      <c r="AD10" s="36">
        <v>7559</v>
      </c>
      <c r="AE10" s="36"/>
      <c r="AF10" s="36"/>
      <c r="AG10" s="36"/>
      <c r="AH10" s="36"/>
      <c r="AI10" s="36">
        <f>SUM(D10:AH10)</f>
        <v>3322194</v>
      </c>
    </row>
    <row r="11" spans="2:35" ht="15">
      <c r="B11" s="35" t="s">
        <v>88</v>
      </c>
      <c r="C11" s="40">
        <v>7559</v>
      </c>
      <c r="D11" s="36">
        <v>166969</v>
      </c>
      <c r="E11" s="36">
        <v>106942</v>
      </c>
      <c r="F11" s="36">
        <v>8558</v>
      </c>
      <c r="G11" s="36">
        <v>67804</v>
      </c>
      <c r="H11" s="36">
        <v>61188</v>
      </c>
      <c r="I11" s="36">
        <v>45188</v>
      </c>
      <c r="J11" s="36">
        <v>5188</v>
      </c>
      <c r="K11" s="36">
        <v>5188</v>
      </c>
      <c r="L11" s="36">
        <v>5188</v>
      </c>
      <c r="M11" s="36">
        <v>190023</v>
      </c>
      <c r="N11" s="36">
        <v>229374</v>
      </c>
      <c r="O11" s="36">
        <v>277874</v>
      </c>
      <c r="P11" s="36">
        <v>227874</v>
      </c>
      <c r="Q11" s="36">
        <v>227874</v>
      </c>
      <c r="R11" s="36">
        <v>227874</v>
      </c>
      <c r="S11" s="36">
        <v>119640</v>
      </c>
      <c r="T11" s="36">
        <v>69640</v>
      </c>
      <c r="U11" s="36">
        <v>69640</v>
      </c>
      <c r="V11" s="36">
        <v>69640</v>
      </c>
      <c r="W11" s="36">
        <v>69640</v>
      </c>
      <c r="X11" s="36">
        <v>69640</v>
      </c>
      <c r="Y11" s="36">
        <v>69640</v>
      </c>
      <c r="Z11" s="36">
        <v>19640</v>
      </c>
      <c r="AA11" s="36">
        <v>19640</v>
      </c>
      <c r="AB11" s="36">
        <v>19640</v>
      </c>
      <c r="AC11" s="36">
        <v>19640</v>
      </c>
      <c r="AD11" s="36">
        <v>19640</v>
      </c>
      <c r="AE11" s="36">
        <v>19640</v>
      </c>
      <c r="AF11" s="36">
        <v>19640</v>
      </c>
      <c r="AG11" s="36">
        <v>49640</v>
      </c>
      <c r="AH11" s="36"/>
      <c r="AI11" s="36">
        <f>SUM(D11:AH11)</f>
        <v>2577706</v>
      </c>
    </row>
    <row r="12" spans="2:35" ht="15">
      <c r="B12" s="35" t="s">
        <v>89</v>
      </c>
      <c r="C12" s="36">
        <v>49640</v>
      </c>
      <c r="D12" s="36">
        <v>49345</v>
      </c>
      <c r="E12" s="36">
        <v>49345</v>
      </c>
      <c r="F12" s="36">
        <v>249345</v>
      </c>
      <c r="G12" s="36">
        <v>249345</v>
      </c>
      <c r="H12" s="36">
        <v>147421</v>
      </c>
      <c r="I12" s="36">
        <v>22421</v>
      </c>
      <c r="J12" s="36">
        <v>22421</v>
      </c>
      <c r="K12" s="36">
        <v>22421</v>
      </c>
      <c r="L12" s="36">
        <v>22421</v>
      </c>
      <c r="M12" s="36">
        <v>22421</v>
      </c>
      <c r="N12" s="36">
        <v>22421</v>
      </c>
      <c r="O12" s="36">
        <v>12421</v>
      </c>
      <c r="P12" s="36">
        <v>12421</v>
      </c>
      <c r="Q12" s="36">
        <v>12421</v>
      </c>
      <c r="R12" s="36">
        <v>12421</v>
      </c>
      <c r="S12" s="36">
        <v>12421</v>
      </c>
      <c r="T12" s="36">
        <v>5421</v>
      </c>
      <c r="U12" s="36">
        <v>5421</v>
      </c>
      <c r="V12" s="36">
        <v>5421</v>
      </c>
      <c r="W12" s="36">
        <v>5421</v>
      </c>
      <c r="X12" s="36">
        <v>5421</v>
      </c>
      <c r="Y12" s="36">
        <v>5421</v>
      </c>
      <c r="Z12" s="36">
        <v>5421</v>
      </c>
      <c r="AA12" s="36">
        <v>5126</v>
      </c>
      <c r="AB12" s="36">
        <v>5126</v>
      </c>
      <c r="AC12" s="36">
        <v>5126</v>
      </c>
      <c r="AD12" s="36">
        <v>33599</v>
      </c>
      <c r="AE12" s="36">
        <v>8599</v>
      </c>
      <c r="AF12" s="36">
        <v>1099</v>
      </c>
      <c r="AG12" s="36"/>
      <c r="AH12" s="36"/>
      <c r="AI12" s="36">
        <f t="shared" si="0"/>
        <v>1038054</v>
      </c>
    </row>
    <row r="13" spans="2:35" ht="15">
      <c r="B13" s="35" t="s">
        <v>90</v>
      </c>
      <c r="C13" s="36">
        <v>6099</v>
      </c>
      <c r="D13" s="36">
        <v>31099</v>
      </c>
      <c r="E13" s="36">
        <v>31099</v>
      </c>
      <c r="F13" s="36">
        <v>31099</v>
      </c>
      <c r="G13" s="36">
        <v>31099</v>
      </c>
      <c r="H13" s="36">
        <v>36099</v>
      </c>
      <c r="I13" s="36">
        <v>36099</v>
      </c>
      <c r="J13" s="36">
        <v>36099</v>
      </c>
      <c r="K13" s="36">
        <v>36099</v>
      </c>
      <c r="L13" s="36">
        <v>36099</v>
      </c>
      <c r="M13" s="36">
        <v>36099</v>
      </c>
      <c r="N13" s="36">
        <v>26099</v>
      </c>
      <c r="O13" s="36">
        <v>1099</v>
      </c>
      <c r="P13" s="36">
        <v>1089</v>
      </c>
      <c r="Q13" s="36">
        <v>1089</v>
      </c>
      <c r="R13" s="36">
        <v>1089</v>
      </c>
      <c r="S13" s="36">
        <v>1089</v>
      </c>
      <c r="T13" s="36">
        <v>1089</v>
      </c>
      <c r="U13" s="36">
        <v>35259</v>
      </c>
      <c r="V13" s="36">
        <v>35259</v>
      </c>
      <c r="W13" s="36">
        <v>35259</v>
      </c>
      <c r="X13" s="36">
        <v>35259</v>
      </c>
      <c r="Y13" s="36">
        <v>35259</v>
      </c>
      <c r="Z13" s="36">
        <v>35259</v>
      </c>
      <c r="AA13" s="36">
        <v>35259</v>
      </c>
      <c r="AB13" s="36">
        <v>35259</v>
      </c>
      <c r="AC13" s="36">
        <v>30269</v>
      </c>
      <c r="AD13" s="36">
        <v>10269</v>
      </c>
      <c r="AE13" s="36">
        <v>1269</v>
      </c>
      <c r="AF13" s="36">
        <v>121658</v>
      </c>
      <c r="AG13" s="36">
        <v>121658</v>
      </c>
      <c r="AH13" s="36"/>
      <c r="AI13" s="36">
        <f t="shared" si="0"/>
        <v>940828</v>
      </c>
    </row>
    <row r="14" spans="2:35" ht="15">
      <c r="B14" s="35" t="s">
        <v>91</v>
      </c>
      <c r="C14" s="36">
        <v>82034</v>
      </c>
      <c r="D14" s="36">
        <v>58384</v>
      </c>
      <c r="E14" s="36">
        <v>58384</v>
      </c>
      <c r="F14" s="36">
        <v>14384</v>
      </c>
      <c r="G14" s="36">
        <v>14384</v>
      </c>
      <c r="H14" s="36">
        <v>14384</v>
      </c>
      <c r="I14" s="36">
        <v>14384</v>
      </c>
      <c r="J14" s="36">
        <v>385</v>
      </c>
      <c r="K14" s="36">
        <v>385</v>
      </c>
      <c r="L14" s="36">
        <v>385</v>
      </c>
      <c r="M14" s="36">
        <v>8385</v>
      </c>
      <c r="N14" s="36">
        <v>7185</v>
      </c>
      <c r="O14" s="36">
        <v>6595</v>
      </c>
      <c r="P14" s="36">
        <v>6595</v>
      </c>
      <c r="Q14" s="36">
        <v>6595</v>
      </c>
      <c r="R14" s="36">
        <v>6595</v>
      </c>
      <c r="S14" s="36">
        <v>6595</v>
      </c>
      <c r="T14" s="36">
        <v>7185</v>
      </c>
      <c r="U14" s="36">
        <v>4354</v>
      </c>
      <c r="V14" s="36">
        <v>4354</v>
      </c>
      <c r="W14" s="36">
        <v>4354</v>
      </c>
      <c r="X14" s="36">
        <v>4354</v>
      </c>
      <c r="Y14" s="36">
        <v>4354</v>
      </c>
      <c r="Z14" s="36">
        <v>9354</v>
      </c>
      <c r="AA14" s="36">
        <v>9354</v>
      </c>
      <c r="AB14" s="36">
        <v>34354</v>
      </c>
      <c r="AC14" s="36">
        <v>12354</v>
      </c>
      <c r="AD14" s="36">
        <v>12354</v>
      </c>
      <c r="AE14" s="36">
        <v>12354</v>
      </c>
      <c r="AF14" s="36">
        <v>12354</v>
      </c>
      <c r="AG14" s="36"/>
      <c r="AH14" s="36"/>
      <c r="AI14" s="36">
        <f t="shared" si="0"/>
        <v>355437</v>
      </c>
    </row>
    <row r="15" spans="2:35" ht="15">
      <c r="B15" s="35" t="s">
        <v>92</v>
      </c>
      <c r="C15" s="36">
        <v>12354</v>
      </c>
      <c r="D15" s="36">
        <v>20354</v>
      </c>
      <c r="E15" s="36">
        <v>20354</v>
      </c>
      <c r="F15" s="36">
        <v>14724</v>
      </c>
      <c r="G15" s="36">
        <v>14724</v>
      </c>
      <c r="H15" s="36">
        <v>724</v>
      </c>
      <c r="I15" s="36">
        <v>3954</v>
      </c>
      <c r="J15" s="36">
        <v>3954</v>
      </c>
      <c r="K15" s="36">
        <v>3954</v>
      </c>
      <c r="L15" s="36">
        <v>3954</v>
      </c>
      <c r="M15" s="36">
        <v>5524</v>
      </c>
      <c r="N15" s="36">
        <v>3524</v>
      </c>
      <c r="O15" s="36">
        <v>3524</v>
      </c>
      <c r="P15" s="36">
        <v>3524</v>
      </c>
      <c r="Q15" s="36">
        <v>3524</v>
      </c>
      <c r="R15" s="36">
        <v>36571</v>
      </c>
      <c r="S15" s="36">
        <v>36571</v>
      </c>
      <c r="T15" s="36">
        <v>36571</v>
      </c>
      <c r="U15" s="36">
        <v>36571</v>
      </c>
      <c r="V15" s="36">
        <v>61571</v>
      </c>
      <c r="W15" s="36">
        <v>5811</v>
      </c>
      <c r="X15" s="36">
        <v>5811</v>
      </c>
      <c r="Y15" s="36">
        <v>5811</v>
      </c>
      <c r="Z15" s="36">
        <v>5811</v>
      </c>
      <c r="AA15" s="36">
        <v>5811</v>
      </c>
      <c r="AB15" s="36">
        <v>5811</v>
      </c>
      <c r="AC15" s="36">
        <v>28325</v>
      </c>
      <c r="AD15" s="36">
        <v>27735</v>
      </c>
      <c r="AE15" s="36">
        <v>27617</v>
      </c>
      <c r="AF15" s="36">
        <v>25617</v>
      </c>
      <c r="AG15" s="36">
        <v>25617</v>
      </c>
      <c r="AH15" s="36"/>
      <c r="AI15" s="36">
        <f t="shared" si="0"/>
        <v>483948</v>
      </c>
    </row>
    <row r="16" spans="2:35" ht="15.75" thickBot="1">
      <c r="B16" s="35" t="s">
        <v>93</v>
      </c>
      <c r="C16" s="36">
        <v>25617</v>
      </c>
      <c r="D16" s="36">
        <v>25617</v>
      </c>
      <c r="E16" s="36">
        <v>25617</v>
      </c>
      <c r="F16" s="36">
        <v>15322</v>
      </c>
      <c r="G16" s="36">
        <v>15322</v>
      </c>
      <c r="H16" s="36">
        <v>14732</v>
      </c>
      <c r="I16" s="36">
        <v>14732</v>
      </c>
      <c r="J16" s="36">
        <v>14732</v>
      </c>
      <c r="K16" s="36">
        <v>14732</v>
      </c>
      <c r="L16" s="36">
        <v>14732</v>
      </c>
      <c r="M16" s="36">
        <v>14732</v>
      </c>
      <c r="N16" s="36">
        <v>14732</v>
      </c>
      <c r="O16" s="36">
        <v>11482</v>
      </c>
      <c r="P16" s="36">
        <v>11470</v>
      </c>
      <c r="Q16" s="36">
        <v>11470</v>
      </c>
      <c r="R16" s="36">
        <v>11470</v>
      </c>
      <c r="S16" s="36">
        <v>10880</v>
      </c>
      <c r="T16" s="36">
        <v>10290</v>
      </c>
      <c r="U16" s="36">
        <v>10290</v>
      </c>
      <c r="V16" s="36">
        <v>10290</v>
      </c>
      <c r="W16" s="36">
        <v>10290</v>
      </c>
      <c r="X16" s="36">
        <v>10290</v>
      </c>
      <c r="Y16" s="36">
        <v>10290</v>
      </c>
      <c r="Z16" s="36">
        <v>10290</v>
      </c>
      <c r="AA16" s="36">
        <v>10290</v>
      </c>
      <c r="AB16" s="36">
        <v>290</v>
      </c>
      <c r="AC16" s="36">
        <v>290</v>
      </c>
      <c r="AD16" s="36">
        <v>25290</v>
      </c>
      <c r="AE16" s="36">
        <v>26290</v>
      </c>
      <c r="AF16" s="36">
        <v>26290</v>
      </c>
      <c r="AG16" s="36"/>
      <c r="AH16" s="36"/>
      <c r="AI16" s="37">
        <f t="shared" si="0"/>
        <v>402544</v>
      </c>
    </row>
    <row r="17" spans="2:35" ht="15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8">
        <f>SUM(AI5:AI16)/365</f>
        <v>71982.10410958904</v>
      </c>
    </row>
    <row r="18" spans="2:35" ht="15">
      <c r="B18" s="31"/>
      <c r="C18" s="31"/>
      <c r="D18" s="44" t="s">
        <v>114</v>
      </c>
      <c r="E18" s="45"/>
      <c r="F18" s="45"/>
      <c r="G18" s="45"/>
      <c r="H18" s="45"/>
      <c r="I18" s="45"/>
      <c r="J18" s="45"/>
      <c r="K18" s="45"/>
      <c r="L18" s="46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41"/>
    </row>
    <row r="19" spans="2:35" ht="15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2" t="s">
        <v>79</v>
      </c>
    </row>
    <row r="20" spans="2:35" ht="15">
      <c r="B20" s="31"/>
      <c r="C20" s="33">
        <v>1</v>
      </c>
      <c r="D20" s="33">
        <v>2</v>
      </c>
      <c r="E20" s="33">
        <v>3</v>
      </c>
      <c r="F20" s="33">
        <v>4</v>
      </c>
      <c r="G20" s="33">
        <v>5</v>
      </c>
      <c r="H20" s="33">
        <v>6</v>
      </c>
      <c r="I20" s="33">
        <v>7</v>
      </c>
      <c r="J20" s="33">
        <v>8</v>
      </c>
      <c r="K20" s="33">
        <v>9</v>
      </c>
      <c r="L20" s="33">
        <v>10</v>
      </c>
      <c r="M20" s="33">
        <v>11</v>
      </c>
      <c r="N20" s="33">
        <v>12</v>
      </c>
      <c r="O20" s="33">
        <v>13</v>
      </c>
      <c r="P20" s="33">
        <v>14</v>
      </c>
      <c r="Q20" s="33">
        <v>15</v>
      </c>
      <c r="R20" s="33">
        <v>16</v>
      </c>
      <c r="S20" s="33">
        <v>17</v>
      </c>
      <c r="T20" s="33">
        <v>18</v>
      </c>
      <c r="U20" s="33">
        <v>19</v>
      </c>
      <c r="V20" s="33">
        <v>20</v>
      </c>
      <c r="W20" s="33">
        <v>21</v>
      </c>
      <c r="X20" s="33">
        <v>22</v>
      </c>
      <c r="Y20" s="33">
        <v>23</v>
      </c>
      <c r="Z20" s="33">
        <v>24</v>
      </c>
      <c r="AA20" s="33">
        <v>25</v>
      </c>
      <c r="AB20" s="33">
        <v>26</v>
      </c>
      <c r="AC20" s="33">
        <v>27</v>
      </c>
      <c r="AD20" s="33">
        <v>28</v>
      </c>
      <c r="AE20" s="33">
        <v>29</v>
      </c>
      <c r="AF20" s="33">
        <v>30</v>
      </c>
      <c r="AG20" s="33">
        <v>31</v>
      </c>
      <c r="AH20" s="34" t="s">
        <v>80</v>
      </c>
      <c r="AI20" s="34" t="s">
        <v>81</v>
      </c>
    </row>
    <row r="21" spans="2:35" ht="15">
      <c r="B21" s="35" t="s">
        <v>82</v>
      </c>
      <c r="C21" s="36">
        <v>221800</v>
      </c>
      <c r="D21" s="36">
        <v>17845</v>
      </c>
      <c r="E21" s="36">
        <v>17845</v>
      </c>
      <c r="F21" s="36">
        <v>17491</v>
      </c>
      <c r="G21" s="36">
        <v>17491</v>
      </c>
      <c r="H21" s="36">
        <v>17491</v>
      </c>
      <c r="I21" s="36">
        <v>39491</v>
      </c>
      <c r="J21" s="36">
        <v>39491</v>
      </c>
      <c r="K21" s="36">
        <v>39491</v>
      </c>
      <c r="L21" s="36">
        <v>39491</v>
      </c>
      <c r="M21" s="36">
        <v>38901</v>
      </c>
      <c r="N21" s="36">
        <v>209075</v>
      </c>
      <c r="O21" s="36">
        <v>56307</v>
      </c>
      <c r="P21" s="36">
        <v>56307</v>
      </c>
      <c r="Q21" s="36">
        <v>56307</v>
      </c>
      <c r="R21" s="36">
        <v>56307</v>
      </c>
      <c r="S21" s="36">
        <v>256307</v>
      </c>
      <c r="T21" s="36">
        <v>256307</v>
      </c>
      <c r="U21" s="36">
        <v>256307</v>
      </c>
      <c r="V21" s="36">
        <v>256307</v>
      </c>
      <c r="W21" s="36">
        <v>256307</v>
      </c>
      <c r="X21" s="36">
        <v>256307</v>
      </c>
      <c r="Y21" s="36">
        <v>256307</v>
      </c>
      <c r="Z21" s="36">
        <v>256307</v>
      </c>
      <c r="AA21" s="36">
        <v>256307</v>
      </c>
      <c r="AB21" s="36">
        <v>156307</v>
      </c>
      <c r="AC21" s="36">
        <v>191032</v>
      </c>
      <c r="AD21" s="36">
        <v>191032</v>
      </c>
      <c r="AE21" s="36">
        <v>191032</v>
      </c>
      <c r="AF21" s="36">
        <v>191032</v>
      </c>
      <c r="AG21" s="36"/>
      <c r="AH21" s="36"/>
      <c r="AI21" s="36">
        <f t="shared" ref="AI21:AI32" si="1">SUM(D20:AH20)</f>
        <v>495</v>
      </c>
    </row>
    <row r="22" spans="2:35" ht="15">
      <c r="B22" s="35" t="s">
        <v>83</v>
      </c>
      <c r="C22" s="36">
        <v>191032</v>
      </c>
      <c r="D22" s="36">
        <v>191032</v>
      </c>
      <c r="E22" s="36">
        <v>27077</v>
      </c>
      <c r="F22" s="36">
        <v>19997</v>
      </c>
      <c r="G22" s="36">
        <v>19997</v>
      </c>
      <c r="H22" s="36">
        <v>19997</v>
      </c>
      <c r="I22" s="36">
        <v>19997</v>
      </c>
      <c r="J22" s="36">
        <v>19997</v>
      </c>
      <c r="K22" s="36">
        <v>19997</v>
      </c>
      <c r="L22" s="36">
        <v>50020</v>
      </c>
      <c r="M22" s="36">
        <v>50020</v>
      </c>
      <c r="N22" s="36">
        <v>50020</v>
      </c>
      <c r="O22" s="36">
        <v>50020</v>
      </c>
      <c r="P22" s="36">
        <v>306970</v>
      </c>
      <c r="Q22" s="36">
        <v>306970</v>
      </c>
      <c r="R22" s="36">
        <v>306970</v>
      </c>
      <c r="S22" s="36">
        <v>306970</v>
      </c>
      <c r="T22" s="36">
        <v>266970</v>
      </c>
      <c r="U22" s="36">
        <v>266970</v>
      </c>
      <c r="V22" s="36">
        <v>266970</v>
      </c>
      <c r="W22" s="36">
        <v>266970</v>
      </c>
      <c r="X22" s="36">
        <v>266970</v>
      </c>
      <c r="Y22" s="36">
        <v>266970</v>
      </c>
      <c r="Z22" s="36">
        <v>266970</v>
      </c>
      <c r="AA22" s="36">
        <v>146959</v>
      </c>
      <c r="AB22" s="36">
        <v>146959</v>
      </c>
      <c r="AC22" s="36">
        <v>146959</v>
      </c>
      <c r="AD22" s="36">
        <v>153550</v>
      </c>
      <c r="AE22" s="36">
        <v>48550</v>
      </c>
      <c r="AF22" s="36">
        <v>88550</v>
      </c>
      <c r="AG22" s="36">
        <v>88550</v>
      </c>
      <c r="AH22" s="36"/>
      <c r="AI22" s="36">
        <f t="shared" si="1"/>
        <v>3946529</v>
      </c>
    </row>
    <row r="23" spans="2:35" ht="15">
      <c r="B23" s="35" t="s">
        <v>84</v>
      </c>
      <c r="C23" s="36">
        <v>213550</v>
      </c>
      <c r="D23" s="36">
        <v>49595</v>
      </c>
      <c r="E23" s="36">
        <v>49595</v>
      </c>
      <c r="F23" s="36">
        <v>49595</v>
      </c>
      <c r="G23" s="36">
        <v>22528</v>
      </c>
      <c r="H23" s="36">
        <v>22528</v>
      </c>
      <c r="I23" s="36">
        <v>22528</v>
      </c>
      <c r="J23" s="36">
        <v>22528</v>
      </c>
      <c r="K23" s="36">
        <v>22528</v>
      </c>
      <c r="L23" s="36">
        <v>22528</v>
      </c>
      <c r="M23" s="36">
        <v>22528</v>
      </c>
      <c r="N23" s="36">
        <v>22528</v>
      </c>
      <c r="O23" s="36">
        <v>22528</v>
      </c>
      <c r="P23" s="36">
        <v>22528</v>
      </c>
      <c r="Q23" s="36">
        <v>22528</v>
      </c>
      <c r="R23" s="36">
        <v>7648</v>
      </c>
      <c r="S23" s="36">
        <v>7648</v>
      </c>
      <c r="T23" s="36">
        <v>7648</v>
      </c>
      <c r="U23" s="36">
        <v>7648</v>
      </c>
      <c r="V23" s="36">
        <v>7648</v>
      </c>
      <c r="W23" s="36">
        <v>7648</v>
      </c>
      <c r="X23" s="36">
        <v>7648</v>
      </c>
      <c r="Y23" s="36">
        <v>7648</v>
      </c>
      <c r="Z23" s="36">
        <v>7648</v>
      </c>
      <c r="AA23" s="36">
        <v>7648</v>
      </c>
      <c r="AB23" s="36">
        <v>257648</v>
      </c>
      <c r="AC23" s="36">
        <v>45916</v>
      </c>
      <c r="AD23" s="36">
        <v>45916</v>
      </c>
      <c r="AE23" s="36">
        <v>45916</v>
      </c>
      <c r="AF23" s="36">
        <v>45916</v>
      </c>
      <c r="AG23" s="36"/>
      <c r="AH23" s="36"/>
      <c r="AI23" s="36">
        <f t="shared" si="1"/>
        <v>4454918</v>
      </c>
    </row>
    <row r="24" spans="2:35" ht="15">
      <c r="B24" s="35" t="s">
        <v>85</v>
      </c>
      <c r="C24" s="36">
        <v>45916</v>
      </c>
      <c r="D24" s="36">
        <v>45916</v>
      </c>
      <c r="E24" s="36">
        <v>45916</v>
      </c>
      <c r="F24" s="36">
        <v>42916</v>
      </c>
      <c r="G24" s="36">
        <v>42916</v>
      </c>
      <c r="H24" s="36">
        <v>42916</v>
      </c>
      <c r="I24" s="36">
        <v>49135</v>
      </c>
      <c r="J24" s="36">
        <v>49135</v>
      </c>
      <c r="K24" s="36">
        <v>49135</v>
      </c>
      <c r="L24" s="36">
        <v>49135</v>
      </c>
      <c r="M24" s="36">
        <v>49135</v>
      </c>
      <c r="N24" s="36">
        <v>49135</v>
      </c>
      <c r="O24" s="36">
        <v>49135</v>
      </c>
      <c r="P24" s="36">
        <v>49135</v>
      </c>
      <c r="Q24" s="36">
        <v>49135</v>
      </c>
      <c r="R24" s="36">
        <v>49135</v>
      </c>
      <c r="S24" s="36">
        <v>24135</v>
      </c>
      <c r="T24" s="36">
        <v>24135</v>
      </c>
      <c r="U24" s="36">
        <v>38435</v>
      </c>
      <c r="V24" s="36">
        <v>38435</v>
      </c>
      <c r="W24" s="36">
        <v>38435</v>
      </c>
      <c r="X24" s="36">
        <v>38435</v>
      </c>
      <c r="Y24" s="36">
        <v>38435</v>
      </c>
      <c r="Z24" s="36">
        <v>38435</v>
      </c>
      <c r="AA24" s="36">
        <v>38435</v>
      </c>
      <c r="AB24" s="36">
        <v>38435</v>
      </c>
      <c r="AC24" s="36">
        <v>38435</v>
      </c>
      <c r="AD24" s="36">
        <v>38435</v>
      </c>
      <c r="AE24" s="36">
        <v>38435</v>
      </c>
      <c r="AF24" s="36">
        <v>38435</v>
      </c>
      <c r="AG24" s="36">
        <v>38435</v>
      </c>
      <c r="AH24" s="36"/>
      <c r="AI24" s="36">
        <f t="shared" si="1"/>
        <v>914385</v>
      </c>
    </row>
    <row r="25" spans="2:35" ht="15">
      <c r="B25" s="35" t="s">
        <v>86</v>
      </c>
      <c r="C25" s="36">
        <v>38435</v>
      </c>
      <c r="D25" s="36">
        <v>38435</v>
      </c>
      <c r="E25" s="36">
        <v>38435</v>
      </c>
      <c r="F25" s="36">
        <v>38046</v>
      </c>
      <c r="G25" s="36">
        <v>38046</v>
      </c>
      <c r="H25" s="36">
        <v>38046</v>
      </c>
      <c r="I25" s="36">
        <v>26995</v>
      </c>
      <c r="J25" s="36">
        <v>26995</v>
      </c>
      <c r="K25" s="36">
        <v>26995</v>
      </c>
      <c r="L25" s="36">
        <v>26995</v>
      </c>
      <c r="M25" s="36">
        <v>26995</v>
      </c>
      <c r="N25" s="36">
        <v>26995</v>
      </c>
      <c r="O25" s="36">
        <v>57705</v>
      </c>
      <c r="P25" s="36">
        <v>57705</v>
      </c>
      <c r="Q25" s="36">
        <v>80402</v>
      </c>
      <c r="R25" s="36">
        <v>80402</v>
      </c>
      <c r="S25" s="36">
        <v>80402</v>
      </c>
      <c r="T25" s="36">
        <v>80402</v>
      </c>
      <c r="U25" s="36">
        <v>80402</v>
      </c>
      <c r="V25" s="36">
        <v>80402</v>
      </c>
      <c r="W25" s="36">
        <v>80402</v>
      </c>
      <c r="X25" s="36">
        <v>80402</v>
      </c>
      <c r="Y25" s="36">
        <v>80402</v>
      </c>
      <c r="Z25" s="36">
        <v>80402</v>
      </c>
      <c r="AA25" s="36">
        <v>80402</v>
      </c>
      <c r="AB25" s="36">
        <v>80402</v>
      </c>
      <c r="AC25" s="36">
        <v>80402</v>
      </c>
      <c r="AD25" s="36">
        <v>58402</v>
      </c>
      <c r="AE25" s="36">
        <v>54882</v>
      </c>
      <c r="AF25" s="36">
        <v>54882</v>
      </c>
      <c r="AG25" s="36">
        <v>54882</v>
      </c>
      <c r="AH25" s="36"/>
      <c r="AI25" s="36">
        <f t="shared" si="1"/>
        <v>1259855</v>
      </c>
    </row>
    <row r="26" spans="2:35" ht="15">
      <c r="B26" s="35" t="s">
        <v>87</v>
      </c>
      <c r="C26" s="36">
        <v>54882</v>
      </c>
      <c r="D26" s="36">
        <v>54882</v>
      </c>
      <c r="E26" s="36">
        <v>54882</v>
      </c>
      <c r="F26" s="36">
        <v>54882</v>
      </c>
      <c r="G26" s="36">
        <v>68017</v>
      </c>
      <c r="H26" s="36">
        <v>68017</v>
      </c>
      <c r="I26" s="36">
        <v>68017</v>
      </c>
      <c r="J26" s="36">
        <v>68017</v>
      </c>
      <c r="K26" s="36">
        <v>68017</v>
      </c>
      <c r="L26" s="36">
        <v>82637</v>
      </c>
      <c r="M26" s="36">
        <v>82637</v>
      </c>
      <c r="N26" s="36">
        <v>82637</v>
      </c>
      <c r="O26" s="36">
        <v>82637</v>
      </c>
      <c r="P26" s="36">
        <v>82637</v>
      </c>
      <c r="Q26" s="36">
        <v>82637</v>
      </c>
      <c r="R26" s="36">
        <v>82637</v>
      </c>
      <c r="S26" s="36">
        <v>82637</v>
      </c>
      <c r="T26" s="36">
        <v>332637</v>
      </c>
      <c r="U26" s="36">
        <v>134267</v>
      </c>
      <c r="V26" s="36">
        <v>105185</v>
      </c>
      <c r="W26" s="36">
        <v>105185</v>
      </c>
      <c r="X26" s="36">
        <v>105185</v>
      </c>
      <c r="Y26" s="36">
        <v>105185</v>
      </c>
      <c r="Z26" s="36">
        <v>105185</v>
      </c>
      <c r="AA26" s="36">
        <v>105185</v>
      </c>
      <c r="AB26" s="36">
        <v>105185</v>
      </c>
      <c r="AC26" s="36">
        <v>105185</v>
      </c>
      <c r="AD26" s="36">
        <v>105185</v>
      </c>
      <c r="AE26" s="36"/>
      <c r="AF26" s="36"/>
      <c r="AG26" s="36"/>
      <c r="AH26" s="36"/>
      <c r="AI26" s="36">
        <f t="shared" si="1"/>
        <v>1736662</v>
      </c>
    </row>
    <row r="27" spans="2:35" ht="15">
      <c r="B27" s="35" t="s">
        <v>88</v>
      </c>
      <c r="C27" s="36">
        <v>105185</v>
      </c>
      <c r="D27" s="36">
        <v>105185</v>
      </c>
      <c r="E27" s="36">
        <v>105185</v>
      </c>
      <c r="F27" s="36">
        <v>105185</v>
      </c>
      <c r="G27" s="36">
        <v>105185</v>
      </c>
      <c r="H27" s="36">
        <v>105185</v>
      </c>
      <c r="I27" s="36">
        <v>105185</v>
      </c>
      <c r="J27" s="36">
        <v>105185</v>
      </c>
      <c r="K27" s="36">
        <v>105185</v>
      </c>
      <c r="L27" s="36">
        <v>105185</v>
      </c>
      <c r="M27" s="36">
        <v>105185</v>
      </c>
      <c r="N27" s="36">
        <v>105185</v>
      </c>
      <c r="O27" s="36">
        <v>105185</v>
      </c>
      <c r="P27" s="36">
        <v>105185</v>
      </c>
      <c r="Q27" s="36">
        <v>105185</v>
      </c>
      <c r="R27" s="36">
        <v>105185</v>
      </c>
      <c r="S27" s="36">
        <v>95365</v>
      </c>
      <c r="T27" s="36">
        <v>87865</v>
      </c>
      <c r="U27" s="36">
        <v>87865</v>
      </c>
      <c r="V27" s="36">
        <v>87865</v>
      </c>
      <c r="W27" s="36">
        <v>87865</v>
      </c>
      <c r="X27" s="36">
        <v>87865</v>
      </c>
      <c r="Y27" s="36">
        <v>87865</v>
      </c>
      <c r="Z27" s="36">
        <v>87865</v>
      </c>
      <c r="AA27" s="36">
        <v>87865</v>
      </c>
      <c r="AB27" s="36">
        <v>87865</v>
      </c>
      <c r="AC27" s="36">
        <v>87865</v>
      </c>
      <c r="AD27" s="36">
        <v>87865</v>
      </c>
      <c r="AE27" s="36">
        <v>87865</v>
      </c>
      <c r="AF27" s="36">
        <v>87865</v>
      </c>
      <c r="AG27" s="36">
        <v>87865</v>
      </c>
      <c r="AH27" s="36"/>
      <c r="AI27" s="36">
        <f t="shared" si="1"/>
        <v>2579396</v>
      </c>
    </row>
    <row r="28" spans="2:35" ht="15">
      <c r="B28" s="35" t="s">
        <v>89</v>
      </c>
      <c r="C28" s="36">
        <v>87865</v>
      </c>
      <c r="D28" s="36">
        <v>87865</v>
      </c>
      <c r="E28" s="36">
        <v>87865</v>
      </c>
      <c r="F28" s="36">
        <v>87835</v>
      </c>
      <c r="G28" s="36">
        <v>87835</v>
      </c>
      <c r="H28" s="36">
        <v>87835</v>
      </c>
      <c r="I28" s="36">
        <v>87835</v>
      </c>
      <c r="J28" s="36">
        <v>87835</v>
      </c>
      <c r="K28" s="36">
        <v>87835</v>
      </c>
      <c r="L28" s="36">
        <v>87835</v>
      </c>
      <c r="M28" s="36">
        <v>87835</v>
      </c>
      <c r="N28" s="36">
        <v>87835</v>
      </c>
      <c r="O28" s="36">
        <v>87835</v>
      </c>
      <c r="P28" s="36">
        <v>87835</v>
      </c>
      <c r="Q28" s="36">
        <v>87835</v>
      </c>
      <c r="R28" s="36">
        <v>87835</v>
      </c>
      <c r="S28" s="36">
        <v>87835</v>
      </c>
      <c r="T28" s="36">
        <v>87835</v>
      </c>
      <c r="U28" s="36">
        <v>87835</v>
      </c>
      <c r="V28" s="36">
        <v>87835</v>
      </c>
      <c r="W28" s="36">
        <v>87835</v>
      </c>
      <c r="X28" s="36">
        <v>87835</v>
      </c>
      <c r="Y28" s="36">
        <v>87835</v>
      </c>
      <c r="Z28" s="36">
        <v>87835</v>
      </c>
      <c r="AA28" s="36">
        <v>87835</v>
      </c>
      <c r="AB28" s="36">
        <v>87835</v>
      </c>
      <c r="AC28" s="36">
        <v>87835</v>
      </c>
      <c r="AD28" s="36">
        <v>87835</v>
      </c>
      <c r="AE28" s="36">
        <v>87835</v>
      </c>
      <c r="AF28" s="36">
        <v>87835</v>
      </c>
      <c r="AG28" s="36"/>
      <c r="AH28" s="36"/>
      <c r="AI28" s="36">
        <f t="shared" si="1"/>
        <v>2903250</v>
      </c>
    </row>
    <row r="29" spans="2:35" ht="15">
      <c r="B29" s="35" t="s">
        <v>90</v>
      </c>
      <c r="C29" s="36">
        <v>85335</v>
      </c>
      <c r="D29" s="36">
        <v>85335</v>
      </c>
      <c r="E29" s="36">
        <v>85335</v>
      </c>
      <c r="F29" s="36">
        <v>85335</v>
      </c>
      <c r="G29" s="36">
        <v>85335</v>
      </c>
      <c r="H29" s="36">
        <v>85335</v>
      </c>
      <c r="I29" s="36">
        <v>85335</v>
      </c>
      <c r="J29" s="36">
        <v>285335</v>
      </c>
      <c r="K29" s="36">
        <v>285335</v>
      </c>
      <c r="L29" s="36">
        <v>285335</v>
      </c>
      <c r="M29" s="36">
        <v>266335</v>
      </c>
      <c r="N29" s="36">
        <v>92686</v>
      </c>
      <c r="O29" s="36">
        <v>115561</v>
      </c>
      <c r="P29" s="36">
        <v>115561</v>
      </c>
      <c r="Q29" s="36">
        <v>115561</v>
      </c>
      <c r="R29" s="36">
        <v>115561</v>
      </c>
      <c r="S29" s="36">
        <v>115561</v>
      </c>
      <c r="T29" s="36">
        <v>110561</v>
      </c>
      <c r="U29" s="36">
        <v>110561</v>
      </c>
      <c r="V29" s="36">
        <v>110561</v>
      </c>
      <c r="W29" s="36">
        <v>110561</v>
      </c>
      <c r="X29" s="36">
        <v>110561</v>
      </c>
      <c r="Y29" s="36">
        <v>110561</v>
      </c>
      <c r="Z29" s="36">
        <v>110561</v>
      </c>
      <c r="AA29" s="36">
        <v>110561</v>
      </c>
      <c r="AB29" s="36">
        <v>110561</v>
      </c>
      <c r="AC29" s="36">
        <v>210561</v>
      </c>
      <c r="AD29" s="36">
        <v>210561</v>
      </c>
      <c r="AE29" s="36">
        <v>195556</v>
      </c>
      <c r="AF29" s="36">
        <v>195556</v>
      </c>
      <c r="AG29" s="36">
        <v>195556</v>
      </c>
      <c r="AH29" s="36"/>
      <c r="AI29" s="36">
        <f t="shared" si="1"/>
        <v>2547275</v>
      </c>
    </row>
    <row r="30" spans="2:35" ht="15.75" thickBot="1">
      <c r="B30" s="35" t="s">
        <v>91</v>
      </c>
      <c r="C30" s="36">
        <v>9735</v>
      </c>
      <c r="D30" s="36">
        <v>9735</v>
      </c>
      <c r="E30" s="36">
        <v>24818</v>
      </c>
      <c r="F30" s="36">
        <v>24818</v>
      </c>
      <c r="G30" s="36">
        <v>37120</v>
      </c>
      <c r="H30" s="36">
        <v>37120</v>
      </c>
      <c r="I30" s="36">
        <v>37120</v>
      </c>
      <c r="J30" s="36">
        <v>37120</v>
      </c>
      <c r="K30" s="36">
        <v>37120</v>
      </c>
      <c r="L30" s="36">
        <v>37120</v>
      </c>
      <c r="M30" s="36">
        <v>32120</v>
      </c>
      <c r="N30" s="36">
        <v>32120</v>
      </c>
      <c r="O30" s="36">
        <v>32120</v>
      </c>
      <c r="P30" s="36">
        <v>32120</v>
      </c>
      <c r="Q30" s="36">
        <v>32120</v>
      </c>
      <c r="R30" s="36">
        <v>32120</v>
      </c>
      <c r="S30" s="36">
        <v>32120</v>
      </c>
      <c r="T30" s="36">
        <v>32120</v>
      </c>
      <c r="U30" s="36">
        <v>32120</v>
      </c>
      <c r="V30" s="36">
        <v>32120</v>
      </c>
      <c r="W30" s="36">
        <v>32120</v>
      </c>
      <c r="X30" s="36">
        <v>32120</v>
      </c>
      <c r="Y30" s="36">
        <v>32120</v>
      </c>
      <c r="Z30" s="36">
        <v>32120</v>
      </c>
      <c r="AA30" s="36">
        <v>32120</v>
      </c>
      <c r="AB30" s="36">
        <v>32120</v>
      </c>
      <c r="AC30" s="36">
        <v>32120</v>
      </c>
      <c r="AD30" s="36">
        <v>32120</v>
      </c>
      <c r="AE30" s="36">
        <v>32120</v>
      </c>
      <c r="AF30" s="36">
        <v>32120</v>
      </c>
      <c r="AG30" s="36"/>
      <c r="AH30" s="36"/>
      <c r="AI30" s="36">
        <f t="shared" si="1"/>
        <v>4307680</v>
      </c>
    </row>
    <row r="31" spans="2:35" ht="15.75" hidden="1" thickBot="1">
      <c r="B31" s="35" t="s">
        <v>92</v>
      </c>
      <c r="C31" s="36">
        <v>232120</v>
      </c>
      <c r="D31" s="36">
        <v>31938</v>
      </c>
      <c r="E31" s="36">
        <v>31938</v>
      </c>
      <c r="F31" s="36">
        <v>31938</v>
      </c>
      <c r="G31" s="36">
        <v>31938</v>
      </c>
      <c r="H31" s="36">
        <v>31938</v>
      </c>
      <c r="I31" s="36">
        <v>39621</v>
      </c>
      <c r="J31" s="36">
        <v>39621</v>
      </c>
      <c r="K31" s="36">
        <v>39592</v>
      </c>
      <c r="L31" s="36">
        <v>39592</v>
      </c>
      <c r="M31" s="36">
        <v>39592</v>
      </c>
      <c r="N31" s="36">
        <v>39592</v>
      </c>
      <c r="O31" s="36">
        <v>39592</v>
      </c>
      <c r="P31" s="36">
        <v>39592</v>
      </c>
      <c r="Q31" s="36">
        <v>39592</v>
      </c>
      <c r="R31" s="36">
        <v>39592</v>
      </c>
      <c r="S31" s="36">
        <v>39592</v>
      </c>
      <c r="T31" s="36">
        <v>39592</v>
      </c>
      <c r="U31" s="36">
        <v>39592</v>
      </c>
      <c r="V31" s="36">
        <v>39592</v>
      </c>
      <c r="W31" s="36">
        <v>39592</v>
      </c>
      <c r="X31" s="36">
        <v>39592</v>
      </c>
      <c r="Y31" s="36">
        <v>39592</v>
      </c>
      <c r="Z31" s="36">
        <v>39592</v>
      </c>
      <c r="AA31" s="36">
        <v>39592</v>
      </c>
      <c r="AB31" s="36">
        <v>39592</v>
      </c>
      <c r="AC31" s="36">
        <v>39592</v>
      </c>
      <c r="AD31" s="36">
        <v>39592</v>
      </c>
      <c r="AE31" s="36">
        <v>39592</v>
      </c>
      <c r="AF31" s="36">
        <v>39592</v>
      </c>
      <c r="AG31" s="36">
        <v>39592</v>
      </c>
      <c r="AH31" s="36"/>
      <c r="AI31" s="36">
        <f t="shared" si="1"/>
        <v>924491</v>
      </c>
    </row>
    <row r="32" spans="2:35" ht="15.75" hidden="1" thickBot="1">
      <c r="B32" s="35" t="s">
        <v>93</v>
      </c>
      <c r="C32" s="36">
        <v>39592</v>
      </c>
      <c r="D32" s="36">
        <v>39592</v>
      </c>
      <c r="E32" s="36">
        <v>39592</v>
      </c>
      <c r="F32" s="36">
        <v>39592</v>
      </c>
      <c r="G32" s="36">
        <v>39592</v>
      </c>
      <c r="H32" s="36">
        <v>39592</v>
      </c>
      <c r="I32" s="36">
        <v>39592</v>
      </c>
      <c r="J32" s="36">
        <v>39592</v>
      </c>
      <c r="K32" s="36">
        <v>39592</v>
      </c>
      <c r="L32" s="36">
        <v>39592</v>
      </c>
      <c r="M32" s="36">
        <v>59592</v>
      </c>
      <c r="N32" s="36">
        <v>59592</v>
      </c>
      <c r="O32" s="36">
        <v>59592</v>
      </c>
      <c r="P32" s="36">
        <v>4293</v>
      </c>
      <c r="Q32" s="36">
        <v>4293</v>
      </c>
      <c r="R32" s="36">
        <v>4293</v>
      </c>
      <c r="S32" s="36">
        <v>4293</v>
      </c>
      <c r="T32" s="36">
        <v>4293</v>
      </c>
      <c r="U32" s="36">
        <v>4293</v>
      </c>
      <c r="V32" s="36">
        <v>4293</v>
      </c>
      <c r="W32" s="36">
        <v>4293</v>
      </c>
      <c r="X32" s="36">
        <v>4293</v>
      </c>
      <c r="Y32" s="36">
        <v>4293</v>
      </c>
      <c r="Z32" s="36">
        <v>254293</v>
      </c>
      <c r="AA32" s="36">
        <v>254293</v>
      </c>
      <c r="AB32" s="36">
        <v>254293</v>
      </c>
      <c r="AC32" s="36">
        <v>254293</v>
      </c>
      <c r="AD32" s="36">
        <v>254293</v>
      </c>
      <c r="AE32" s="36">
        <v>254293</v>
      </c>
      <c r="AF32" s="36">
        <v>254293</v>
      </c>
      <c r="AG32" s="36"/>
      <c r="AH32" s="36"/>
      <c r="AI32" s="37">
        <f t="shared" si="1"/>
        <v>1149548</v>
      </c>
    </row>
    <row r="33" spans="2:36" ht="15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8">
        <f>SUM(AI21:AI32)/365</f>
        <v>73217.764383561647</v>
      </c>
    </row>
    <row r="34" spans="2:36" ht="15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47" t="s">
        <v>94</v>
      </c>
      <c r="AF34" s="47"/>
      <c r="AG34" s="47"/>
      <c r="AH34" s="47"/>
      <c r="AI34" s="36">
        <f>(79676/1074.61)</f>
        <v>74.144108095029836</v>
      </c>
    </row>
    <row r="37" spans="2:36">
      <c r="AJ37" s="39" t="s">
        <v>97</v>
      </c>
    </row>
  </sheetData>
  <mergeCells count="3">
    <mergeCell ref="D2:L2"/>
    <mergeCell ref="D18:L18"/>
    <mergeCell ref="AE34:AH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2020-09-12T11:44:24Z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