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/>
  <c r="B18"/>
  <c r="C18"/>
  <c r="C22"/>
  <c r="C21"/>
  <c r="D21" s="1"/>
  <c r="F21" s="1"/>
  <c r="B22"/>
  <c r="B21"/>
  <c r="F17"/>
  <c r="D17"/>
  <c r="C12"/>
  <c r="B12"/>
  <c r="C7"/>
  <c r="C8"/>
  <c r="F9"/>
  <c r="D9"/>
  <c r="B8"/>
  <c r="B7"/>
  <c r="D23"/>
  <c r="F23" s="1"/>
  <c r="D19"/>
  <c r="F19" s="1"/>
  <c r="D14"/>
  <c r="F14" s="1"/>
  <c r="M9" i="2"/>
  <c r="D10" i="1"/>
  <c r="F10" s="1"/>
  <c r="D5"/>
  <c r="F5" s="1"/>
  <c r="D4"/>
  <c r="F4" s="1"/>
  <c r="D3"/>
  <c r="F3" s="1"/>
  <c r="F31"/>
  <c r="D18" l="1"/>
  <c r="F18" s="1"/>
  <c r="D12"/>
  <c r="F12" s="1"/>
  <c r="D22"/>
  <c r="F22" s="1"/>
  <c r="D16"/>
  <c r="F16" s="1"/>
  <c r="D6"/>
  <c r="F6" s="1"/>
  <c r="D13"/>
  <c r="F13" s="1"/>
  <c r="D8"/>
  <c r="F8" s="1"/>
  <c r="D7"/>
  <c r="F7" s="1"/>
  <c r="F24" l="1"/>
  <c r="E13" i="5"/>
  <c r="F12"/>
  <c r="F11"/>
  <c r="F10"/>
  <c r="F9"/>
  <c r="F8"/>
  <c r="F7"/>
  <c r="F6"/>
  <c r="F26" i="1"/>
  <c r="F25" l="1"/>
  <c r="F28" s="1"/>
  <c r="F32" s="1"/>
  <c r="F13" i="5"/>
</calcChain>
</file>

<file path=xl/sharedStrings.xml><?xml version="1.0" encoding="utf-8"?>
<sst xmlns="http://schemas.openxmlformats.org/spreadsheetml/2006/main" count="142" uniqueCount="98">
  <si>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</si>
  <si>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</si>
  <si>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</si>
  <si>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</si>
  <si>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</si>
  <si>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</si>
  <si>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</si>
  <si>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</si>
  <si>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</si>
  <si>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</si>
  <si>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</si>
  <si>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</si>
  <si>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</si>
  <si>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</si>
  <si>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</si>
  <si>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</si>
  <si>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</si>
  <si>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</si>
  <si>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</si>
  <si>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</si>
  <si>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</si>
  <si>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</si>
  <si>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</si>
  <si>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</si>
  <si>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</si>
  <si>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</si>
  <si>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</si>
  <si>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</si>
  <si>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</si>
  <si>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</si>
  <si>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</si>
  <si>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</si>
  <si>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</si>
  <si>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</si>
  <si>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</si>
  <si>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</si>
  <si>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</si>
  <si>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</si>
  <si>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</si>
  <si>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</si>
  <si>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</si>
  <si>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</si>
  <si>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</si>
  <si>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</si>
  <si>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</si>
  <si>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</si>
  <si>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</si>
  <si>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</si>
  <si>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</si>
  <si>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Loan Start Date</t>
  </si>
  <si>
    <t xml:space="preserve">Max FOIR            </t>
  </si>
  <si>
    <t>Payment made u/s 40A(2)b</t>
  </si>
  <si>
    <t>Bank Interest</t>
  </si>
  <si>
    <t xml:space="preserve"> </t>
  </si>
  <si>
    <t>2020-21</t>
  </si>
  <si>
    <t>POS</t>
  </si>
  <si>
    <t>Income from other sources</t>
  </si>
  <si>
    <t>Payment made u/s 40A(2)b (Not in deal)</t>
  </si>
  <si>
    <t>Income from salary</t>
  </si>
  <si>
    <t>Main Firm</t>
  </si>
  <si>
    <t>Repayment account no</t>
  </si>
  <si>
    <t>Sale as on 31 mar 19</t>
  </si>
  <si>
    <t>Sale as on 31 mar 20</t>
  </si>
  <si>
    <t>Sale as on 31 mar 21</t>
  </si>
  <si>
    <t>ABFLLDHBIL00001434887</t>
  </si>
  <si>
    <t>Sukhmani Enterprises</t>
  </si>
  <si>
    <t>ABFL</t>
  </si>
  <si>
    <t>ICICI CA 000130</t>
  </si>
  <si>
    <t>Bajaj</t>
  </si>
  <si>
    <t>Cv</t>
  </si>
  <si>
    <t>426DHFFY771601</t>
  </si>
  <si>
    <t>UPLUD0041007172</t>
  </si>
  <si>
    <t>ICICI Bank</t>
  </si>
  <si>
    <t>PL</t>
  </si>
  <si>
    <t>IDFC First</t>
  </si>
  <si>
    <t>BL</t>
  </si>
  <si>
    <t>Magma</t>
  </si>
  <si>
    <t>TCFBL0363000011028367</t>
  </si>
  <si>
    <t>Sukhmani Kaur</t>
  </si>
  <si>
    <t>Tata Capital</t>
  </si>
  <si>
    <t>Sukhmani Enterprises (Prop. Sukhmani Kaur)</t>
  </si>
  <si>
    <t xml:space="preserve">Interest    </t>
  </si>
  <si>
    <t>Need Detail</t>
  </si>
  <si>
    <t>Rajinder Singh Bhatia</t>
  </si>
  <si>
    <t>Income from business &amp; profession</t>
  </si>
  <si>
    <t>Taranveer Singh Bhatia</t>
  </si>
  <si>
    <t>Business income u/s 44 AD</t>
  </si>
  <si>
    <t>Raminder Kaur Bhatia</t>
  </si>
  <si>
    <t>Income from house property</t>
  </si>
  <si>
    <t>(Rent agreement needed)</t>
  </si>
  <si>
    <t>(firm to be add)</t>
  </si>
  <si>
    <t>Taranveer Singh</t>
  </si>
  <si>
    <t>Rajinder Singh</t>
  </si>
  <si>
    <t>Raminder Kaur</t>
  </si>
  <si>
    <t>Prop.</t>
  </si>
  <si>
    <t>Spouse of Sukhmani</t>
  </si>
  <si>
    <t>Father of Taranveer</t>
  </si>
  <si>
    <t>Mother oi Taranveer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</si>
</sst>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22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Cambria"/>
      <family val="1"/>
      <scheme val="maj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2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1" fillId="0" borderId="0" applyFill="0" applyAlignment="0" applyProtection="0"/>
    <xf numFmtId="9" fontId="11" fillId="0" borderId="0" applyFill="0" applyBorder="0" applyAlignment="0" applyProtection="0"/>
    <xf numFmtId="0" fontId="11" fillId="0" borderId="0"/>
    <xf numFmtId="0" fontId="9" fillId="0" borderId="0"/>
    <xf numFmtId="165" fontId="8" fillId="0" borderId="0" applyBorder="0" applyProtection="0"/>
    <xf numFmtId="0" fontId="12" fillId="0" borderId="0"/>
  </cellStyleXfs>
  <cellXfs count="75">
    <xf numFmtId="0" fontId="0" fillId="0" borderId="0" xfId="0"/>
    <xf numFmtId="0" fontId="4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5" fillId="2" borderId="1" xfId="0" applyFont="1" applyFill="1" applyBorder="1" applyAlignment="1" applyProtection="1">
      <alignment vertical="top" wrapText="1"/>
      <protection hidden="1"/>
    </xf>
    <xf numFmtId="0" fontId="4" fillId="2" borderId="1" xfId="0" applyFont="1" applyFill="1" applyBorder="1" applyAlignment="1" applyProtection="1">
      <alignment vertical="top" wrapText="1"/>
      <protection hidden="1"/>
    </xf>
    <xf numFmtId="0" fontId="4" fillId="2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3" borderId="1" xfId="0" applyFont="1" applyFill="1" applyBorder="1" applyAlignment="1" applyProtection="1">
      <alignment vertical="top" wrapText="1"/>
      <protection hidden="1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4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4" fillId="3" borderId="1" xfId="2" applyNumberFormat="1" applyFont="1" applyFill="1" applyBorder="1" applyAlignment="1" applyProtection="1">
      <alignment horizontal="left" vertical="top" wrapText="1"/>
      <protection hidden="1"/>
    </xf>
    <xf numFmtId="0" fontId="13" fillId="5" borderId="0" xfId="3" applyFont="1" applyFill="1" applyBorder="1" applyAlignment="1">
      <alignment horizontal="left" vertical="top"/>
    </xf>
    <xf numFmtId="0" fontId="13" fillId="0" borderId="0" xfId="0" applyFont="1" applyBorder="1" applyAlignment="1">
      <alignment horizontal="left"/>
    </xf>
    <xf numFmtId="0" fontId="13" fillId="0" borderId="0" xfId="0" applyFont="1" applyAlignment="1">
      <alignment horizontal="left"/>
    </xf>
    <xf numFmtId="164" fontId="14" fillId="7" borderId="2" xfId="1" applyNumberFormat="1" applyFont="1" applyFill="1" applyBorder="1" applyAlignment="1" applyProtection="1">
      <alignment horizontal="left" vertical="center"/>
    </xf>
    <xf numFmtId="164" fontId="15" fillId="7" borderId="2" xfId="1" applyNumberFormat="1" applyFont="1" applyFill="1" applyBorder="1" applyAlignment="1" applyProtection="1">
      <alignment vertical="center"/>
    </xf>
    <xf numFmtId="164" fontId="15" fillId="7" borderId="2" xfId="1" applyNumberFormat="1" applyFont="1" applyFill="1" applyBorder="1" applyAlignment="1" applyProtection="1">
      <alignment horizontal="left" vertical="center"/>
    </xf>
    <xf numFmtId="164" fontId="15" fillId="5" borderId="2" xfId="1" applyNumberFormat="1" applyFont="1" applyFill="1" applyBorder="1" applyAlignment="1" applyProtection="1">
      <alignment horizontal="left" vertical="center"/>
    </xf>
    <xf numFmtId="166" fontId="16" fillId="6" borderId="2" xfId="1" applyNumberFormat="1" applyFont="1" applyFill="1" applyBorder="1" applyAlignment="1" applyProtection="1">
      <alignment horizontal="left" vertical="center"/>
    </xf>
    <xf numFmtId="166" fontId="16" fillId="4" borderId="2" xfId="1" applyNumberFormat="1" applyFont="1" applyFill="1" applyBorder="1" applyAlignment="1" applyProtection="1">
      <alignment horizontal="left" vertical="center"/>
    </xf>
    <xf numFmtId="164" fontId="15" fillId="5" borderId="2" xfId="1" applyNumberFormat="1" applyFont="1" applyFill="1" applyBorder="1" applyAlignment="1" applyProtection="1">
      <alignment horizontal="left" vertical="top"/>
    </xf>
    <xf numFmtId="9" fontId="15" fillId="5" borderId="2" xfId="1" applyNumberFormat="1" applyFont="1" applyFill="1" applyBorder="1" applyAlignment="1" applyProtection="1">
      <alignment horizontal="left" vertical="top"/>
    </xf>
    <xf numFmtId="164" fontId="15" fillId="0" borderId="2" xfId="1" applyNumberFormat="1" applyFont="1" applyFill="1" applyBorder="1" applyAlignment="1" applyProtection="1">
      <alignment horizontal="left" vertical="top"/>
    </xf>
    <xf numFmtId="0" fontId="15" fillId="0" borderId="2" xfId="0" applyNumberFormat="1" applyFont="1" applyFill="1" applyBorder="1" applyAlignment="1"/>
    <xf numFmtId="164" fontId="15" fillId="0" borderId="2" xfId="1" applyNumberFormat="1" applyFont="1" applyFill="1" applyBorder="1" applyAlignment="1" applyProtection="1">
      <alignment vertical="center"/>
    </xf>
    <xf numFmtId="10" fontId="15" fillId="0" borderId="2" xfId="1" applyNumberFormat="1" applyFont="1" applyFill="1" applyBorder="1" applyAlignment="1" applyProtection="1">
      <alignment horizontal="left" vertical="top"/>
    </xf>
    <xf numFmtId="164" fontId="14" fillId="9" borderId="2" xfId="1" applyNumberFormat="1" applyFont="1" applyFill="1" applyBorder="1" applyAlignment="1" applyProtection="1">
      <alignment horizontal="left" vertical="center"/>
    </xf>
    <xf numFmtId="9" fontId="14" fillId="9" borderId="2" xfId="1" applyNumberFormat="1" applyFont="1" applyFill="1" applyBorder="1" applyAlignment="1" applyProtection="1">
      <alignment horizontal="left" vertical="center"/>
    </xf>
    <xf numFmtId="165" fontId="14" fillId="9" borderId="2" xfId="1" applyFont="1" applyFill="1" applyBorder="1" applyAlignment="1" applyProtection="1">
      <alignment horizontal="left" vertical="top"/>
    </xf>
    <xf numFmtId="0" fontId="14" fillId="9" borderId="2" xfId="0" applyNumberFormat="1" applyFont="1" applyFill="1" applyBorder="1" applyAlignment="1"/>
    <xf numFmtId="167" fontId="14" fillId="9" borderId="2" xfId="1" applyNumberFormat="1" applyFont="1" applyFill="1" applyBorder="1" applyAlignment="1" applyProtection="1">
      <alignment horizontal="left" vertical="top"/>
    </xf>
    <xf numFmtId="164" fontId="14" fillId="9" borderId="2" xfId="1" applyNumberFormat="1" applyFont="1" applyFill="1" applyBorder="1" applyAlignment="1" applyProtection="1">
      <alignment horizontal="left" vertical="top"/>
    </xf>
    <xf numFmtId="2" fontId="14" fillId="9" borderId="2" xfId="5" applyNumberFormat="1" applyFont="1" applyFill="1" applyBorder="1" applyAlignment="1" applyProtection="1">
      <alignment horizontal="left" vertical="top"/>
    </xf>
    <xf numFmtId="165" fontId="14" fillId="9" borderId="2" xfId="5" applyNumberFormat="1" applyFont="1" applyFill="1" applyBorder="1" applyAlignment="1" applyProtection="1">
      <alignment horizontal="left" vertical="top"/>
    </xf>
    <xf numFmtId="0" fontId="17" fillId="7" borderId="2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1" fontId="18" fillId="4" borderId="2" xfId="0" applyNumberFormat="1" applyFont="1" applyFill="1" applyBorder="1" applyAlignment="1">
      <alignment horizontal="left" vertical="center" wrapText="1"/>
    </xf>
    <xf numFmtId="168" fontId="18" fillId="4" borderId="2" xfId="0" applyNumberFormat="1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0" fontId="20" fillId="0" borderId="2" xfId="0" applyFont="1" applyFill="1" applyBorder="1" applyAlignment="1">
      <alignment horizontal="left" vertical="center" wrapText="1"/>
    </xf>
    <xf numFmtId="1" fontId="20" fillId="0" borderId="2" xfId="0" applyNumberFormat="1" applyFont="1" applyBorder="1" applyAlignment="1">
      <alignment horizontal="left" vertical="center" wrapText="1"/>
    </xf>
    <xf numFmtId="1" fontId="19" fillId="5" borderId="2" xfId="0" applyNumberFormat="1" applyFont="1" applyFill="1" applyBorder="1" applyAlignment="1">
      <alignment horizontal="left" vertical="center"/>
    </xf>
    <xf numFmtId="0" fontId="15" fillId="5" borderId="2" xfId="3" applyFont="1" applyFill="1" applyBorder="1" applyAlignment="1">
      <alignment horizontal="left" vertical="top"/>
    </xf>
    <xf numFmtId="1" fontId="20" fillId="0" borderId="2" xfId="0" applyNumberFormat="1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 wrapText="1"/>
    </xf>
    <xf numFmtId="2" fontId="18" fillId="6" borderId="2" xfId="0" applyNumberFormat="1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left"/>
    </xf>
    <xf numFmtId="0" fontId="18" fillId="4" borderId="0" xfId="0" applyFont="1" applyFill="1" applyAlignment="1">
      <alignment horizontal="left"/>
    </xf>
    <xf numFmtId="0" fontId="3" fillId="0" borderId="2" xfId="0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2" fontId="3" fillId="5" borderId="2" xfId="0" applyNumberFormat="1" applyFont="1" applyFill="1" applyBorder="1" applyAlignment="1">
      <alignment horizontal="left" vertical="center"/>
    </xf>
    <xf numFmtId="168" fontId="3" fillId="4" borderId="2" xfId="0" applyNumberFormat="1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/>
    </xf>
    <xf numFmtId="0" fontId="18" fillId="4" borderId="2" xfId="0" applyFont="1" applyFill="1" applyBorder="1" applyAlignment="1">
      <alignment horizontal="left"/>
    </xf>
    <xf numFmtId="0" fontId="19" fillId="8" borderId="2" xfId="0" applyFont="1" applyFill="1" applyBorder="1" applyAlignment="1">
      <alignment horizontal="left"/>
    </xf>
    <xf numFmtId="1" fontId="1" fillId="4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168" fontId="18" fillId="8" borderId="2" xfId="0" applyNumberFormat="1" applyFont="1" applyFill="1" applyBorder="1" applyAlignment="1">
      <alignment horizontal="left" vertical="center" wrapText="1"/>
    </xf>
    <xf numFmtId="1" fontId="18" fillId="8" borderId="2" xfId="0" applyNumberFormat="1" applyFont="1" applyFill="1" applyBorder="1" applyAlignment="1">
      <alignment horizontal="left" vertical="center" wrapText="1"/>
    </xf>
    <xf numFmtId="1" fontId="3" fillId="8" borderId="2" xfId="0" applyNumberFormat="1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1" fontId="2" fillId="8" borderId="2" xfId="0" applyNumberFormat="1" applyFont="1" applyFill="1" applyBorder="1" applyAlignment="1">
      <alignment horizontal="left" vertical="center" wrapText="1"/>
    </xf>
    <xf numFmtId="168" fontId="3" fillId="8" borderId="2" xfId="0" applyNumberFormat="1" applyFont="1" applyFill="1" applyBorder="1" applyAlignment="1">
      <alignment horizontal="left" vertical="center" wrapText="1"/>
    </xf>
    <xf numFmtId="0" fontId="21" fillId="5" borderId="0" xfId="3" applyFont="1" applyFill="1" applyBorder="1" applyAlignment="1">
      <alignment horizontal="left" vertical="top"/>
    </xf>
    <xf numFmtId="0" fontId="4" fillId="2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32"/>
  <sheetViews>
    <sheetView tabSelected="1" zoomScale="160" zoomScaleNormal="160" workbookViewId="0">
      <selection activeCell="H18" sqref="H18"/>
    </sheetView>
  </sheetViews>
  <sheetFormatPr defaultColWidth="31.28515625" defaultRowHeight="12"/>
  <cols>
    <col min="1" max="1" width="30.42578125" style="20" bestFit="1" customWidth="1"/>
    <col min="2" max="3" width="6.85546875" style="20" bestFit="1" customWidth="1"/>
    <col min="4" max="4" width="7.85546875" style="20" bestFit="1" customWidth="1"/>
    <col min="5" max="5" width="7.140625" style="20" bestFit="1" customWidth="1"/>
    <col min="6" max="6" width="12.5703125" style="20" bestFit="1" customWidth="1"/>
    <col min="7" max="7" width="14.140625" style="20" customWidth="1"/>
    <col min="8" max="8" width="16.5703125" style="20" bestFit="1" customWidth="1"/>
    <col min="9" max="9" width="14.28515625" style="20" bestFit="1" customWidth="1"/>
    <col min="10" max="10" width="11" style="20" customWidth="1"/>
    <col min="11" max="11" width="11.5703125" style="20" customWidth="1"/>
    <col min="12" max="12" width="12" style="20" customWidth="1"/>
    <col min="13" max="230" width="31.28515625" style="20"/>
    <col min="231" max="238" width="31.28515625" style="21"/>
    <col min="239" max="16384" width="31.28515625" style="22"/>
  </cols>
  <sheetData>
    <row r="1" spans="1:9" ht="11.25" customHeight="1">
      <c r="A1" s="23" t="s">
        <v>65</v>
      </c>
      <c r="B1" s="24"/>
      <c r="C1" s="24"/>
      <c r="D1" s="25"/>
      <c r="E1" s="25"/>
      <c r="F1" s="25"/>
    </row>
    <row r="2" spans="1:9" ht="11.25" customHeight="1">
      <c r="A2" s="23" t="s">
        <v>80</v>
      </c>
      <c r="B2" s="35" t="s">
        <v>54</v>
      </c>
      <c r="C2" s="35" t="s">
        <v>46</v>
      </c>
      <c r="D2" s="35" t="s">
        <v>0</v>
      </c>
      <c r="E2" s="36" t="s">
        <v>1</v>
      </c>
      <c r="F2" s="35" t="s">
        <v>2</v>
      </c>
      <c r="H2" s="52" t="s">
        <v>61</v>
      </c>
      <c r="I2" s="52">
        <v>35439132</v>
      </c>
    </row>
    <row r="3" spans="1:9" ht="11.25" customHeight="1">
      <c r="A3" s="26" t="s">
        <v>47</v>
      </c>
      <c r="B3" s="27">
        <v>860016</v>
      </c>
      <c r="C3" s="28">
        <v>699281</v>
      </c>
      <c r="D3" s="29">
        <f>AVERAGE(B3:C3)</f>
        <v>779648.5</v>
      </c>
      <c r="E3" s="30">
        <v>1</v>
      </c>
      <c r="F3" s="29">
        <f t="shared" ref="F3:F10" si="0">E3*D3</f>
        <v>779648.5</v>
      </c>
      <c r="H3" s="52" t="s">
        <v>62</v>
      </c>
      <c r="I3" s="52">
        <v>81833617</v>
      </c>
    </row>
    <row r="4" spans="1:9" ht="11.25" customHeight="1">
      <c r="A4" s="26" t="s">
        <v>48</v>
      </c>
      <c r="B4" s="27">
        <v>8993</v>
      </c>
      <c r="C4" s="28">
        <v>6632</v>
      </c>
      <c r="D4" s="29">
        <f t="shared" ref="D4:D10" si="1">AVERAGE(B4:C4)</f>
        <v>7812.5</v>
      </c>
      <c r="E4" s="30">
        <v>1</v>
      </c>
      <c r="F4" s="29">
        <f t="shared" si="0"/>
        <v>7812.5</v>
      </c>
      <c r="H4" s="52" t="s">
        <v>63</v>
      </c>
      <c r="I4" s="52">
        <f>0+0+7155384+2067434+6920789+5630018+2026841+2107316+8239434+2389814+731445+4612063+825+1163</f>
        <v>41882526</v>
      </c>
    </row>
    <row r="5" spans="1:9" ht="11.25" customHeight="1">
      <c r="A5" s="26" t="s">
        <v>52</v>
      </c>
      <c r="B5" s="27">
        <v>81544</v>
      </c>
      <c r="C5" s="28">
        <v>0</v>
      </c>
      <c r="D5" s="29">
        <f t="shared" si="1"/>
        <v>40772</v>
      </c>
      <c r="E5" s="30">
        <v>1</v>
      </c>
      <c r="F5" s="29">
        <f t="shared" si="0"/>
        <v>40772</v>
      </c>
    </row>
    <row r="6" spans="1:9" ht="11.25" customHeight="1">
      <c r="A6" s="26" t="s">
        <v>81</v>
      </c>
      <c r="B6" s="27">
        <v>239696</v>
      </c>
      <c r="C6" s="28">
        <v>167302</v>
      </c>
      <c r="D6" s="29">
        <f t="shared" si="1"/>
        <v>203499</v>
      </c>
      <c r="E6" s="30">
        <v>1</v>
      </c>
      <c r="F6" s="29">
        <f t="shared" si="0"/>
        <v>203499</v>
      </c>
      <c r="G6" s="73" t="s">
        <v>82</v>
      </c>
    </row>
    <row r="7" spans="1:9" ht="11.25" customHeight="1">
      <c r="A7" s="26" t="s">
        <v>51</v>
      </c>
      <c r="B7" s="27">
        <f>300000+216000+114778+78926+25500+8400</f>
        <v>743604</v>
      </c>
      <c r="C7" s="28">
        <f>240000+115200+76943+62137+7200</f>
        <v>501480</v>
      </c>
      <c r="D7" s="29">
        <f t="shared" ref="D7" si="2">AVERAGE(B7:C7)</f>
        <v>622542</v>
      </c>
      <c r="E7" s="30">
        <v>1</v>
      </c>
      <c r="F7" s="29">
        <f t="shared" ref="F7" si="3">E7*D7</f>
        <v>622542</v>
      </c>
      <c r="H7" s="52" t="s">
        <v>65</v>
      </c>
      <c r="I7" s="52" t="s">
        <v>59</v>
      </c>
    </row>
    <row r="8" spans="1:9" ht="11.25" customHeight="1">
      <c r="A8" s="26" t="s">
        <v>57</v>
      </c>
      <c r="B8" s="27">
        <f>36401+9591</f>
        <v>45992</v>
      </c>
      <c r="C8" s="28">
        <f>677242+25016</f>
        <v>702258</v>
      </c>
      <c r="D8" s="29">
        <f t="shared" si="1"/>
        <v>374125</v>
      </c>
      <c r="E8" s="30">
        <v>1</v>
      </c>
      <c r="F8" s="29">
        <f t="shared" si="0"/>
        <v>374125</v>
      </c>
      <c r="H8" s="52" t="s">
        <v>78</v>
      </c>
      <c r="I8" s="52" t="s">
        <v>94</v>
      </c>
    </row>
    <row r="9" spans="1:9" ht="11.25" customHeight="1">
      <c r="A9" s="26" t="s">
        <v>56</v>
      </c>
      <c r="B9" s="27">
        <v>1238</v>
      </c>
      <c r="C9" s="28">
        <v>2174</v>
      </c>
      <c r="D9" s="29">
        <f t="shared" ref="D9" si="4">AVERAGE(B9:C9)</f>
        <v>1706</v>
      </c>
      <c r="E9" s="30">
        <v>0</v>
      </c>
      <c r="F9" s="29">
        <f t="shared" ref="F9" si="5">E9*D9</f>
        <v>0</v>
      </c>
      <c r="H9" s="52" t="s">
        <v>91</v>
      </c>
      <c r="I9" s="52" t="s">
        <v>95</v>
      </c>
    </row>
    <row r="10" spans="1:9" ht="10.5" customHeight="1">
      <c r="A10" s="26" t="s">
        <v>3</v>
      </c>
      <c r="B10" s="27">
        <v>-57995</v>
      </c>
      <c r="C10" s="27">
        <v>-41555</v>
      </c>
      <c r="D10" s="29">
        <f t="shared" si="1"/>
        <v>-49775</v>
      </c>
      <c r="E10" s="30">
        <v>1</v>
      </c>
      <c r="F10" s="29">
        <f t="shared" si="0"/>
        <v>-49775</v>
      </c>
      <c r="H10" s="52" t="s">
        <v>92</v>
      </c>
      <c r="I10" s="52" t="s">
        <v>96</v>
      </c>
    </row>
    <row r="11" spans="1:9" ht="11.25" customHeight="1">
      <c r="A11" s="23" t="s">
        <v>83</v>
      </c>
      <c r="B11" s="35" t="s">
        <v>54</v>
      </c>
      <c r="C11" s="35" t="s">
        <v>46</v>
      </c>
      <c r="D11" s="35" t="s">
        <v>0</v>
      </c>
      <c r="E11" s="36" t="s">
        <v>1</v>
      </c>
      <c r="F11" s="35" t="s">
        <v>2</v>
      </c>
      <c r="H11" s="52" t="s">
        <v>93</v>
      </c>
      <c r="I11" s="52" t="s">
        <v>97</v>
      </c>
    </row>
    <row r="12" spans="1:9" ht="11.25" customHeight="1">
      <c r="A12" s="26" t="s">
        <v>84</v>
      </c>
      <c r="B12" s="27">
        <f>512228+156617</f>
        <v>668845</v>
      </c>
      <c r="C12" s="28">
        <f>518313+179736</f>
        <v>698049</v>
      </c>
      <c r="D12" s="29">
        <f t="shared" ref="D12:D14" si="6">AVERAGE(B12:C12)</f>
        <v>683447</v>
      </c>
      <c r="E12" s="30">
        <v>0</v>
      </c>
      <c r="F12" s="29">
        <f t="shared" ref="F12:F14" si="7">E12*D12</f>
        <v>0</v>
      </c>
      <c r="G12" s="73" t="s">
        <v>90</v>
      </c>
    </row>
    <row r="13" spans="1:9" ht="11.25" customHeight="1">
      <c r="A13" s="26" t="s">
        <v>56</v>
      </c>
      <c r="B13" s="27">
        <v>299</v>
      </c>
      <c r="C13" s="28">
        <v>1488</v>
      </c>
      <c r="D13" s="29">
        <f t="shared" si="6"/>
        <v>893.5</v>
      </c>
      <c r="E13" s="30">
        <v>0</v>
      </c>
      <c r="F13" s="29">
        <f t="shared" si="7"/>
        <v>0</v>
      </c>
    </row>
    <row r="14" spans="1:9" ht="10.5" customHeight="1">
      <c r="A14" s="26" t="s">
        <v>3</v>
      </c>
      <c r="B14" s="27">
        <v>0</v>
      </c>
      <c r="C14" s="27">
        <v>-11642</v>
      </c>
      <c r="D14" s="29">
        <f t="shared" si="6"/>
        <v>-5821</v>
      </c>
      <c r="E14" s="30">
        <v>1</v>
      </c>
      <c r="F14" s="29">
        <f t="shared" si="7"/>
        <v>-5821</v>
      </c>
    </row>
    <row r="15" spans="1:9" ht="11.25" customHeight="1">
      <c r="A15" s="23" t="s">
        <v>85</v>
      </c>
      <c r="B15" s="35" t="s">
        <v>54</v>
      </c>
      <c r="C15" s="35" t="s">
        <v>46</v>
      </c>
      <c r="D15" s="35" t="s">
        <v>0</v>
      </c>
      <c r="E15" s="36" t="s">
        <v>1</v>
      </c>
      <c r="F15" s="35" t="s">
        <v>2</v>
      </c>
    </row>
    <row r="16" spans="1:9" ht="11.25" customHeight="1">
      <c r="A16" s="26" t="s">
        <v>58</v>
      </c>
      <c r="B16" s="27">
        <v>240000</v>
      </c>
      <c r="C16" s="28">
        <v>240000</v>
      </c>
      <c r="D16" s="29">
        <f t="shared" ref="D16:D19" si="8">AVERAGE(B16:C16)</f>
        <v>240000</v>
      </c>
      <c r="E16" s="30">
        <v>0</v>
      </c>
      <c r="F16" s="29">
        <f t="shared" ref="F16:F19" si="9">E16*D16</f>
        <v>0</v>
      </c>
    </row>
    <row r="17" spans="1:7" ht="11.25" customHeight="1">
      <c r="A17" s="26" t="s">
        <v>86</v>
      </c>
      <c r="B17" s="27">
        <v>205150</v>
      </c>
      <c r="C17" s="28">
        <v>218950</v>
      </c>
      <c r="D17" s="29">
        <f t="shared" ref="D17" si="10">AVERAGE(B17:C17)</f>
        <v>212050</v>
      </c>
      <c r="E17" s="30">
        <v>0</v>
      </c>
      <c r="F17" s="29">
        <f t="shared" ref="F17" si="11">E17*D17</f>
        <v>0</v>
      </c>
    </row>
    <row r="18" spans="1:7" ht="11.25" customHeight="1">
      <c r="A18" s="26" t="s">
        <v>56</v>
      </c>
      <c r="B18" s="27">
        <f>760+114778</f>
        <v>115538</v>
      </c>
      <c r="C18" s="28">
        <f>438+76943</f>
        <v>77381</v>
      </c>
      <c r="D18" s="29">
        <f t="shared" ref="D18" si="12">AVERAGE(B18:C18)</f>
        <v>96459.5</v>
      </c>
      <c r="E18" s="30">
        <v>0</v>
      </c>
      <c r="F18" s="29">
        <f t="shared" ref="F18" si="13">E18*D18</f>
        <v>0</v>
      </c>
    </row>
    <row r="19" spans="1:7" ht="10.5" customHeight="1">
      <c r="A19" s="26" t="s">
        <v>3</v>
      </c>
      <c r="B19" s="27">
        <v>0</v>
      </c>
      <c r="C19" s="27">
        <v>-11217</v>
      </c>
      <c r="D19" s="29">
        <f t="shared" si="8"/>
        <v>-5608.5</v>
      </c>
      <c r="E19" s="30">
        <v>1</v>
      </c>
      <c r="F19" s="29">
        <f t="shared" si="9"/>
        <v>-5608.5</v>
      </c>
    </row>
    <row r="20" spans="1:7" ht="11.25" customHeight="1">
      <c r="A20" s="23" t="s">
        <v>87</v>
      </c>
      <c r="B20" s="35" t="s">
        <v>54</v>
      </c>
      <c r="C20" s="35" t="s">
        <v>46</v>
      </c>
      <c r="D20" s="35" t="s">
        <v>0</v>
      </c>
      <c r="E20" s="36" t="s">
        <v>1</v>
      </c>
      <c r="F20" s="35" t="s">
        <v>2</v>
      </c>
    </row>
    <row r="21" spans="1:7" ht="11.25" customHeight="1">
      <c r="A21" s="26" t="s">
        <v>88</v>
      </c>
      <c r="B21" s="27">
        <f>180000+115200</f>
        <v>295200</v>
      </c>
      <c r="C21" s="28">
        <f>180000+115200+120000</f>
        <v>415200</v>
      </c>
      <c r="D21" s="29">
        <f t="shared" ref="D21:D23" si="14">AVERAGE(B21:C21)</f>
        <v>355200</v>
      </c>
      <c r="E21" s="30">
        <v>0</v>
      </c>
      <c r="F21" s="29">
        <f t="shared" ref="F21:F23" si="15">E21*D21</f>
        <v>0</v>
      </c>
      <c r="G21" s="73" t="s">
        <v>89</v>
      </c>
    </row>
    <row r="22" spans="1:7" ht="11.25" customHeight="1">
      <c r="A22" s="26" t="s">
        <v>56</v>
      </c>
      <c r="B22" s="27">
        <f>261+78926+220</f>
        <v>79407</v>
      </c>
      <c r="C22" s="28">
        <f>3735+133+62137</f>
        <v>66005</v>
      </c>
      <c r="D22" s="29">
        <f t="shared" si="14"/>
        <v>72706</v>
      </c>
      <c r="E22" s="30">
        <v>0</v>
      </c>
      <c r="F22" s="29">
        <f t="shared" si="15"/>
        <v>0</v>
      </c>
    </row>
    <row r="23" spans="1:7" ht="10.5" customHeight="1">
      <c r="A23" s="26" t="s">
        <v>3</v>
      </c>
      <c r="B23" s="27">
        <v>0</v>
      </c>
      <c r="C23" s="27">
        <v>0</v>
      </c>
      <c r="D23" s="29">
        <f t="shared" si="14"/>
        <v>0</v>
      </c>
      <c r="E23" s="30">
        <v>1</v>
      </c>
      <c r="F23" s="29">
        <f t="shared" si="15"/>
        <v>0</v>
      </c>
    </row>
    <row r="24" spans="1:7" ht="11.25" customHeight="1">
      <c r="A24" s="37" t="s">
        <v>4</v>
      </c>
      <c r="B24" s="38"/>
      <c r="C24" s="38"/>
      <c r="D24" s="38"/>
      <c r="E24" s="38"/>
      <c r="F24" s="39">
        <f>+SUM(F2:F23)</f>
        <v>1967194.5</v>
      </c>
    </row>
    <row r="25" spans="1:7" ht="11.25" customHeight="1">
      <c r="A25" s="31" t="s">
        <v>5</v>
      </c>
      <c r="B25" s="32"/>
      <c r="C25" s="32"/>
      <c r="D25" s="32"/>
      <c r="E25" s="32"/>
      <c r="F25" s="39">
        <f>F24/12</f>
        <v>163932.875</v>
      </c>
    </row>
    <row r="26" spans="1:7" ht="11.25" customHeight="1">
      <c r="A26" s="31" t="s">
        <v>6</v>
      </c>
      <c r="B26" s="32"/>
      <c r="C26" s="32"/>
      <c r="D26" s="32"/>
      <c r="E26" s="32"/>
      <c r="F26" s="29">
        <f>RTR!M9</f>
        <v>332417</v>
      </c>
    </row>
    <row r="27" spans="1:7" ht="11.25" customHeight="1">
      <c r="A27" s="31" t="s">
        <v>50</v>
      </c>
      <c r="B27" s="33"/>
      <c r="C27" s="33"/>
      <c r="D27" s="33"/>
      <c r="E27" s="33"/>
      <c r="F27" s="34">
        <v>1</v>
      </c>
    </row>
    <row r="28" spans="1:7" ht="11.25" customHeight="1">
      <c r="A28" s="31" t="s">
        <v>7</v>
      </c>
      <c r="B28" s="32"/>
      <c r="C28" s="32"/>
      <c r="D28" s="32"/>
      <c r="E28" s="32"/>
      <c r="F28" s="40">
        <f>(F25*F27)-F26</f>
        <v>-168484.125</v>
      </c>
    </row>
    <row r="29" spans="1:7" ht="11.25" customHeight="1">
      <c r="A29" s="31" t="s">
        <v>8</v>
      </c>
      <c r="B29" s="32"/>
      <c r="C29" s="32"/>
      <c r="D29" s="32"/>
      <c r="E29" s="32"/>
      <c r="F29" s="31">
        <v>180</v>
      </c>
    </row>
    <row r="30" spans="1:7" ht="11.25" customHeight="1">
      <c r="A30" s="31" t="s">
        <v>9</v>
      </c>
      <c r="B30" s="32"/>
      <c r="C30" s="32"/>
      <c r="D30" s="32"/>
      <c r="E30" s="32"/>
      <c r="F30" s="34">
        <v>9.7500000000000003E-2</v>
      </c>
    </row>
    <row r="31" spans="1:7" ht="11.25" customHeight="1">
      <c r="A31" s="31" t="s">
        <v>10</v>
      </c>
      <c r="B31" s="32"/>
      <c r="C31" s="32"/>
      <c r="D31" s="32"/>
      <c r="E31" s="32"/>
      <c r="F31" s="41">
        <f>PMT(F30/12,F29,-100000)</f>
        <v>1059.362663542757</v>
      </c>
    </row>
    <row r="32" spans="1:7" ht="11.25" customHeight="1">
      <c r="A32" s="31" t="s">
        <v>11</v>
      </c>
      <c r="B32" s="32"/>
      <c r="C32" s="32"/>
      <c r="D32" s="32"/>
      <c r="E32" s="32"/>
      <c r="F32" s="42">
        <f>F28/F31</f>
        <v>-159.04291400694603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K32"/>
  <sheetViews>
    <sheetView zoomScale="118" zoomScaleNormal="118" workbookViewId="0">
      <selection activeCell="L4" sqref="L4"/>
    </sheetView>
  </sheetViews>
  <sheetFormatPr defaultColWidth="22.140625" defaultRowHeight="15"/>
  <cols>
    <col min="1" max="1" width="7.140625" style="44" bestFit="1" customWidth="1"/>
    <col min="2" max="2" width="23.42578125" style="44" bestFit="1" customWidth="1"/>
    <col min="3" max="3" width="22.85546875" style="44" customWidth="1"/>
    <col min="4" max="4" width="11" style="44" bestFit="1" customWidth="1"/>
    <col min="5" max="5" width="10.85546875" style="44" bestFit="1" customWidth="1"/>
    <col min="6" max="6" width="11" style="44" bestFit="1" customWidth="1"/>
    <col min="7" max="7" width="14.85546875" style="44" customWidth="1"/>
    <col min="8" max="8" width="8.7109375" style="44" bestFit="1" customWidth="1"/>
    <col min="9" max="9" width="7.28515625" style="44" bestFit="1" customWidth="1"/>
    <col min="10" max="10" width="9.140625" style="44" bestFit="1" customWidth="1"/>
    <col min="11" max="11" width="8.140625" style="44" bestFit="1" customWidth="1"/>
    <col min="12" max="12" width="8.7109375" style="44" bestFit="1" customWidth="1"/>
    <col min="13" max="13" width="15" style="44" bestFit="1" customWidth="1"/>
    <col min="14" max="14" width="21.28515625" style="44" bestFit="1" customWidth="1"/>
    <col min="15" max="245" width="22.140625" style="44"/>
    <col min="246" max="16384" width="22.140625" style="45"/>
  </cols>
  <sheetData>
    <row r="1" spans="1:245" ht="13.5" customHeight="1">
      <c r="A1" s="43" t="s">
        <v>12</v>
      </c>
      <c r="B1" s="43" t="s">
        <v>13</v>
      </c>
      <c r="C1" s="43" t="s">
        <v>14</v>
      </c>
      <c r="D1" s="43" t="s">
        <v>15</v>
      </c>
      <c r="E1" s="43" t="s">
        <v>16</v>
      </c>
      <c r="F1" s="43" t="s">
        <v>17</v>
      </c>
      <c r="G1" s="43" t="s">
        <v>49</v>
      </c>
      <c r="H1" s="43" t="s">
        <v>55</v>
      </c>
      <c r="I1" s="43" t="s">
        <v>18</v>
      </c>
      <c r="J1" s="43" t="s">
        <v>19</v>
      </c>
      <c r="K1" s="43" t="s">
        <v>20</v>
      </c>
      <c r="L1" s="43" t="s">
        <v>21</v>
      </c>
      <c r="M1" s="43" t="s">
        <v>22</v>
      </c>
      <c r="N1" s="64" t="s">
        <v>60</v>
      </c>
    </row>
    <row r="2" spans="1:245" s="57" customFormat="1" ht="15.75" customHeight="1">
      <c r="A2" s="54">
        <v>1</v>
      </c>
      <c r="B2" s="46" t="s">
        <v>64</v>
      </c>
      <c r="C2" s="54" t="s">
        <v>65</v>
      </c>
      <c r="D2" s="54" t="s">
        <v>66</v>
      </c>
      <c r="E2" s="46" t="s">
        <v>75</v>
      </c>
      <c r="F2" s="46">
        <v>1500000</v>
      </c>
      <c r="G2" s="47">
        <v>44291</v>
      </c>
      <c r="H2" s="46">
        <v>1405887</v>
      </c>
      <c r="I2" s="46">
        <v>36</v>
      </c>
      <c r="J2" s="46">
        <v>3</v>
      </c>
      <c r="K2" s="46">
        <v>33</v>
      </c>
      <c r="L2" s="46">
        <v>55555</v>
      </c>
      <c r="M2" s="55" t="s">
        <v>23</v>
      </c>
      <c r="N2" s="63" t="s">
        <v>67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6"/>
      <c r="CJ2" s="56"/>
      <c r="CK2" s="56"/>
      <c r="CL2" s="56"/>
      <c r="CM2" s="56"/>
      <c r="CN2" s="56"/>
      <c r="CO2" s="56"/>
      <c r="CP2" s="56"/>
      <c r="CQ2" s="56"/>
      <c r="CR2" s="56"/>
      <c r="CS2" s="56"/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  <c r="FN2" s="56"/>
      <c r="FO2" s="56"/>
      <c r="FP2" s="56"/>
      <c r="FQ2" s="56"/>
      <c r="FR2" s="56"/>
      <c r="FS2" s="56"/>
      <c r="FT2" s="56"/>
      <c r="FU2" s="56"/>
      <c r="FV2" s="56"/>
      <c r="FW2" s="56"/>
      <c r="FX2" s="56"/>
      <c r="FY2" s="56"/>
      <c r="FZ2" s="56"/>
      <c r="GA2" s="56"/>
      <c r="GB2" s="56"/>
      <c r="GC2" s="56"/>
      <c r="GD2" s="56"/>
      <c r="GE2" s="56"/>
      <c r="GF2" s="56"/>
      <c r="GG2" s="56"/>
      <c r="GH2" s="56"/>
      <c r="GI2" s="56"/>
      <c r="GJ2" s="56"/>
      <c r="GK2" s="56"/>
      <c r="GL2" s="56"/>
      <c r="GM2" s="56"/>
      <c r="GN2" s="56"/>
      <c r="GO2" s="56"/>
      <c r="GP2" s="56"/>
      <c r="GQ2" s="56"/>
      <c r="GR2" s="56"/>
      <c r="GS2" s="56"/>
      <c r="GT2" s="56"/>
      <c r="GU2" s="56"/>
      <c r="GV2" s="56"/>
      <c r="GW2" s="56"/>
      <c r="GX2" s="56"/>
      <c r="GY2" s="56"/>
      <c r="GZ2" s="56"/>
      <c r="HA2" s="56"/>
      <c r="HB2" s="56"/>
      <c r="HC2" s="56"/>
      <c r="HD2" s="56"/>
      <c r="HE2" s="56"/>
      <c r="HF2" s="56"/>
      <c r="HG2" s="56"/>
      <c r="HH2" s="56"/>
      <c r="HI2" s="56"/>
      <c r="HJ2" s="56"/>
      <c r="HK2" s="56"/>
      <c r="HL2" s="56"/>
      <c r="HM2" s="56"/>
      <c r="HN2" s="56"/>
      <c r="HO2" s="56"/>
      <c r="HP2" s="56"/>
      <c r="HQ2" s="56"/>
      <c r="HR2" s="56"/>
      <c r="HS2" s="56"/>
      <c r="HT2" s="56"/>
      <c r="HU2" s="56"/>
      <c r="HV2" s="56"/>
      <c r="HW2" s="56"/>
      <c r="HX2" s="56"/>
      <c r="HY2" s="56"/>
      <c r="HZ2" s="56"/>
      <c r="IA2" s="56"/>
      <c r="IB2" s="56"/>
      <c r="IC2" s="56"/>
      <c r="ID2" s="56"/>
      <c r="IE2" s="56"/>
      <c r="IF2" s="56"/>
      <c r="IG2" s="56"/>
      <c r="IH2" s="56"/>
      <c r="II2" s="56"/>
      <c r="IJ2" s="56"/>
      <c r="IK2" s="56"/>
    </row>
    <row r="3" spans="1:245" s="57" customFormat="1">
      <c r="A3" s="54">
        <v>2</v>
      </c>
      <c r="B3" s="46" t="s">
        <v>70</v>
      </c>
      <c r="C3" s="54" t="s">
        <v>65</v>
      </c>
      <c r="D3" s="54" t="s">
        <v>68</v>
      </c>
      <c r="E3" s="46" t="s">
        <v>69</v>
      </c>
      <c r="F3" s="46">
        <v>1154217</v>
      </c>
      <c r="G3" s="47">
        <v>43964</v>
      </c>
      <c r="H3" s="68"/>
      <c r="I3" s="68"/>
      <c r="J3" s="68"/>
      <c r="K3" s="68"/>
      <c r="L3" s="46">
        <v>15396</v>
      </c>
      <c r="M3" s="55" t="s">
        <v>23</v>
      </c>
      <c r="N3" s="63" t="s">
        <v>67</v>
      </c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  <c r="CK3" s="56"/>
      <c r="CL3" s="56"/>
      <c r="CM3" s="56"/>
      <c r="CN3" s="56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  <c r="DZ3" s="56"/>
      <c r="EA3" s="56"/>
      <c r="EB3" s="56"/>
      <c r="EC3" s="56"/>
      <c r="ED3" s="56"/>
      <c r="EE3" s="56"/>
      <c r="EF3" s="56"/>
      <c r="EG3" s="56"/>
      <c r="EH3" s="56"/>
      <c r="EI3" s="56"/>
      <c r="EJ3" s="56"/>
      <c r="EK3" s="56"/>
      <c r="EL3" s="56"/>
      <c r="EM3" s="56"/>
      <c r="EN3" s="56"/>
      <c r="EO3" s="56"/>
      <c r="EP3" s="56"/>
      <c r="EQ3" s="56"/>
      <c r="ER3" s="56"/>
      <c r="ES3" s="56"/>
      <c r="ET3" s="56"/>
      <c r="EU3" s="56"/>
      <c r="EV3" s="56"/>
      <c r="EW3" s="56"/>
      <c r="EX3" s="56"/>
      <c r="EY3" s="56"/>
      <c r="EZ3" s="56"/>
      <c r="FA3" s="56"/>
      <c r="FB3" s="56"/>
      <c r="FC3" s="56"/>
      <c r="FD3" s="56"/>
      <c r="FE3" s="56"/>
      <c r="FF3" s="56"/>
      <c r="FG3" s="56"/>
      <c r="FH3" s="56"/>
      <c r="FI3" s="56"/>
      <c r="FJ3" s="56"/>
      <c r="FK3" s="56"/>
      <c r="FL3" s="56"/>
      <c r="FM3" s="56"/>
      <c r="FN3" s="56"/>
      <c r="FO3" s="56"/>
      <c r="FP3" s="56"/>
      <c r="FQ3" s="56"/>
      <c r="FR3" s="56"/>
      <c r="FS3" s="56"/>
      <c r="FT3" s="56"/>
      <c r="FU3" s="56"/>
      <c r="FV3" s="56"/>
      <c r="FW3" s="56"/>
      <c r="FX3" s="56"/>
      <c r="FY3" s="56"/>
      <c r="FZ3" s="56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  <c r="GO3" s="56"/>
      <c r="GP3" s="56"/>
      <c r="GQ3" s="56"/>
      <c r="GR3" s="56"/>
      <c r="GS3" s="56"/>
      <c r="GT3" s="56"/>
      <c r="GU3" s="56"/>
      <c r="GV3" s="56"/>
      <c r="GW3" s="56"/>
      <c r="GX3" s="56"/>
      <c r="GY3" s="56"/>
      <c r="GZ3" s="56"/>
      <c r="HA3" s="56"/>
      <c r="HB3" s="56"/>
      <c r="HC3" s="56"/>
      <c r="HD3" s="56"/>
      <c r="HE3" s="56"/>
      <c r="HF3" s="56"/>
      <c r="HG3" s="56"/>
      <c r="HH3" s="56"/>
      <c r="HI3" s="56"/>
      <c r="HJ3" s="56"/>
      <c r="HK3" s="56"/>
      <c r="HL3" s="56"/>
      <c r="HM3" s="56"/>
      <c r="HN3" s="56"/>
      <c r="HO3" s="56"/>
      <c r="HP3" s="56"/>
      <c r="HQ3" s="56"/>
      <c r="HR3" s="56"/>
      <c r="HS3" s="56"/>
      <c r="HT3" s="56"/>
      <c r="HU3" s="56"/>
      <c r="HV3" s="56"/>
      <c r="HW3" s="56"/>
      <c r="HX3" s="56"/>
      <c r="HY3" s="56"/>
      <c r="HZ3" s="56"/>
      <c r="IA3" s="56"/>
      <c r="IB3" s="56"/>
      <c r="IC3" s="56"/>
      <c r="ID3" s="56"/>
      <c r="IE3" s="56"/>
      <c r="IF3" s="56"/>
      <c r="IG3" s="56"/>
      <c r="IH3" s="56"/>
      <c r="II3" s="56"/>
      <c r="IJ3" s="56"/>
      <c r="IK3" s="56"/>
    </row>
    <row r="4" spans="1:245" s="57" customFormat="1" ht="15.75" customHeight="1">
      <c r="A4" s="54">
        <v>3</v>
      </c>
      <c r="B4" s="46" t="s">
        <v>71</v>
      </c>
      <c r="C4" s="54" t="s">
        <v>65</v>
      </c>
      <c r="D4" s="54" t="s">
        <v>72</v>
      </c>
      <c r="E4" s="46" t="s">
        <v>73</v>
      </c>
      <c r="F4" s="46">
        <v>15000000</v>
      </c>
      <c r="G4" s="47">
        <v>43804</v>
      </c>
      <c r="H4" s="46">
        <v>634563</v>
      </c>
      <c r="I4" s="46">
        <v>30</v>
      </c>
      <c r="J4" s="46">
        <v>20</v>
      </c>
      <c r="K4" s="46">
        <v>10</v>
      </c>
      <c r="L4" s="46">
        <v>73424</v>
      </c>
      <c r="M4" s="55" t="s">
        <v>23</v>
      </c>
      <c r="N4" s="63" t="s">
        <v>67</v>
      </c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56"/>
      <c r="EY4" s="56"/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56"/>
      <c r="HH4" s="56"/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</row>
    <row r="5" spans="1:245" s="57" customFormat="1" ht="15.75" customHeight="1">
      <c r="A5" s="54">
        <v>4</v>
      </c>
      <c r="B5" s="46">
        <v>41241371</v>
      </c>
      <c r="C5" s="54" t="s">
        <v>65</v>
      </c>
      <c r="D5" s="54" t="s">
        <v>74</v>
      </c>
      <c r="E5" s="46" t="s">
        <v>75</v>
      </c>
      <c r="F5" s="46">
        <v>2040000</v>
      </c>
      <c r="G5" s="47">
        <v>44288</v>
      </c>
      <c r="H5" s="46">
        <v>1860910</v>
      </c>
      <c r="I5" s="46">
        <v>36</v>
      </c>
      <c r="J5" s="46">
        <v>4</v>
      </c>
      <c r="K5" s="46">
        <v>32</v>
      </c>
      <c r="L5" s="46">
        <v>72732</v>
      </c>
      <c r="M5" s="55" t="s">
        <v>23</v>
      </c>
      <c r="N5" s="63" t="s">
        <v>67</v>
      </c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56"/>
      <c r="GI5" s="56"/>
      <c r="GJ5" s="56"/>
      <c r="GK5" s="56"/>
      <c r="GL5" s="56"/>
      <c r="GM5" s="56"/>
      <c r="GN5" s="56"/>
      <c r="GO5" s="56"/>
      <c r="GP5" s="56"/>
      <c r="GQ5" s="56"/>
      <c r="GR5" s="56"/>
      <c r="GS5" s="56"/>
      <c r="GT5" s="56"/>
      <c r="GU5" s="56"/>
      <c r="GV5" s="56"/>
      <c r="GW5" s="56"/>
      <c r="GX5" s="56"/>
      <c r="GY5" s="56"/>
      <c r="GZ5" s="56"/>
      <c r="HA5" s="56"/>
      <c r="HB5" s="56"/>
      <c r="HC5" s="56"/>
      <c r="HD5" s="56"/>
      <c r="HE5" s="56"/>
      <c r="HF5" s="56"/>
      <c r="HG5" s="56"/>
      <c r="HH5" s="56"/>
      <c r="HI5" s="56"/>
      <c r="HJ5" s="56"/>
      <c r="HK5" s="56"/>
      <c r="HL5" s="56"/>
      <c r="HM5" s="56"/>
      <c r="HN5" s="56"/>
      <c r="HO5" s="56"/>
      <c r="HP5" s="56"/>
      <c r="HQ5" s="56"/>
      <c r="HR5" s="56"/>
      <c r="HS5" s="56"/>
      <c r="HT5" s="56"/>
      <c r="HU5" s="56"/>
      <c r="HV5" s="56"/>
      <c r="HW5" s="56"/>
      <c r="HX5" s="56"/>
      <c r="HY5" s="56"/>
      <c r="HZ5" s="56"/>
      <c r="IA5" s="56"/>
      <c r="IB5" s="56"/>
      <c r="IC5" s="56"/>
      <c r="ID5" s="56"/>
      <c r="IE5" s="56"/>
      <c r="IF5" s="56"/>
      <c r="IG5" s="56"/>
      <c r="IH5" s="56"/>
      <c r="II5" s="56"/>
      <c r="IJ5" s="56"/>
      <c r="IK5" s="56"/>
    </row>
    <row r="6" spans="1:245" s="57" customFormat="1">
      <c r="A6" s="54">
        <v>5</v>
      </c>
      <c r="B6" s="46"/>
      <c r="C6" s="54" t="s">
        <v>65</v>
      </c>
      <c r="D6" s="54" t="s">
        <v>76</v>
      </c>
      <c r="E6" s="46" t="s">
        <v>75</v>
      </c>
      <c r="F6" s="46">
        <v>1500000</v>
      </c>
      <c r="G6" s="67"/>
      <c r="H6" s="68"/>
      <c r="I6" s="68"/>
      <c r="J6" s="68"/>
      <c r="K6" s="68"/>
      <c r="L6" s="46">
        <v>54593</v>
      </c>
      <c r="M6" s="55" t="s">
        <v>23</v>
      </c>
      <c r="N6" s="63" t="s">
        <v>67</v>
      </c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  <c r="EO6" s="56"/>
      <c r="EP6" s="56"/>
      <c r="EQ6" s="56"/>
      <c r="ER6" s="56"/>
      <c r="ES6" s="56"/>
      <c r="ET6" s="56"/>
      <c r="EU6" s="56"/>
      <c r="EV6" s="56"/>
      <c r="EW6" s="56"/>
      <c r="EX6" s="56"/>
      <c r="EY6" s="56"/>
      <c r="EZ6" s="56"/>
      <c r="FA6" s="56"/>
      <c r="FB6" s="56"/>
      <c r="FC6" s="56"/>
      <c r="FD6" s="56"/>
      <c r="FE6" s="56"/>
      <c r="FF6" s="56"/>
      <c r="FG6" s="56"/>
      <c r="FH6" s="56"/>
      <c r="FI6" s="56"/>
      <c r="FJ6" s="56"/>
      <c r="FK6" s="56"/>
      <c r="FL6" s="56"/>
      <c r="FM6" s="56"/>
      <c r="FN6" s="56"/>
      <c r="FO6" s="56"/>
      <c r="FP6" s="56"/>
      <c r="FQ6" s="56"/>
      <c r="FR6" s="56"/>
      <c r="FS6" s="56"/>
      <c r="FT6" s="56"/>
      <c r="FU6" s="56"/>
      <c r="FV6" s="56"/>
      <c r="FW6" s="56"/>
      <c r="FX6" s="56"/>
      <c r="FY6" s="56"/>
      <c r="FZ6" s="56"/>
      <c r="GA6" s="56"/>
      <c r="GB6" s="56"/>
      <c r="GC6" s="56"/>
      <c r="GD6" s="56"/>
      <c r="GE6" s="56"/>
      <c r="GF6" s="56"/>
      <c r="GG6" s="56"/>
      <c r="GH6" s="56"/>
      <c r="GI6" s="56"/>
      <c r="GJ6" s="56"/>
      <c r="GK6" s="56"/>
      <c r="GL6" s="56"/>
      <c r="GM6" s="56"/>
      <c r="GN6" s="56"/>
      <c r="GO6" s="56"/>
      <c r="GP6" s="56"/>
      <c r="GQ6" s="56"/>
      <c r="GR6" s="56"/>
      <c r="GS6" s="56"/>
      <c r="GT6" s="56"/>
      <c r="GU6" s="56"/>
      <c r="GV6" s="56"/>
      <c r="GW6" s="56"/>
      <c r="GX6" s="56"/>
      <c r="GY6" s="56"/>
      <c r="GZ6" s="56"/>
      <c r="HA6" s="56"/>
      <c r="HB6" s="56"/>
      <c r="HC6" s="56"/>
      <c r="HD6" s="56"/>
      <c r="HE6" s="56"/>
      <c r="HF6" s="56"/>
      <c r="HG6" s="56"/>
      <c r="HH6" s="56"/>
      <c r="HI6" s="56"/>
      <c r="HJ6" s="56"/>
      <c r="HK6" s="56"/>
      <c r="HL6" s="56"/>
      <c r="HM6" s="56"/>
      <c r="HN6" s="56"/>
      <c r="HO6" s="56"/>
      <c r="HP6" s="56"/>
      <c r="HQ6" s="56"/>
      <c r="HR6" s="56"/>
      <c r="HS6" s="56"/>
      <c r="HT6" s="56"/>
      <c r="HU6" s="56"/>
      <c r="HV6" s="56"/>
      <c r="HW6" s="56"/>
      <c r="HX6" s="56"/>
      <c r="HY6" s="56"/>
      <c r="HZ6" s="56"/>
      <c r="IA6" s="56"/>
      <c r="IB6" s="56"/>
      <c r="IC6" s="56"/>
      <c r="ID6" s="56"/>
      <c r="IE6" s="56"/>
      <c r="IF6" s="56"/>
      <c r="IG6" s="56"/>
      <c r="IH6" s="56"/>
      <c r="II6" s="56"/>
      <c r="IJ6" s="56"/>
      <c r="IK6" s="56"/>
    </row>
    <row r="7" spans="1:245" ht="15.75" customHeight="1">
      <c r="A7" s="58">
        <v>6</v>
      </c>
      <c r="B7" s="65" t="s">
        <v>77</v>
      </c>
      <c r="C7" s="66" t="s">
        <v>78</v>
      </c>
      <c r="D7" s="66" t="s">
        <v>79</v>
      </c>
      <c r="E7" s="65" t="s">
        <v>75</v>
      </c>
      <c r="F7" s="59">
        <v>1656400</v>
      </c>
      <c r="G7" s="61">
        <v>44291</v>
      </c>
      <c r="H7" s="59">
        <v>1586872</v>
      </c>
      <c r="I7" s="59"/>
      <c r="J7" s="59"/>
      <c r="K7" s="59"/>
      <c r="L7" s="59">
        <v>60717</v>
      </c>
      <c r="M7" s="60" t="s">
        <v>23</v>
      </c>
      <c r="N7" s="63" t="s">
        <v>67</v>
      </c>
    </row>
    <row r="8" spans="1:245" ht="15.75" customHeight="1">
      <c r="A8" s="58">
        <v>7</v>
      </c>
      <c r="B8" s="69"/>
      <c r="C8" s="70"/>
      <c r="D8" s="70"/>
      <c r="E8" s="71"/>
      <c r="F8" s="69"/>
      <c r="G8" s="72"/>
      <c r="H8" s="69"/>
      <c r="I8" s="69"/>
      <c r="J8" s="69"/>
      <c r="K8" s="69"/>
      <c r="L8" s="59">
        <v>2044</v>
      </c>
      <c r="M8" s="60" t="s">
        <v>23</v>
      </c>
      <c r="N8" s="63" t="s">
        <v>67</v>
      </c>
    </row>
    <row r="9" spans="1:245">
      <c r="A9" s="48"/>
      <c r="B9" s="49"/>
      <c r="C9" s="49"/>
      <c r="D9" s="49"/>
      <c r="E9" s="50"/>
      <c r="F9" s="49"/>
      <c r="G9" s="49"/>
      <c r="H9" s="53"/>
      <c r="I9" s="49"/>
      <c r="J9" s="49"/>
      <c r="K9" s="49"/>
      <c r="L9" s="49"/>
      <c r="M9" s="51">
        <f>SUMIF(M2:M7,"Y",L2:L7)</f>
        <v>332417</v>
      </c>
      <c r="N9" s="62"/>
    </row>
    <row r="32" spans="6:6">
      <c r="F32" s="44" t="s">
        <v>53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4" t="s">
        <v>24</v>
      </c>
      <c r="B1" s="74"/>
      <c r="C1" s="2"/>
    </row>
    <row r="2" spans="1:6" ht="14.25" customHeight="1">
      <c r="A2" s="74" t="s">
        <v>25</v>
      </c>
      <c r="B2" s="74"/>
      <c r="C2" s="2"/>
    </row>
    <row r="5" spans="1:6" ht="27">
      <c r="A5" s="3" t="s">
        <v>12</v>
      </c>
      <c r="B5" s="4" t="s">
        <v>26</v>
      </c>
      <c r="C5" s="4" t="s">
        <v>27</v>
      </c>
      <c r="D5" s="5" t="s">
        <v>28</v>
      </c>
      <c r="E5" s="1" t="s">
        <v>29</v>
      </c>
      <c r="F5" s="1" t="s">
        <v>30</v>
      </c>
    </row>
    <row r="6" spans="1:6" ht="40.5">
      <c r="A6" s="6">
        <v>1</v>
      </c>
      <c r="B6" s="7" t="s">
        <v>31</v>
      </c>
      <c r="C6" s="8" t="s">
        <v>32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33</v>
      </c>
      <c r="C7" s="8" t="s">
        <v>34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35</v>
      </c>
      <c r="C8" s="8" t="s">
        <v>36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37</v>
      </c>
      <c r="C9" s="12" t="s">
        <v>38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39</v>
      </c>
      <c r="C10" s="8" t="s">
        <v>40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41</v>
      </c>
      <c r="C11" s="14" t="s">
        <v>42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43</v>
      </c>
      <c r="C12" s="15" t="s">
        <v>44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2021-07-21T09:57:36Z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