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/>
  </bookViews>
  <sheets>
    <sheet name="Eligibility" sheetId="1" r:id="rId1"/>
    <sheet name="RTR" sheetId="2" r:id="rId2"/>
    <sheet name="RTR Details" sheetId="3" r:id="rId3"/>
    <sheet name="Ratios" sheetId="4" r:id="rId4"/>
    <sheet name="Sheet1" sheetId="5" state="hidden" r:id="rId5"/>
    <sheet name="Loans" sheetId="6" r:id="rId6"/>
    <sheet name="Banking" sheetId="7" r:id="rId7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4519"/>
</workbook>
</file>

<file path=xl/calcChain.xml><?xml version="1.0" encoding="utf-8"?>
<calcChain xmlns="http://schemas.openxmlformats.org/spreadsheetml/2006/main">
  <c r="D30" i="1"/>
  <c r="D31"/>
  <c r="D33"/>
  <c r="C32"/>
  <c r="D25"/>
  <c r="D26"/>
  <c r="D28"/>
  <c r="C27"/>
  <c r="D19"/>
  <c r="D20"/>
  <c r="D21"/>
  <c r="D23"/>
  <c r="C22"/>
  <c r="D14"/>
  <c r="D15"/>
  <c r="D17"/>
  <c r="C16"/>
  <c r="D9"/>
  <c r="D10"/>
  <c r="D12"/>
  <c r="C11"/>
  <c r="D3"/>
  <c r="D4"/>
  <c r="D7"/>
  <c r="C6"/>
  <c r="C5"/>
  <c r="D5" s="1"/>
  <c r="B6"/>
  <c r="D6" s="1"/>
  <c r="B5"/>
  <c r="F21" l="1"/>
  <c r="B16"/>
  <c r="D16" s="1"/>
  <c r="B27"/>
  <c r="D27" s="1"/>
  <c r="B32"/>
  <c r="D32" s="1"/>
  <c r="B22"/>
  <c r="D22" s="1"/>
  <c r="B11" l="1"/>
  <c r="F33"/>
  <c r="F32"/>
  <c r="F31"/>
  <c r="F30"/>
  <c r="F28"/>
  <c r="F27"/>
  <c r="F26"/>
  <c r="F25"/>
  <c r="F7"/>
  <c r="F5"/>
  <c r="F4"/>
  <c r="F3"/>
  <c r="F6"/>
  <c r="F22"/>
  <c r="F20"/>
  <c r="F23"/>
  <c r="F19"/>
  <c r="F17"/>
  <c r="F16"/>
  <c r="F15"/>
  <c r="F14"/>
  <c r="F12"/>
  <c r="F10"/>
  <c r="F9"/>
  <c r="F53"/>
  <c r="F52"/>
  <c r="B47"/>
  <c r="F46"/>
  <c r="F48" s="1"/>
  <c r="F41"/>
  <c r="B5" i="7"/>
  <c r="F5"/>
  <c r="K5"/>
  <c r="B6"/>
  <c r="F6" s="1"/>
  <c r="F11" s="1"/>
  <c r="K6"/>
  <c r="B7"/>
  <c r="F7" s="1"/>
  <c r="K7"/>
  <c r="B8"/>
  <c r="F8" s="1"/>
  <c r="K8"/>
  <c r="B9"/>
  <c r="F9"/>
  <c r="K9"/>
  <c r="B10"/>
  <c r="F10" s="1"/>
  <c r="K10"/>
  <c r="K11" s="1"/>
  <c r="K12" s="1"/>
  <c r="C11"/>
  <c r="C12" s="1"/>
  <c r="E11"/>
  <c r="B19"/>
  <c r="E19"/>
  <c r="B20"/>
  <c r="E20"/>
  <c r="E25" s="1"/>
  <c r="E26" s="1"/>
  <c r="B21"/>
  <c r="E21"/>
  <c r="B22"/>
  <c r="E22"/>
  <c r="E23"/>
  <c r="B24"/>
  <c r="E24"/>
  <c r="B25"/>
  <c r="B26" s="1"/>
  <c r="B33"/>
  <c r="B39" s="1"/>
  <c r="B40" s="1"/>
  <c r="E33"/>
  <c r="E39" s="1"/>
  <c r="E40" s="1"/>
  <c r="E34"/>
  <c r="B35"/>
  <c r="E35"/>
  <c r="E36"/>
  <c r="B37"/>
  <c r="E37"/>
  <c r="B38"/>
  <c r="E38"/>
  <c r="A79" i="1"/>
  <c r="A83"/>
  <c r="C6" i="4"/>
  <c r="E6"/>
  <c r="G6"/>
  <c r="C7"/>
  <c r="E7"/>
  <c r="G7"/>
  <c r="D8"/>
  <c r="C8" s="1"/>
  <c r="E8"/>
  <c r="F8"/>
  <c r="G8" s="1"/>
  <c r="H8"/>
  <c r="H9" s="1"/>
  <c r="H14" s="1"/>
  <c r="B9"/>
  <c r="F9"/>
  <c r="B11"/>
  <c r="C11"/>
  <c r="D11"/>
  <c r="E11" s="1"/>
  <c r="F11"/>
  <c r="G11"/>
  <c r="H11"/>
  <c r="H67" s="1"/>
  <c r="C12"/>
  <c r="E12"/>
  <c r="G12"/>
  <c r="H12"/>
  <c r="I12"/>
  <c r="C13"/>
  <c r="E13"/>
  <c r="G13"/>
  <c r="I13"/>
  <c r="B14"/>
  <c r="C14" s="1"/>
  <c r="F14"/>
  <c r="F74" s="1"/>
  <c r="C16"/>
  <c r="E16"/>
  <c r="G16"/>
  <c r="I16"/>
  <c r="C18"/>
  <c r="E18"/>
  <c r="G18"/>
  <c r="I18"/>
  <c r="B19"/>
  <c r="B15" s="1"/>
  <c r="D19"/>
  <c r="E19"/>
  <c r="F19"/>
  <c r="F15" s="1"/>
  <c r="H19"/>
  <c r="I19"/>
  <c r="C20"/>
  <c r="E20"/>
  <c r="G20"/>
  <c r="I20"/>
  <c r="C22"/>
  <c r="E22"/>
  <c r="G22"/>
  <c r="I22"/>
  <c r="C25"/>
  <c r="I25"/>
  <c r="C26"/>
  <c r="D26"/>
  <c r="F26"/>
  <c r="F87" s="1"/>
  <c r="H26"/>
  <c r="I26" s="1"/>
  <c r="C30"/>
  <c r="E30"/>
  <c r="G30"/>
  <c r="C31"/>
  <c r="E31"/>
  <c r="G31"/>
  <c r="C32"/>
  <c r="E32"/>
  <c r="G32"/>
  <c r="B33"/>
  <c r="C33"/>
  <c r="D33"/>
  <c r="E33" s="1"/>
  <c r="F33"/>
  <c r="G33"/>
  <c r="H33"/>
  <c r="C34"/>
  <c r="E34"/>
  <c r="G34"/>
  <c r="B35"/>
  <c r="C35" s="1"/>
  <c r="D35"/>
  <c r="E35"/>
  <c r="F35"/>
  <c r="G35" s="1"/>
  <c r="H35"/>
  <c r="C36"/>
  <c r="D36"/>
  <c r="E36" s="1"/>
  <c r="F36"/>
  <c r="F38" s="1"/>
  <c r="G36"/>
  <c r="H36"/>
  <c r="H71" s="1"/>
  <c r="D37"/>
  <c r="C37" s="1"/>
  <c r="E37"/>
  <c r="G37"/>
  <c r="B38"/>
  <c r="D38"/>
  <c r="C38" s="1"/>
  <c r="H38"/>
  <c r="H44" s="1"/>
  <c r="C39"/>
  <c r="E39"/>
  <c r="G39"/>
  <c r="C40"/>
  <c r="E40"/>
  <c r="G40"/>
  <c r="D41"/>
  <c r="H41"/>
  <c r="C42"/>
  <c r="E42"/>
  <c r="G42"/>
  <c r="B43"/>
  <c r="B41" s="1"/>
  <c r="D43"/>
  <c r="E43"/>
  <c r="F43"/>
  <c r="F41" s="1"/>
  <c r="H43"/>
  <c r="C46"/>
  <c r="E46"/>
  <c r="G46"/>
  <c r="B47"/>
  <c r="C47" s="1"/>
  <c r="D47"/>
  <c r="E47"/>
  <c r="F47"/>
  <c r="G47" s="1"/>
  <c r="H47"/>
  <c r="C48"/>
  <c r="E48"/>
  <c r="G48"/>
  <c r="C49"/>
  <c r="E49"/>
  <c r="G49"/>
  <c r="C50"/>
  <c r="E50"/>
  <c r="G50"/>
  <c r="F51"/>
  <c r="C52"/>
  <c r="E52"/>
  <c r="G52"/>
  <c r="C53"/>
  <c r="E53"/>
  <c r="G53"/>
  <c r="B54"/>
  <c r="D54"/>
  <c r="D51" s="1"/>
  <c r="F54"/>
  <c r="H54"/>
  <c r="C55"/>
  <c r="E55"/>
  <c r="G55"/>
  <c r="C56"/>
  <c r="E56"/>
  <c r="G56"/>
  <c r="B57"/>
  <c r="C57"/>
  <c r="E57"/>
  <c r="G57"/>
  <c r="D58"/>
  <c r="E58" s="1"/>
  <c r="F58"/>
  <c r="C59"/>
  <c r="E59"/>
  <c r="G59"/>
  <c r="B60"/>
  <c r="B58" s="1"/>
  <c r="E60"/>
  <c r="G60"/>
  <c r="H60"/>
  <c r="H58" s="1"/>
  <c r="C61"/>
  <c r="E61"/>
  <c r="G61"/>
  <c r="F62"/>
  <c r="B66"/>
  <c r="F66"/>
  <c r="B67"/>
  <c r="D67"/>
  <c r="F67"/>
  <c r="B68"/>
  <c r="D68"/>
  <c r="F68"/>
  <c r="B71"/>
  <c r="D71"/>
  <c r="F71"/>
  <c r="B74"/>
  <c r="B77"/>
  <c r="D77"/>
  <c r="F77"/>
  <c r="H77"/>
  <c r="B84"/>
  <c r="D84"/>
  <c r="F84"/>
  <c r="B85"/>
  <c r="D85"/>
  <c r="F85"/>
  <c r="B86"/>
  <c r="D86"/>
  <c r="F86"/>
  <c r="B87"/>
  <c r="D87"/>
  <c r="B88"/>
  <c r="D88"/>
  <c r="F88"/>
  <c r="D89"/>
  <c r="F89"/>
  <c r="B90"/>
  <c r="D90"/>
  <c r="F90"/>
  <c r="D93"/>
  <c r="B94"/>
  <c r="D94"/>
  <c r="F94"/>
  <c r="B100"/>
  <c r="D100"/>
  <c r="F100"/>
  <c r="M14" i="2"/>
  <c r="F36" i="1" s="1"/>
  <c r="F6" i="5"/>
  <c r="F7"/>
  <c r="F13" s="1"/>
  <c r="F8"/>
  <c r="F9"/>
  <c r="F10"/>
  <c r="F11"/>
  <c r="F12"/>
  <c r="E13"/>
  <c r="D11" i="1" l="1"/>
  <c r="F11" s="1"/>
  <c r="F34" s="1"/>
  <c r="D62" i="4"/>
  <c r="E62" s="1"/>
  <c r="D69"/>
  <c r="D70"/>
  <c r="E51"/>
  <c r="F17"/>
  <c r="G15"/>
  <c r="G41"/>
  <c r="F96"/>
  <c r="D96"/>
  <c r="B17"/>
  <c r="C15"/>
  <c r="I14"/>
  <c r="H74"/>
  <c r="H15"/>
  <c r="I15" s="1"/>
  <c r="B51"/>
  <c r="B95"/>
  <c r="C58"/>
  <c r="B45"/>
  <c r="C41"/>
  <c r="B44"/>
  <c r="C44" s="1"/>
  <c r="B96"/>
  <c r="G38"/>
  <c r="F45"/>
  <c r="G45" s="1"/>
  <c r="F44"/>
  <c r="G44" s="1"/>
  <c r="E41"/>
  <c r="H51"/>
  <c r="G51" s="1"/>
  <c r="C9"/>
  <c r="F95"/>
  <c r="G58"/>
  <c r="G9"/>
  <c r="E54"/>
  <c r="H45"/>
  <c r="G19"/>
  <c r="C19"/>
  <c r="G14"/>
  <c r="D95"/>
  <c r="B89"/>
  <c r="F70"/>
  <c r="F69"/>
  <c r="C60"/>
  <c r="D44"/>
  <c r="G43"/>
  <c r="C43"/>
  <c r="I11"/>
  <c r="D9"/>
  <c r="F93"/>
  <c r="F97" s="1"/>
  <c r="D66"/>
  <c r="D45"/>
  <c r="E38"/>
  <c r="B93"/>
  <c r="B97" s="1"/>
  <c r="H68"/>
  <c r="H66"/>
  <c r="G54"/>
  <c r="C54"/>
  <c r="B11" i="7"/>
  <c r="B12" s="1"/>
  <c r="F35" i="1" l="1"/>
  <c r="F38" s="1"/>
  <c r="F21" i="4"/>
  <c r="F72"/>
  <c r="F73"/>
  <c r="G17"/>
  <c r="B21"/>
  <c r="C17"/>
  <c r="B72"/>
  <c r="D97"/>
  <c r="H62"/>
  <c r="G62" s="1"/>
  <c r="H69"/>
  <c r="H70"/>
  <c r="B62"/>
  <c r="C62" s="1"/>
  <c r="B69"/>
  <c r="B70"/>
  <c r="C51"/>
  <c r="E9"/>
  <c r="D14"/>
  <c r="E45"/>
  <c r="E44"/>
  <c r="C45"/>
  <c r="H17"/>
  <c r="E14" l="1"/>
  <c r="D74"/>
  <c r="D15"/>
  <c r="E15" s="1"/>
  <c r="D17"/>
  <c r="B23"/>
  <c r="C21"/>
  <c r="I17"/>
  <c r="H72"/>
  <c r="H73"/>
  <c r="H21"/>
  <c r="F23"/>
  <c r="G21"/>
  <c r="I21" l="1"/>
  <c r="H23"/>
  <c r="E17"/>
  <c r="D72"/>
  <c r="D73"/>
  <c r="B73"/>
  <c r="D21"/>
  <c r="B24"/>
  <c r="C23"/>
  <c r="B75"/>
  <c r="B82"/>
  <c r="B92" s="1"/>
  <c r="B98" s="1"/>
  <c r="B102" s="1"/>
  <c r="F24"/>
  <c r="F75"/>
  <c r="F82"/>
  <c r="F92" s="1"/>
  <c r="F98" s="1"/>
  <c r="F102" s="1"/>
  <c r="G23"/>
  <c r="B27" l="1"/>
  <c r="C27" s="1"/>
  <c r="C24"/>
  <c r="B76"/>
  <c r="I23"/>
  <c r="H75"/>
  <c r="H78"/>
  <c r="H24"/>
  <c r="F27"/>
  <c r="G27" s="1"/>
  <c r="F76"/>
  <c r="G24"/>
  <c r="E21"/>
  <c r="D23"/>
  <c r="F78"/>
  <c r="I24" l="1"/>
  <c r="H76"/>
  <c r="H27"/>
  <c r="E23"/>
  <c r="D75"/>
  <c r="D82"/>
  <c r="D92" s="1"/>
  <c r="D98" s="1"/>
  <c r="D102" s="1"/>
  <c r="D24"/>
  <c r="D78"/>
  <c r="B78"/>
  <c r="E24" l="1"/>
  <c r="D27"/>
  <c r="E27" s="1"/>
  <c r="D76"/>
  <c r="F42" i="1" l="1"/>
  <c r="F49"/>
  <c r="F54" s="1"/>
</calcChain>
</file>

<file path=xl/comments1.xml><?xml version="1.0" encoding="utf-8"?>
<comments xmlns="http://schemas.openxmlformats.org/spreadsheetml/2006/main">
  <authors>
    <author/>
  </authors>
  <commentList>
    <comment ref="D6" authorId="0">
      <text>
        <r>
          <rPr>
            <b/>
            <sz val="8"/>
            <color indexed="8"/>
            <rFont val="Times New Roman"/>
            <family val="1"/>
          </rPr>
          <t xml:space="preserve">115812:
</t>
        </r>
        <r>
          <rPr>
            <sz val="8"/>
            <color indexed="8"/>
            <rFont val="Times New Roman"/>
            <family val="1"/>
          </rPr>
          <t>Net of excise</t>
        </r>
      </text>
    </comment>
    <comment ref="F6" authorId="0">
      <text>
        <r>
          <rPr>
            <b/>
            <sz val="8"/>
            <color indexed="8"/>
            <rFont val="Times New Roman"/>
            <family val="1"/>
          </rPr>
          <t xml:space="preserve">115812:
</t>
        </r>
        <r>
          <rPr>
            <sz val="8"/>
            <color indexed="8"/>
            <rFont val="Times New Roman"/>
            <family val="1"/>
          </rPr>
          <t>Net of excise</t>
        </r>
      </text>
    </comment>
    <comment ref="D35" authorId="0">
      <text>
        <r>
          <rPr>
            <b/>
            <sz val="8"/>
            <color indexed="8"/>
            <rFont val="Times New Roman"/>
            <family val="1"/>
          </rPr>
          <t xml:space="preserve">115812:
</t>
        </r>
        <r>
          <rPr>
            <sz val="8"/>
            <color indexed="8"/>
            <rFont val="Times New Roman"/>
            <family val="1"/>
          </rPr>
          <t>Share Capital+Reserves-Accumulated losses-Misc Expenses+Unsecured loans from Partners/Directors or their family members-Loans and advances to directors/partners-investments made in subsidiary companies</t>
        </r>
      </text>
    </comment>
    <comment ref="F35" authorId="0">
      <text>
        <r>
          <rPr>
            <b/>
            <sz val="8"/>
            <color indexed="8"/>
            <rFont val="Times New Roman"/>
            <family val="1"/>
          </rPr>
          <t xml:space="preserve">115812:
</t>
        </r>
        <r>
          <rPr>
            <sz val="8"/>
            <color indexed="8"/>
            <rFont val="Times New Roman"/>
            <family val="1"/>
          </rPr>
          <t>Share Capital+Reserves-Accumulated losses-Misc Expenses+Unsecured loans from Partners/Directors or their family members-Loans and advances to directors/partners-investments made in subsidiary companies</t>
        </r>
      </text>
    </comment>
    <comment ref="H35" authorId="0">
      <text>
        <r>
          <rPr>
            <b/>
            <sz val="8"/>
            <color indexed="8"/>
            <rFont val="Times New Roman"/>
            <family val="1"/>
          </rPr>
          <t xml:space="preserve">115812:
</t>
        </r>
        <r>
          <rPr>
            <sz val="8"/>
            <color indexed="8"/>
            <rFont val="Times New Roman"/>
            <family val="1"/>
          </rPr>
          <t>Share Capital+Reserves-Accumulated losses-Misc Expenses+Unsecured loans from Partners/Directors or their family members-Loans and advances to directors/partners-investments made in subsidiary companies</t>
        </r>
      </text>
    </comment>
    <comment ref="D48" authorId="0">
      <text>
        <r>
          <rPr>
            <b/>
            <sz val="8"/>
            <color indexed="8"/>
            <rFont val="Times New Roman"/>
            <family val="1"/>
          </rPr>
          <t xml:space="preserve">115812:
</t>
        </r>
        <r>
          <rPr>
            <sz val="8"/>
            <color indexed="8"/>
            <rFont val="Times New Roman"/>
            <family val="1"/>
          </rPr>
          <t>Investments which are highly liquid and can be sold immediately in the market</t>
        </r>
      </text>
    </comment>
    <comment ref="F48" authorId="0">
      <text>
        <r>
          <rPr>
            <b/>
            <sz val="8"/>
            <color indexed="8"/>
            <rFont val="Times New Roman"/>
            <family val="1"/>
          </rPr>
          <t xml:space="preserve">115812:
</t>
        </r>
        <r>
          <rPr>
            <sz val="8"/>
            <color indexed="8"/>
            <rFont val="Times New Roman"/>
            <family val="1"/>
          </rPr>
          <t>Investments which are highly liquid and can be sold immediately in the market</t>
        </r>
      </text>
    </comment>
    <comment ref="H48" authorId="0">
      <text>
        <r>
          <rPr>
            <b/>
            <sz val="8"/>
            <color indexed="8"/>
            <rFont val="Times New Roman"/>
            <family val="1"/>
          </rPr>
          <t xml:space="preserve">115812:
</t>
        </r>
        <r>
          <rPr>
            <sz val="8"/>
            <color indexed="8"/>
            <rFont val="Times New Roman"/>
            <family val="1"/>
          </rPr>
          <t>Investments which are highly liquid and can be sold immediately in the market</t>
        </r>
      </text>
    </comment>
    <comment ref="D49" authorId="0">
      <text>
        <r>
          <rPr>
            <b/>
            <sz val="8"/>
            <color indexed="8"/>
            <rFont val="Times New Roman"/>
            <family val="1"/>
          </rPr>
          <t xml:space="preserve">115812:
</t>
        </r>
        <r>
          <rPr>
            <sz val="8"/>
            <color indexed="8"/>
            <rFont val="Times New Roman"/>
            <family val="1"/>
          </rPr>
          <t>Investments made in subsidiary companies</t>
        </r>
      </text>
    </comment>
    <comment ref="F49" authorId="0">
      <text>
        <r>
          <rPr>
            <b/>
            <sz val="8"/>
            <color indexed="8"/>
            <rFont val="Times New Roman"/>
            <family val="1"/>
          </rPr>
          <t xml:space="preserve">115812:
</t>
        </r>
        <r>
          <rPr>
            <sz val="8"/>
            <color indexed="8"/>
            <rFont val="Times New Roman"/>
            <family val="1"/>
          </rPr>
          <t>Investments made in subsidiary companies</t>
        </r>
      </text>
    </comment>
    <comment ref="H49" authorId="0">
      <text>
        <r>
          <rPr>
            <b/>
            <sz val="8"/>
            <color indexed="8"/>
            <rFont val="Times New Roman"/>
            <family val="1"/>
          </rPr>
          <t xml:space="preserve">115812:
</t>
        </r>
        <r>
          <rPr>
            <sz val="8"/>
            <color indexed="8"/>
            <rFont val="Times New Roman"/>
            <family val="1"/>
          </rPr>
          <t>Investments made in subsidiary companies</t>
        </r>
      </text>
    </comment>
    <comment ref="D50" authorId="0">
      <text>
        <r>
          <rPr>
            <b/>
            <sz val="8"/>
            <color indexed="8"/>
            <rFont val="Times New Roman"/>
            <family val="1"/>
          </rPr>
          <t xml:space="preserve">115812:
</t>
        </r>
        <r>
          <rPr>
            <sz val="8"/>
            <color indexed="8"/>
            <rFont val="Times New Roman"/>
            <family val="1"/>
          </rPr>
          <t>Investments in dead investments/unquoted investments or having lockin period</t>
        </r>
      </text>
    </comment>
    <comment ref="F50" authorId="0">
      <text>
        <r>
          <rPr>
            <b/>
            <sz val="8"/>
            <color indexed="8"/>
            <rFont val="Times New Roman"/>
            <family val="1"/>
          </rPr>
          <t xml:space="preserve">115812:
</t>
        </r>
        <r>
          <rPr>
            <sz val="8"/>
            <color indexed="8"/>
            <rFont val="Times New Roman"/>
            <family val="1"/>
          </rPr>
          <t>Investments in dead investments/unquoted investments or having lockin period</t>
        </r>
      </text>
    </comment>
    <comment ref="H50" authorId="0">
      <text>
        <r>
          <rPr>
            <b/>
            <sz val="8"/>
            <color indexed="8"/>
            <rFont val="Times New Roman"/>
            <family val="1"/>
          </rPr>
          <t xml:space="preserve">115812:
</t>
        </r>
        <r>
          <rPr>
            <sz val="8"/>
            <color indexed="8"/>
            <rFont val="Times New Roman"/>
            <family val="1"/>
          </rPr>
          <t>Investments in dead investments/unquoted investments or having lockin period</t>
        </r>
      </text>
    </comment>
  </commentList>
</comments>
</file>

<file path=xl/sharedStrings.xml><?xml version="1.0" encoding="utf-8"?>
<sst xmlns="http://schemas.openxmlformats.org/spreadsheetml/2006/main" count="456" uniqueCount="295">
  <si>
    <t xml:space="preserve">FINANCIAL YEAR </t>
  </si>
  <si>
    <t xml:space="preserve">Application No.    </t>
  </si>
  <si>
    <t xml:space="preserve">TOP UP </t>
  </si>
  <si>
    <t>Eligibility</t>
  </si>
  <si>
    <t>Market Value</t>
  </si>
  <si>
    <t>Tarvinder Kaur</t>
  </si>
  <si>
    <t>Name of the applicants</t>
  </si>
  <si>
    <t>Financial Comments</t>
  </si>
  <si>
    <t>The Direct Material Cost as a percent of sales</t>
  </si>
  <si>
    <t>STRENGTHS</t>
  </si>
  <si>
    <t>INTERNAL CHECKS</t>
  </si>
  <si>
    <t>MCA Defaulter List</t>
  </si>
  <si>
    <t>RBI Defaulter List</t>
  </si>
  <si>
    <t>CIBIL (Individual)</t>
  </si>
  <si>
    <t>Corporate CIBIL</t>
  </si>
  <si>
    <t>CA Check</t>
  </si>
  <si>
    <t>Done</t>
  </si>
  <si>
    <t>INTERNET CHECKS</t>
  </si>
  <si>
    <t>I View Search</t>
  </si>
  <si>
    <t>ROC Charge</t>
  </si>
  <si>
    <t>FINONE RAPG</t>
  </si>
  <si>
    <t>FINONE  HL</t>
  </si>
  <si>
    <t>Non Financial Authorization</t>
  </si>
  <si>
    <t>Mitigants</t>
  </si>
  <si>
    <t>Age Norms Deviation.</t>
  </si>
  <si>
    <t>Financial Ratio Norms.</t>
  </si>
  <si>
    <t>Top up more than norms.</t>
  </si>
  <si>
    <t>Caution profile.</t>
  </si>
  <si>
    <t>Payment made u/s 40A(2)(b) added back.</t>
  </si>
  <si>
    <t>Original residence bill not available.</t>
  </si>
  <si>
    <t>Enhanced LTV+FOIR @</t>
  </si>
  <si>
    <t>Negative CIBIL Behavior</t>
  </si>
  <si>
    <t>Inaccurate Dedup Match</t>
  </si>
  <si>
    <t>Dedup Match</t>
  </si>
  <si>
    <t xml:space="preserve">Income ownership deviation </t>
  </si>
  <si>
    <t>Waiver of Self Attestation</t>
  </si>
  <si>
    <t>All KYC are Self Attested. Moreover, 90% of documents are self attested.</t>
  </si>
  <si>
    <t>CONDITIONS</t>
  </si>
  <si>
    <t>Sr. No.</t>
  </si>
  <si>
    <t>LAN</t>
  </si>
  <si>
    <t>Customer Name</t>
  </si>
  <si>
    <t>Bank Name</t>
  </si>
  <si>
    <t>Type</t>
  </si>
  <si>
    <t>Loan Amt.</t>
  </si>
  <si>
    <t>POS</t>
  </si>
  <si>
    <t>Loan Start Date</t>
  </si>
  <si>
    <t>Last Payment/Reported date (CIBIL)</t>
  </si>
  <si>
    <t>Remarks</t>
  </si>
  <si>
    <t>Tenure</t>
  </si>
  <si>
    <t>EMI Amt</t>
  </si>
  <si>
    <t>ICICI</t>
  </si>
  <si>
    <t>HDFC</t>
  </si>
  <si>
    <t>-</t>
  </si>
  <si>
    <t>PNB</t>
  </si>
  <si>
    <t>RTR – 10</t>
  </si>
  <si>
    <t>EMI</t>
  </si>
  <si>
    <t xml:space="preserve">Due Date </t>
  </si>
  <si>
    <t>Paid Date</t>
  </si>
  <si>
    <t>REMARKS</t>
  </si>
  <si>
    <t>Cleared</t>
  </si>
  <si>
    <t>M/S AP COLLECTION</t>
  </si>
  <si>
    <t>Profit &amp; Loss Account</t>
  </si>
  <si>
    <t>31.03.2015</t>
  </si>
  <si>
    <t>% Growth</t>
  </si>
  <si>
    <t>31.03.2014</t>
  </si>
  <si>
    <t>31.03.2013</t>
  </si>
  <si>
    <t>31.03.2012</t>
  </si>
  <si>
    <t>Provisional</t>
  </si>
  <si>
    <t>Audited</t>
  </si>
  <si>
    <t>Rs. In Lacs</t>
  </si>
  <si>
    <t>In 2015</t>
  </si>
  <si>
    <t>In 2014</t>
  </si>
  <si>
    <t>In 2013</t>
  </si>
  <si>
    <t>Net Sales</t>
  </si>
  <si>
    <t>Other Income (incidental to Business/Business income)</t>
  </si>
  <si>
    <t>Other Income (Non Business income)</t>
  </si>
  <si>
    <t>Total Income</t>
  </si>
  <si>
    <t>Cost % of sales of 2015</t>
  </si>
  <si>
    <t>Cost % of sales of 2014</t>
  </si>
  <si>
    <t>Cost % of sales of 2013</t>
  </si>
  <si>
    <t>Cost % of sales of 2012</t>
  </si>
  <si>
    <t>Raw Material Cost</t>
  </si>
  <si>
    <t>Manufacturing expenses</t>
  </si>
  <si>
    <t>Wages</t>
  </si>
  <si>
    <t>Gross Profit</t>
  </si>
  <si>
    <t>Administrative Expenses</t>
  </si>
  <si>
    <t>Selling &amp; Distribution Expenses</t>
  </si>
  <si>
    <t>PBDIT</t>
  </si>
  <si>
    <t>Depreciation</t>
  </si>
  <si>
    <t xml:space="preserve">Interest </t>
  </si>
  <si>
    <t>Non cash expenses written off</t>
  </si>
  <si>
    <t>Profit Before Tax</t>
  </si>
  <si>
    <t xml:space="preserve">Tax </t>
  </si>
  <si>
    <t>PAT</t>
  </si>
  <si>
    <t>Cash Profits</t>
  </si>
  <si>
    <t>Salary to Partner/Director/family members</t>
  </si>
  <si>
    <t>Interest/ Rent Expenses paid to partners/director/ family members</t>
  </si>
  <si>
    <t>Actual Cash Profit</t>
  </si>
  <si>
    <t xml:space="preserve">Balance Sheet </t>
  </si>
  <si>
    <t xml:space="preserve">Share Capital </t>
  </si>
  <si>
    <t>Reserves &amp; Surplus(excluding revaluation reserve)</t>
  </si>
  <si>
    <t>Total Networth</t>
  </si>
  <si>
    <t>Revaluation Reserve</t>
  </si>
  <si>
    <t>Adjusted Networth</t>
  </si>
  <si>
    <t xml:space="preserve">Long Term Loans from Banks/FI </t>
  </si>
  <si>
    <t>Working Capital Limits from Banks/FI's</t>
  </si>
  <si>
    <t>Total Borrowings from banks/FI/NBFC's</t>
  </si>
  <si>
    <t>Unsecured loans  (others)</t>
  </si>
  <si>
    <t>Unsecured loans from partners/shareholders</t>
  </si>
  <si>
    <t>Current Liabilities &amp; Provisions</t>
  </si>
  <si>
    <t>Deferred tax Liability</t>
  </si>
  <si>
    <t>Other Liabilities</t>
  </si>
  <si>
    <t>Total Liabilities to outsiders</t>
  </si>
  <si>
    <t>Balance Sheet Total</t>
  </si>
  <si>
    <t>Fixed Assets less depreciation</t>
  </si>
  <si>
    <t>Investments</t>
  </si>
  <si>
    <t>Liquid/Marketable Investments</t>
  </si>
  <si>
    <t>Group Co. Investments</t>
  </si>
  <si>
    <t>Unquoted/Dead Investments</t>
  </si>
  <si>
    <t>Current Assets:</t>
  </si>
  <si>
    <t>Deferred Tax Asset</t>
  </si>
  <si>
    <t>Inventories</t>
  </si>
  <si>
    <t>Receivables / Debtors</t>
  </si>
  <si>
    <t xml:space="preserve"> Debtors &gt; 6 months</t>
  </si>
  <si>
    <t xml:space="preserve"> Debtors &lt; 6 months</t>
  </si>
  <si>
    <t>Cash and Bank</t>
  </si>
  <si>
    <t>Loans &amp; Advances</t>
  </si>
  <si>
    <t>Loans &amp; Advances given to directors/partners etc</t>
  </si>
  <si>
    <t>Loans and Advances given to others</t>
  </si>
  <si>
    <t>Misc Expenses (DRE+Preop+Preliminary+Acc P&amp;L)</t>
  </si>
  <si>
    <t xml:space="preserve">Ratios </t>
  </si>
  <si>
    <t xml:space="preserve">Average Collection Period                </t>
  </si>
  <si>
    <t xml:space="preserve">Average Days in Inventory                </t>
  </si>
  <si>
    <t xml:space="preserve">Inventory to Cost of Goods Sold  </t>
  </si>
  <si>
    <t xml:space="preserve">Current Ratio                </t>
  </si>
  <si>
    <t xml:space="preserve">Liquidity Ratio                </t>
  </si>
  <si>
    <t xml:space="preserve">Debt Equity Ratio                </t>
  </si>
  <si>
    <t xml:space="preserve">Interest Coverage Ratio                </t>
  </si>
  <si>
    <t xml:space="preserve">DSCR                </t>
  </si>
  <si>
    <t xml:space="preserve">Gross Profit Margin Ratio                </t>
  </si>
  <si>
    <t xml:space="preserve">Net Profit Margin Ratio                </t>
  </si>
  <si>
    <t xml:space="preserve">Cash Profit Ratio                </t>
  </si>
  <si>
    <t xml:space="preserve">Growth in Sales                </t>
  </si>
  <si>
    <t xml:space="preserve">Growth in Net Profits                </t>
  </si>
  <si>
    <t xml:space="preserve">Cash Flow Statement                </t>
  </si>
  <si>
    <t xml:space="preserve">Net Profit After Tax                </t>
  </si>
  <si>
    <t xml:space="preserve">Add :                </t>
  </si>
  <si>
    <t xml:space="preserve">Depreciation                </t>
  </si>
  <si>
    <t xml:space="preserve">Misc expenses written off/non cash expenses                </t>
  </si>
  <si>
    <t xml:space="preserve">Salary paid to promoter/partners </t>
  </si>
  <si>
    <t xml:space="preserve">Interest paid to promoters                </t>
  </si>
  <si>
    <t xml:space="preserve">Provision for tax                </t>
  </si>
  <si>
    <t xml:space="preserve">Interest                </t>
  </si>
  <si>
    <t xml:space="preserve">Less : Other income (non business income)                </t>
  </si>
  <si>
    <t xml:space="preserve">Operating cash profit/(Loss ) before working capital changes                </t>
  </si>
  <si>
    <t xml:space="preserve">Trade and other receivables                </t>
  </si>
  <si>
    <t xml:space="preserve">Inventories                </t>
  </si>
  <si>
    <t xml:space="preserve">Loans &amp; Advances                </t>
  </si>
  <si>
    <t xml:space="preserve">other current liabilities                </t>
  </si>
  <si>
    <t xml:space="preserve">Total                </t>
  </si>
  <si>
    <t xml:space="preserve">Cash Generated from operations </t>
  </si>
  <si>
    <t xml:space="preserve">Less taxes paid                </t>
  </si>
  <si>
    <t xml:space="preserve">Net Cash from Operations 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</si>
  <si>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</si>
  <si>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</si>
  <si>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</si>
  <si>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</si>
  <si>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</si>
  <si>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</si>
  <si>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</si>
  <si>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</si>
  <si>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</si>
  <si>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</si>
  <si>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</si>
  <si>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</si>
  <si>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</si>
  <si>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</si>
  <si>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</si>
  <si>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</si>
  <si>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</si>
  <si>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</si>
  <si>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</si>
  <si>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</si>
  <si>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</si>
  <si>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</si>
  <si>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>FY15</t>
  </si>
  <si>
    <t>FY14</t>
  </si>
  <si>
    <t>HDFC Car Loan</t>
  </si>
  <si>
    <t>RTR-5</t>
  </si>
  <si>
    <t>HDFC Car Loan( INNOVA)</t>
  </si>
  <si>
    <t>RTR-10</t>
  </si>
  <si>
    <t>RTR-2</t>
  </si>
  <si>
    <t>ING Vasya Bank</t>
  </si>
  <si>
    <t>BT by ICICI</t>
  </si>
  <si>
    <t>PNB  Car Loan</t>
  </si>
  <si>
    <t>RTR-12</t>
  </si>
  <si>
    <t>Bank Name: HDFC</t>
  </si>
  <si>
    <t>A/c No.: 50200002368672</t>
  </si>
  <si>
    <t>Limit: Rs. 85 Lacs</t>
  </si>
  <si>
    <t>Months</t>
  </si>
  <si>
    <t>Credits</t>
  </si>
  <si>
    <t>Interest paid</t>
  </si>
  <si>
    <t>Penal Interest</t>
  </si>
  <si>
    <t>Debits</t>
  </si>
  <si>
    <t>Credits – (Debits + Interest)</t>
  </si>
  <si>
    <t>CC Limit Balances on</t>
  </si>
  <si>
    <t>Average of Limit Availed</t>
  </si>
  <si>
    <t>Bounces</t>
  </si>
  <si>
    <t>1st</t>
  </si>
  <si>
    <t>5th</t>
  </si>
  <si>
    <t>15th</t>
  </si>
  <si>
    <t>25th</t>
  </si>
  <si>
    <t>Inward</t>
  </si>
  <si>
    <t>Outward</t>
  </si>
  <si>
    <t>Mar – 15</t>
  </si>
  <si>
    <t>Apr – 15</t>
  </si>
  <si>
    <t>May – 15</t>
  </si>
  <si>
    <t>June – 15</t>
  </si>
  <si>
    <t>July – 15</t>
  </si>
  <si>
    <t>Aug – 15</t>
  </si>
  <si>
    <t>Total</t>
  </si>
  <si>
    <t>Annualized Credits</t>
  </si>
  <si>
    <t>Bank Name:</t>
  </si>
  <si>
    <t xml:space="preserve"> </t>
  </si>
  <si>
    <t>A/c No.</t>
  </si>
  <si>
    <t>0304002100294852</t>
  </si>
  <si>
    <t>A/C Type : CA</t>
  </si>
  <si>
    <t>Balances as on</t>
  </si>
  <si>
    <t>Avg Bal</t>
  </si>
  <si>
    <t xml:space="preserve">15th </t>
  </si>
  <si>
    <r>
      <t>30</t>
    </r>
    <r>
      <rPr>
        <b/>
        <vertAlign val="superscript"/>
        <sz val="10.5"/>
        <rFont val="Zurich BT"/>
        <family val="2"/>
      </rPr>
      <t>th</t>
    </r>
  </si>
  <si>
    <t>Rs</t>
  </si>
  <si>
    <t xml:space="preserve">TOTAL </t>
  </si>
  <si>
    <t>00341000321790</t>
  </si>
  <si>
    <t>A/C Type : SA</t>
  </si>
  <si>
    <t xml:space="preserve">Average     </t>
  </si>
  <si>
    <t xml:space="preserve">Eligible Income     </t>
  </si>
  <si>
    <t xml:space="preserve">Less : Taxes Paid    </t>
  </si>
  <si>
    <t xml:space="preserve">Payment made u/s 40A(2)(b) added back.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</si>
  <si>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</si>
  <si>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</si>
  <si>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</si>
  <si>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</si>
  <si>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</si>
  <si>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</si>
  <si>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</si>
  <si>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</si>
  <si>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</si>
  <si>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Recommendation                                                            </t>
  </si>
  <si>
    <t xml:space="preserve">Loan Amt (Rs. In lacs)                   </t>
  </si>
  <si>
    <t xml:space="preserve">EMI                                                            </t>
  </si>
  <si>
    <t xml:space="preserve">Actual FOIR                                                            </t>
  </si>
  <si>
    <t xml:space="preserve">Value based on Market valuation                </t>
  </si>
  <si>
    <t xml:space="preserve">Outstanding in LAN No.                </t>
  </si>
  <si>
    <t xml:space="preserve">LTV                                                             </t>
  </si>
  <si>
    <t xml:space="preserve">LTV on the basis of Market Valuation                </t>
  </si>
  <si>
    <t xml:space="preserve">FOIR + LTV                                                            </t>
  </si>
  <si>
    <t xml:space="preserve">Net Profit </t>
  </si>
  <si>
    <t xml:space="preserve">Depreciation </t>
  </si>
  <si>
    <t>y</t>
  </si>
  <si>
    <t>Y</t>
  </si>
  <si>
    <t xml:space="preserve">Stanlay </t>
  </si>
  <si>
    <t xml:space="preserve">sunny </t>
  </si>
  <si>
    <t>pooja</t>
  </si>
  <si>
    <t>Star</t>
  </si>
  <si>
    <t>EMI Considered</t>
  </si>
  <si>
    <t>2015-16</t>
  </si>
  <si>
    <t>2014-15</t>
  </si>
  <si>
    <t>Bedi Steels Private limited</t>
  </si>
  <si>
    <t>Int On Loan</t>
  </si>
  <si>
    <t>Amarjit Singh Bedi</t>
  </si>
  <si>
    <t>Income From Salary</t>
  </si>
  <si>
    <t>Income From House Property</t>
  </si>
  <si>
    <t>income From Other Sources</t>
  </si>
  <si>
    <t>Siddarth Bedi</t>
  </si>
  <si>
    <t>Income From Business&amp;Profession</t>
  </si>
  <si>
    <t>Income From Other Sources</t>
  </si>
  <si>
    <t>Siddhant Singh Bedi</t>
  </si>
  <si>
    <t>Neha Bedi</t>
  </si>
  <si>
    <t>Paramjit Kaur</t>
  </si>
  <si>
    <t>LALUD00034437280</t>
  </si>
  <si>
    <t>BSRMPL</t>
  </si>
  <si>
    <t>AL</t>
  </si>
  <si>
    <t>LALUD00027424533</t>
  </si>
  <si>
    <t>BSPL</t>
  </si>
  <si>
    <t>Deuts.</t>
  </si>
  <si>
    <t>LAP</t>
  </si>
  <si>
    <t>Amarjit Singh</t>
  </si>
  <si>
    <t>Capital First</t>
  </si>
  <si>
    <t>HL</t>
  </si>
  <si>
    <t>HE357153</t>
  </si>
  <si>
    <t>HE356941</t>
  </si>
  <si>
    <t>HL352513</t>
  </si>
  <si>
    <t>Income From Capital Gains</t>
  </si>
  <si>
    <t>n</t>
  </si>
</sst>
</file>

<file path=xl/styles.xml><?xml version="1.0" encoding="utf-8"?>
<styleSheet xmlns="http://schemas.openxmlformats.org/spreadsheetml/2006/main">
  <numFmts count="9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8" formatCode="#,##0\ ;&quot; (&quot;#,##0\);&quot; -&quot;#\ ;@\ "/>
    <numFmt numFmtId="169" formatCode="mmm\ d&quot;, &quot;yy"/>
    <numFmt numFmtId="170" formatCode="dd\ mmm\ yy"/>
    <numFmt numFmtId="171" formatCode="0.0"/>
    <numFmt numFmtId="172" formatCode="#,##0.0"/>
  </numFmts>
  <fonts count="17">
    <font>
      <sz val="10"/>
      <name val="Arial"/>
      <family val="2"/>
    </font>
    <font>
      <sz val="10"/>
      <name val="Arial1"/>
    </font>
    <font>
      <sz val="10.5"/>
      <name val="Zurich BT"/>
      <family val="2"/>
    </font>
    <font>
      <sz val="10.5"/>
      <name val="Arial"/>
      <family val="2"/>
    </font>
    <font>
      <b/>
      <sz val="10.5"/>
      <name val="Zurich BT"/>
      <family val="2"/>
    </font>
    <font>
      <sz val="11"/>
      <name val="Zurich BT"/>
      <family val="2"/>
    </font>
    <font>
      <b/>
      <sz val="10.5"/>
      <color indexed="8"/>
      <name val="Zurich BT"/>
      <family val="2"/>
    </font>
    <font>
      <sz val="10.5"/>
      <color indexed="8"/>
      <name val="Zurich BT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b/>
      <vertAlign val="superscript"/>
      <sz val="10.5"/>
      <name val="Zurich BT"/>
      <family val="2"/>
    </font>
    <font>
      <sz val="10"/>
      <name val="Arial"/>
      <family val="2"/>
    </font>
    <font>
      <b/>
      <sz val="10.5"/>
      <name val="Zurich BT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44"/>
        <bgColor indexed="22"/>
      </patternFill>
    </fill>
    <fill>
      <patternFill patternType="solid">
        <fgColor indexed="22"/>
        <bgColor indexed="44"/>
      </patternFill>
    </fill>
    <fill>
      <patternFill patternType="solid">
        <fgColor indexed="13"/>
        <bgColor indexed="34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indexed="55"/>
        <bgColor indexed="44"/>
      </patternFill>
    </fill>
  </fills>
  <borders count="5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10">
    <xf numFmtId="0" fontId="0" fillId="0" borderId="0"/>
    <xf numFmtId="164" fontId="15" fillId="0" borderId="0" applyFill="0" applyAlignment="0" applyProtection="0"/>
    <xf numFmtId="9" fontId="15" fillId="0" borderId="0" applyFill="0" applyBorder="0" applyAlignment="0" applyProtection="0"/>
    <xf numFmtId="0" fontId="15" fillId="0" borderId="0"/>
    <xf numFmtId="0" fontId="15" fillId="0" borderId="0"/>
    <xf numFmtId="0" fontId="1" fillId="0" borderId="0" applyBorder="0" applyProtection="0"/>
    <xf numFmtId="0" fontId="15" fillId="0" borderId="0"/>
    <xf numFmtId="164" fontId="15" fillId="0" borderId="0" applyFill="0" applyAlignment="0" applyProtection="0"/>
    <xf numFmtId="164" fontId="1" fillId="0" borderId="0" applyBorder="0" applyProtection="0"/>
    <xf numFmtId="164" fontId="15" fillId="0" borderId="0" applyFill="0" applyAlignment="0" applyProtection="0"/>
  </cellStyleXfs>
  <cellXfs count="202">
    <xf numFmtId="0" fontId="0" fillId="0" borderId="0" xfId="0"/>
    <xf numFmtId="0" fontId="2" fillId="2" borderId="0" xfId="3" applyFont="1" applyFill="1" applyBorder="1" applyAlignment="1">
      <alignment vertical="top" wrapText="1"/>
    </xf>
    <xf numFmtId="0" fontId="2" fillId="0" borderId="0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165" fontId="4" fillId="3" borderId="1" xfId="1" applyNumberFormat="1" applyFont="1" applyFill="1" applyBorder="1" applyAlignment="1" applyProtection="1">
      <alignment horizontal="center" vertical="center" wrapText="1"/>
    </xf>
    <xf numFmtId="165" fontId="4" fillId="4" borderId="1" xfId="1" applyNumberFormat="1" applyFont="1" applyFill="1" applyBorder="1" applyAlignment="1" applyProtection="1">
      <alignment horizontal="left" vertical="center" wrapText="1"/>
    </xf>
    <xf numFmtId="165" fontId="4" fillId="4" borderId="1" xfId="1" applyNumberFormat="1" applyFont="1" applyFill="1" applyBorder="1" applyAlignment="1" applyProtection="1">
      <alignment horizontal="center" vertical="center" wrapText="1"/>
    </xf>
    <xf numFmtId="9" fontId="4" fillId="4" borderId="1" xfId="1" applyNumberFormat="1" applyFont="1" applyFill="1" applyBorder="1" applyAlignment="1" applyProtection="1">
      <alignment horizontal="center" vertical="center" wrapText="1"/>
    </xf>
    <xf numFmtId="165" fontId="2" fillId="2" borderId="1" xfId="1" applyNumberFormat="1" applyFont="1" applyFill="1" applyBorder="1" applyAlignment="1" applyProtection="1">
      <alignment horizontal="left" vertical="center" wrapText="1"/>
    </xf>
    <xf numFmtId="165" fontId="2" fillId="2" borderId="1" xfId="1" applyNumberFormat="1" applyFont="1" applyFill="1" applyBorder="1" applyAlignment="1" applyProtection="1">
      <alignment horizontal="center" vertical="top"/>
    </xf>
    <xf numFmtId="9" fontId="2" fillId="2" borderId="1" xfId="1" applyNumberFormat="1" applyFont="1" applyFill="1" applyBorder="1" applyAlignment="1" applyProtection="1">
      <alignment horizontal="center" vertical="top"/>
    </xf>
    <xf numFmtId="167" fontId="4" fillId="4" borderId="1" xfId="1" applyNumberFormat="1" applyFont="1" applyFill="1" applyBorder="1" applyAlignment="1" applyProtection="1">
      <alignment horizontal="center" vertical="top"/>
    </xf>
    <xf numFmtId="165" fontId="2" fillId="0" borderId="1" xfId="1" applyNumberFormat="1" applyFont="1" applyFill="1" applyBorder="1" applyAlignment="1" applyProtection="1">
      <alignment vertical="top" wrapText="1"/>
    </xf>
    <xf numFmtId="165" fontId="2" fillId="0" borderId="1" xfId="1" applyNumberFormat="1" applyFont="1" applyFill="1" applyBorder="1" applyAlignment="1" applyProtection="1">
      <alignment horizontal="left" vertical="top" wrapText="1"/>
    </xf>
    <xf numFmtId="10" fontId="2" fillId="0" borderId="1" xfId="1" applyNumberFormat="1" applyFont="1" applyFill="1" applyBorder="1" applyAlignment="1" applyProtection="1">
      <alignment horizontal="center" vertical="top"/>
    </xf>
    <xf numFmtId="165" fontId="2" fillId="4" borderId="1" xfId="1" applyNumberFormat="1" applyFont="1" applyFill="1" applyBorder="1" applyAlignment="1" applyProtection="1">
      <alignment horizontal="center" vertical="top"/>
    </xf>
    <xf numFmtId="165" fontId="2" fillId="0" borderId="1" xfId="1" applyNumberFormat="1" applyFont="1" applyFill="1" applyBorder="1" applyAlignment="1" applyProtection="1">
      <alignment horizontal="center" vertical="top"/>
    </xf>
    <xf numFmtId="2" fontId="2" fillId="4" borderId="1" xfId="8" applyNumberFormat="1" applyFont="1" applyFill="1" applyBorder="1" applyAlignment="1" applyProtection="1">
      <alignment horizontal="center" vertical="top"/>
    </xf>
    <xf numFmtId="164" fontId="2" fillId="4" borderId="1" xfId="8" applyNumberFormat="1" applyFont="1" applyFill="1" applyBorder="1" applyAlignment="1" applyProtection="1">
      <alignment horizontal="center" vertical="top"/>
    </xf>
    <xf numFmtId="10" fontId="2" fillId="4" borderId="1" xfId="1" applyNumberFormat="1" applyFont="1" applyFill="1" applyBorder="1" applyAlignment="1" applyProtection="1">
      <alignment horizontal="center" vertical="top"/>
    </xf>
    <xf numFmtId="164" fontId="2" fillId="0" borderId="1" xfId="1" applyNumberFormat="1" applyFont="1" applyFill="1" applyBorder="1" applyAlignment="1" applyProtection="1">
      <alignment horizontal="center" vertical="top"/>
    </xf>
    <xf numFmtId="165" fontId="2" fillId="4" borderId="1" xfId="8" applyNumberFormat="1" applyFont="1" applyFill="1" applyBorder="1" applyAlignment="1" applyProtection="1">
      <alignment horizontal="center" vertical="top"/>
    </xf>
    <xf numFmtId="10" fontId="2" fillId="4" borderId="1" xfId="8" applyNumberFormat="1" applyFont="1" applyFill="1" applyBorder="1" applyAlignment="1" applyProtection="1">
      <alignment horizontal="center" vertical="top"/>
    </xf>
    <xf numFmtId="164" fontId="2" fillId="0" borderId="1" xfId="1" applyNumberFormat="1" applyFont="1" applyFill="1" applyBorder="1" applyAlignment="1" applyProtection="1">
      <alignment vertical="top" wrapText="1"/>
    </xf>
    <xf numFmtId="2" fontId="2" fillId="0" borderId="1" xfId="8" applyNumberFormat="1" applyFont="1" applyFill="1" applyBorder="1" applyAlignment="1" applyProtection="1">
      <alignment horizontal="center" vertical="top"/>
    </xf>
    <xf numFmtId="164" fontId="2" fillId="0" borderId="1" xfId="8" applyNumberFormat="1" applyFont="1" applyFill="1" applyBorder="1" applyAlignment="1" applyProtection="1">
      <alignment horizontal="center" vertical="top"/>
    </xf>
    <xf numFmtId="10" fontId="2" fillId="5" borderId="1" xfId="5" applyNumberFormat="1" applyFont="1" applyFill="1" applyBorder="1" applyAlignment="1" applyProtection="1">
      <alignment horizontal="center" vertical="top"/>
    </xf>
    <xf numFmtId="0" fontId="4" fillId="0" borderId="1" xfId="4" applyFont="1" applyBorder="1" applyAlignment="1">
      <alignment horizontal="center" vertical="top" wrapText="1"/>
    </xf>
    <xf numFmtId="0" fontId="2" fillId="0" borderId="1" xfId="4" applyFont="1" applyBorder="1" applyAlignment="1">
      <alignment horizontal="center" vertical="center" wrapText="1"/>
    </xf>
    <xf numFmtId="0" fontId="2" fillId="0" borderId="1" xfId="4" applyFont="1" applyFill="1" applyBorder="1" applyAlignment="1">
      <alignment horizontal="left" vertical="center" wrapText="1"/>
    </xf>
    <xf numFmtId="0" fontId="2" fillId="0" borderId="1" xfId="4" applyNumberFormat="1" applyFont="1" applyBorder="1" applyAlignment="1">
      <alignment horizontal="center" vertical="center" wrapText="1"/>
    </xf>
    <xf numFmtId="0" fontId="4" fillId="2" borderId="1" xfId="4" applyFont="1" applyFill="1" applyBorder="1" applyAlignment="1">
      <alignment horizontal="center" vertical="top"/>
    </xf>
    <xf numFmtId="0" fontId="2" fillId="0" borderId="0" xfId="3" applyFont="1" applyFill="1" applyBorder="1" applyAlignment="1">
      <alignment vertical="top" wrapText="1"/>
    </xf>
    <xf numFmtId="0" fontId="2" fillId="0" borderId="0" xfId="0" applyFont="1" applyFill="1" applyBorder="1" applyAlignment="1">
      <alignment wrapText="1"/>
    </xf>
    <xf numFmtId="0" fontId="2" fillId="0" borderId="0" xfId="0" applyFont="1" applyBorder="1" applyAlignment="1">
      <alignment horizontal="center"/>
    </xf>
    <xf numFmtId="169" fontId="2" fillId="0" borderId="0" xfId="0" applyNumberFormat="1" applyFont="1" applyBorder="1" applyAlignment="1">
      <alignment horizontal="center"/>
    </xf>
    <xf numFmtId="0" fontId="6" fillId="3" borderId="1" xfId="0" applyFont="1" applyFill="1" applyBorder="1" applyAlignment="1">
      <alignment horizontal="center" vertical="center" wrapText="1"/>
    </xf>
    <xf numFmtId="169" fontId="6" fillId="3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 wrapText="1"/>
    </xf>
    <xf numFmtId="170" fontId="2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169" fontId="7" fillId="0" borderId="1" xfId="0" applyNumberFormat="1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/>
    <xf numFmtId="170" fontId="2" fillId="0" borderId="1" xfId="0" applyNumberFormat="1" applyFont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2" fontId="2" fillId="0" borderId="1" xfId="0" applyNumberFormat="1" applyFont="1" applyBorder="1" applyAlignment="1">
      <alignment wrapText="1"/>
    </xf>
    <xf numFmtId="4" fontId="2" fillId="0" borderId="1" xfId="9" applyNumberFormat="1" applyFont="1" applyFill="1" applyBorder="1" applyAlignment="1" applyProtection="1">
      <alignment horizontal="right"/>
    </xf>
    <xf numFmtId="2" fontId="2" fillId="0" borderId="1" xfId="9" applyNumberFormat="1" applyFont="1" applyFill="1" applyBorder="1" applyAlignment="1" applyProtection="1">
      <alignment horizontal="right"/>
    </xf>
    <xf numFmtId="0" fontId="2" fillId="0" borderId="0" xfId="0" applyFont="1" applyBorder="1" applyAlignment="1">
      <alignment horizontal="right"/>
    </xf>
    <xf numFmtId="2" fontId="2" fillId="0" borderId="1" xfId="0" applyNumberFormat="1" applyFont="1" applyBorder="1" applyAlignment="1">
      <alignment horizontal="left" wrapText="1"/>
    </xf>
    <xf numFmtId="171" fontId="2" fillId="0" borderId="1" xfId="9" applyNumberFormat="1" applyFont="1" applyFill="1" applyBorder="1" applyAlignment="1" applyProtection="1">
      <alignment horizontal="right"/>
    </xf>
    <xf numFmtId="2" fontId="4" fillId="6" borderId="1" xfId="0" applyNumberFormat="1" applyFont="1" applyFill="1" applyBorder="1" applyAlignment="1">
      <alignment wrapText="1"/>
    </xf>
    <xf numFmtId="4" fontId="4" fillId="6" borderId="1" xfId="9" applyNumberFormat="1" applyFont="1" applyFill="1" applyBorder="1" applyAlignment="1" applyProtection="1">
      <alignment horizontal="right"/>
    </xf>
    <xf numFmtId="171" fontId="2" fillId="6" borderId="1" xfId="9" applyNumberFormat="1" applyFont="1" applyFill="1" applyBorder="1" applyAlignment="1" applyProtection="1">
      <alignment horizontal="right"/>
    </xf>
    <xf numFmtId="2" fontId="2" fillId="6" borderId="1" xfId="9" applyNumberFormat="1" applyFont="1" applyFill="1" applyBorder="1" applyAlignment="1" applyProtection="1">
      <alignment horizontal="right"/>
    </xf>
    <xf numFmtId="171" fontId="4" fillId="6" borderId="1" xfId="9" applyNumberFormat="1" applyFont="1" applyFill="1" applyBorder="1" applyAlignment="1" applyProtection="1">
      <alignment horizontal="center" wrapText="1"/>
    </xf>
    <xf numFmtId="4" fontId="4" fillId="6" borderId="1" xfId="9" applyNumberFormat="1" applyFont="1" applyFill="1" applyBorder="1" applyAlignment="1" applyProtection="1">
      <alignment horizontal="center"/>
    </xf>
    <xf numFmtId="2" fontId="4" fillId="6" borderId="1" xfId="9" applyNumberFormat="1" applyFont="1" applyFill="1" applyBorder="1" applyAlignment="1" applyProtection="1">
      <alignment horizontal="center" wrapText="1"/>
    </xf>
    <xf numFmtId="2" fontId="2" fillId="0" borderId="1" xfId="0" applyNumberFormat="1" applyFont="1" applyFill="1" applyBorder="1" applyAlignment="1">
      <alignment wrapText="1"/>
    </xf>
    <xf numFmtId="2" fontId="7" fillId="6" borderId="1" xfId="0" applyNumberFormat="1" applyFont="1" applyFill="1" applyBorder="1" applyAlignment="1">
      <alignment wrapText="1"/>
    </xf>
    <xf numFmtId="4" fontId="7" fillId="6" borderId="1" xfId="9" applyNumberFormat="1" applyFont="1" applyFill="1" applyBorder="1" applyAlignment="1" applyProtection="1">
      <alignment horizontal="right"/>
    </xf>
    <xf numFmtId="2" fontId="7" fillId="2" borderId="1" xfId="0" applyNumberFormat="1" applyFont="1" applyFill="1" applyBorder="1" applyAlignment="1">
      <alignment wrapText="1"/>
    </xf>
    <xf numFmtId="2" fontId="2" fillId="0" borderId="0" xfId="0" applyNumberFormat="1" applyFont="1"/>
    <xf numFmtId="2" fontId="2" fillId="6" borderId="1" xfId="0" applyNumberFormat="1" applyFont="1" applyFill="1" applyBorder="1" applyAlignment="1">
      <alignment wrapText="1"/>
    </xf>
    <xf numFmtId="4" fontId="2" fillId="6" borderId="1" xfId="9" applyNumberFormat="1" applyFont="1" applyFill="1" applyBorder="1" applyAlignment="1" applyProtection="1">
      <alignment horizontal="right"/>
    </xf>
    <xf numFmtId="2" fontId="4" fillId="6" borderId="1" xfId="0" applyNumberFormat="1" applyFont="1" applyFill="1" applyBorder="1" applyAlignment="1">
      <alignment horizontal="left" wrapText="1"/>
    </xf>
    <xf numFmtId="2" fontId="4" fillId="6" borderId="1" xfId="9" applyNumberFormat="1" applyFont="1" applyFill="1" applyBorder="1" applyAlignment="1" applyProtection="1">
      <alignment horizontal="right"/>
    </xf>
    <xf numFmtId="171" fontId="4" fillId="6" borderId="1" xfId="9" applyNumberFormat="1" applyFont="1" applyFill="1" applyBorder="1" applyAlignment="1" applyProtection="1">
      <alignment horizontal="right"/>
    </xf>
    <xf numFmtId="2" fontId="2" fillId="2" borderId="1" xfId="0" applyNumberFormat="1" applyFont="1" applyFill="1" applyBorder="1" applyAlignment="1">
      <alignment wrapText="1"/>
    </xf>
    <xf numFmtId="2" fontId="4" fillId="6" borderId="1" xfId="0" applyNumberFormat="1" applyFont="1" applyFill="1" applyBorder="1"/>
    <xf numFmtId="4" fontId="4" fillId="6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right"/>
    </xf>
    <xf numFmtId="2" fontId="2" fillId="2" borderId="0" xfId="0" applyNumberFormat="1" applyFont="1" applyFill="1"/>
    <xf numFmtId="172" fontId="2" fillId="2" borderId="0" xfId="0" applyNumberFormat="1" applyFont="1" applyFill="1" applyAlignment="1">
      <alignment horizontal="center"/>
    </xf>
    <xf numFmtId="171" fontId="2" fillId="2" borderId="0" xfId="9" applyNumberFormat="1" applyFont="1" applyFill="1" applyBorder="1" applyAlignment="1" applyProtection="1">
      <alignment horizontal="center"/>
    </xf>
    <xf numFmtId="2" fontId="2" fillId="2" borderId="0" xfId="9" applyNumberFormat="1" applyFont="1" applyFill="1" applyBorder="1" applyAlignment="1" applyProtection="1">
      <alignment horizontal="center"/>
    </xf>
    <xf numFmtId="0" fontId="2" fillId="2" borderId="0" xfId="0" applyFont="1" applyFill="1"/>
    <xf numFmtId="171" fontId="6" fillId="6" borderId="1" xfId="0" applyNumberFormat="1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4" fillId="0" borderId="0" xfId="0" applyFont="1"/>
    <xf numFmtId="10" fontId="2" fillId="0" borderId="0" xfId="2" applyNumberFormat="1" applyFont="1" applyFill="1" applyBorder="1" applyAlignment="1" applyProtection="1"/>
    <xf numFmtId="0" fontId="2" fillId="0" borderId="1" xfId="0" applyFont="1" applyBorder="1" applyAlignment="1">
      <alignment wrapText="1"/>
    </xf>
    <xf numFmtId="0" fontId="4" fillId="6" borderId="1" xfId="0" applyFont="1" applyFill="1" applyBorder="1" applyAlignment="1">
      <alignment wrapText="1"/>
    </xf>
    <xf numFmtId="10" fontId="2" fillId="0" borderId="0" xfId="0" applyNumberFormat="1" applyFont="1"/>
    <xf numFmtId="0" fontId="7" fillId="6" borderId="1" xfId="0" applyFont="1" applyFill="1" applyBorder="1" applyAlignment="1">
      <alignment wrapText="1"/>
    </xf>
    <xf numFmtId="0" fontId="2" fillId="0" borderId="1" xfId="0" applyFont="1" applyBorder="1" applyAlignment="1">
      <alignment horizontal="left" wrapText="1"/>
    </xf>
    <xf numFmtId="0" fontId="2" fillId="0" borderId="1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4" fillId="7" borderId="1" xfId="0" applyFont="1" applyFill="1" applyBorder="1" applyAlignment="1">
      <alignment wrapText="1"/>
    </xf>
    <xf numFmtId="4" fontId="4" fillId="7" borderId="1" xfId="9" applyNumberFormat="1" applyFont="1" applyFill="1" applyBorder="1" applyAlignment="1" applyProtection="1">
      <alignment horizontal="right"/>
    </xf>
    <xf numFmtId="2" fontId="4" fillId="7" borderId="1" xfId="9" applyNumberFormat="1" applyFont="1" applyFill="1" applyBorder="1" applyAlignment="1" applyProtection="1">
      <alignment horizontal="right"/>
    </xf>
    <xf numFmtId="171" fontId="4" fillId="7" borderId="1" xfId="9" applyNumberFormat="1" applyFont="1" applyFill="1" applyBorder="1" applyAlignment="1" applyProtection="1">
      <alignment horizontal="right"/>
    </xf>
    <xf numFmtId="0" fontId="2" fillId="6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4" fontId="2" fillId="2" borderId="1" xfId="9" applyNumberFormat="1" applyFont="1" applyFill="1" applyBorder="1" applyAlignment="1" applyProtection="1">
      <alignment horizontal="right"/>
    </xf>
    <xf numFmtId="0" fontId="4" fillId="6" borderId="1" xfId="0" applyFont="1" applyFill="1" applyBorder="1" applyAlignment="1">
      <alignment horizontal="left" wrapText="1"/>
    </xf>
    <xf numFmtId="0" fontId="2" fillId="0" borderId="1" xfId="0" applyFont="1" applyFill="1" applyBorder="1" applyAlignment="1">
      <alignment horizontal="left" wrapText="1"/>
    </xf>
    <xf numFmtId="4" fontId="2" fillId="6" borderId="1" xfId="0" applyNumberFormat="1" applyFont="1" applyFill="1" applyBorder="1" applyAlignment="1">
      <alignment horizontal="right"/>
    </xf>
    <xf numFmtId="4" fontId="4" fillId="7" borderId="1" xfId="0" applyNumberFormat="1" applyFont="1" applyFill="1" applyBorder="1" applyAlignment="1">
      <alignment horizontal="right"/>
    </xf>
    <xf numFmtId="172" fontId="2" fillId="0" borderId="0" xfId="0" applyNumberFormat="1" applyFont="1"/>
    <xf numFmtId="164" fontId="2" fillId="0" borderId="1" xfId="9" applyFont="1" applyFill="1" applyBorder="1" applyAlignment="1" applyProtection="1"/>
    <xf numFmtId="4" fontId="2" fillId="0" borderId="1" xfId="9" applyNumberFormat="1" applyFont="1" applyFill="1" applyBorder="1" applyAlignment="1" applyProtection="1"/>
    <xf numFmtId="0" fontId="2" fillId="0" borderId="0" xfId="0" applyFont="1" applyBorder="1"/>
    <xf numFmtId="172" fontId="2" fillId="0" borderId="1" xfId="9" applyNumberFormat="1" applyFont="1" applyFill="1" applyBorder="1" applyAlignment="1" applyProtection="1">
      <alignment horizontal="right"/>
    </xf>
    <xf numFmtId="164" fontId="2" fillId="0" borderId="1" xfId="9" applyFont="1" applyFill="1" applyBorder="1" applyAlignment="1" applyProtection="1">
      <alignment horizontal="right"/>
    </xf>
    <xf numFmtId="172" fontId="2" fillId="0" borderId="1" xfId="9" applyNumberFormat="1" applyFont="1" applyFill="1" applyBorder="1" applyAlignment="1" applyProtection="1"/>
    <xf numFmtId="164" fontId="4" fillId="0" borderId="1" xfId="9" applyFont="1" applyFill="1" applyBorder="1" applyAlignment="1" applyProtection="1"/>
    <xf numFmtId="164" fontId="2" fillId="0" borderId="1" xfId="9" applyFont="1" applyFill="1" applyBorder="1" applyAlignment="1" applyProtection="1">
      <alignment wrapText="1"/>
    </xf>
    <xf numFmtId="164" fontId="4" fillId="0" borderId="1" xfId="9" applyFont="1" applyFill="1" applyBorder="1" applyAlignment="1" applyProtection="1">
      <alignment wrapText="1"/>
    </xf>
    <xf numFmtId="172" fontId="4" fillId="0" borderId="1" xfId="9" applyNumberFormat="1" applyFont="1" applyFill="1" applyBorder="1" applyAlignment="1" applyProtection="1"/>
    <xf numFmtId="0" fontId="10" fillId="8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11" fillId="8" borderId="1" xfId="0" applyFont="1" applyFill="1" applyBorder="1" applyAlignment="1" applyProtection="1">
      <alignment vertical="top" wrapText="1"/>
      <protection hidden="1"/>
    </xf>
    <xf numFmtId="0" fontId="10" fillId="8" borderId="1" xfId="0" applyFont="1" applyFill="1" applyBorder="1" applyAlignment="1" applyProtection="1">
      <alignment vertical="top" wrapText="1"/>
      <protection hidden="1"/>
    </xf>
    <xf numFmtId="0" fontId="10" fillId="8" borderId="1" xfId="0" applyFont="1" applyFill="1" applyBorder="1" applyAlignment="1" applyProtection="1">
      <alignment horizontal="center" vertical="top" wrapText="1"/>
      <protection locked="0" hidden="1"/>
    </xf>
    <xf numFmtId="0" fontId="5" fillId="0" borderId="1" xfId="0" applyFont="1" applyBorder="1" applyAlignment="1" applyProtection="1">
      <alignment vertical="top" wrapText="1"/>
      <protection hidden="1"/>
    </xf>
    <xf numFmtId="0" fontId="5" fillId="0" borderId="1" xfId="0" applyFont="1" applyBorder="1" applyAlignment="1">
      <alignment horizontal="justify" vertical="top"/>
    </xf>
    <xf numFmtId="0" fontId="5" fillId="0" borderId="1" xfId="0" applyFont="1" applyBorder="1" applyAlignment="1">
      <alignment horizontal="left" vertical="top" wrapText="1"/>
    </xf>
    <xf numFmtId="0" fontId="5" fillId="0" borderId="1" xfId="0" applyNumberFormat="1" applyFont="1" applyBorder="1" applyAlignment="1" applyProtection="1">
      <alignment horizontal="left" vertical="top" wrapText="1"/>
      <protection locked="0"/>
    </xf>
    <xf numFmtId="10" fontId="5" fillId="0" borderId="1" xfId="0" applyNumberFormat="1" applyFont="1" applyBorder="1" applyAlignment="1">
      <alignment horizontal="left" vertical="top" wrapText="1"/>
    </xf>
    <xf numFmtId="0" fontId="5" fillId="0" borderId="1" xfId="0" applyNumberFormat="1" applyFont="1" applyBorder="1" applyAlignment="1" applyProtection="1">
      <alignment horizontal="left" vertical="top"/>
      <protection locked="0"/>
    </xf>
    <xf numFmtId="0" fontId="5" fillId="0" borderId="1" xfId="0" applyFont="1" applyBorder="1" applyAlignment="1">
      <alignment horizontal="justify" vertical="top" wrapText="1"/>
    </xf>
    <xf numFmtId="0" fontId="5" fillId="0" borderId="1" xfId="0" applyFont="1" applyFill="1" applyBorder="1" applyAlignment="1" applyProtection="1">
      <alignment vertical="top" wrapText="1"/>
      <protection hidden="1"/>
    </xf>
    <xf numFmtId="0" fontId="13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11" fillId="9" borderId="1" xfId="0" applyFont="1" applyFill="1" applyBorder="1" applyAlignment="1" applyProtection="1">
      <alignment vertical="top" wrapText="1"/>
      <protection hidden="1"/>
    </xf>
    <xf numFmtId="0" fontId="10" fillId="9" borderId="1" xfId="0" applyFont="1" applyFill="1" applyBorder="1" applyAlignment="1" applyProtection="1">
      <alignment vertical="top" wrapText="1"/>
      <protection hidden="1"/>
    </xf>
    <xf numFmtId="0" fontId="10" fillId="9" borderId="1" xfId="2" applyNumberFormat="1" applyFont="1" applyFill="1" applyBorder="1" applyAlignment="1" applyProtection="1">
      <alignment horizontal="left" vertical="top" wrapText="1"/>
      <protection locked="0" hidden="1"/>
    </xf>
    <xf numFmtId="10" fontId="10" fillId="9" borderId="1" xfId="2" applyNumberFormat="1" applyFont="1" applyFill="1" applyBorder="1" applyAlignment="1" applyProtection="1">
      <alignment horizontal="left" vertical="top" wrapText="1"/>
      <protection hidden="1"/>
    </xf>
    <xf numFmtId="3" fontId="2" fillId="0" borderId="0" xfId="0" applyNumberFormat="1" applyFont="1"/>
    <xf numFmtId="0" fontId="2" fillId="3" borderId="1" xfId="0" applyFont="1" applyFill="1" applyBorder="1"/>
    <xf numFmtId="3" fontId="2" fillId="3" borderId="1" xfId="0" applyNumberFormat="1" applyFont="1" applyFill="1" applyBorder="1"/>
    <xf numFmtId="0" fontId="2" fillId="0" borderId="1" xfId="0" applyFont="1" applyBorder="1"/>
    <xf numFmtId="3" fontId="2" fillId="0" borderId="1" xfId="0" applyNumberFormat="1" applyFont="1" applyBorder="1"/>
    <xf numFmtId="0" fontId="4" fillId="3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wrapText="1"/>
    </xf>
    <xf numFmtId="4" fontId="2" fillId="0" borderId="1" xfId="9" applyNumberFormat="1" applyFont="1" applyFill="1" applyBorder="1" applyAlignment="1" applyProtection="1">
      <alignment horizontal="center"/>
    </xf>
    <xf numFmtId="0" fontId="4" fillId="10" borderId="1" xfId="0" applyFont="1" applyFill="1" applyBorder="1"/>
    <xf numFmtId="4" fontId="2" fillId="10" borderId="1" xfId="9" applyNumberFormat="1" applyFont="1" applyFill="1" applyBorder="1" applyAlignment="1" applyProtection="1">
      <alignment horizontal="center"/>
    </xf>
    <xf numFmtId="3" fontId="4" fillId="10" borderId="1" xfId="0" applyNumberFormat="1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wrapText="1"/>
    </xf>
    <xf numFmtId="0" fontId="4" fillId="10" borderId="1" xfId="6" applyFont="1" applyFill="1" applyBorder="1" applyAlignment="1">
      <alignment horizontal="center" wrapText="1"/>
    </xf>
    <xf numFmtId="0" fontId="4" fillId="10" borderId="0" xfId="0" applyFont="1" applyFill="1"/>
    <xf numFmtId="0" fontId="2" fillId="0" borderId="0" xfId="0" applyFont="1" applyAlignment="1">
      <alignment horizontal="center"/>
    </xf>
    <xf numFmtId="0" fontId="4" fillId="10" borderId="1" xfId="6" applyFont="1" applyFill="1" applyBorder="1" applyAlignment="1">
      <alignment wrapText="1"/>
    </xf>
    <xf numFmtId="0" fontId="2" fillId="10" borderId="1" xfId="6" applyFont="1" applyFill="1" applyBorder="1" applyAlignment="1">
      <alignment wrapText="1"/>
    </xf>
    <xf numFmtId="168" fontId="2" fillId="0" borderId="1" xfId="7" applyNumberFormat="1" applyFont="1" applyFill="1" applyBorder="1" applyAlignment="1" applyProtection="1">
      <alignment wrapText="1"/>
    </xf>
    <xf numFmtId="168" fontId="2" fillId="10" borderId="1" xfId="7" applyNumberFormat="1" applyFont="1" applyFill="1" applyBorder="1" applyAlignment="1" applyProtection="1">
      <alignment wrapText="1"/>
    </xf>
    <xf numFmtId="168" fontId="2" fillId="10" borderId="1" xfId="6" applyNumberFormat="1" applyFont="1" applyFill="1" applyBorder="1" applyAlignment="1">
      <alignment wrapText="1"/>
    </xf>
    <xf numFmtId="164" fontId="4" fillId="4" borderId="1" xfId="1" applyFont="1" applyFill="1" applyBorder="1" applyAlignment="1" applyProtection="1">
      <alignment vertical="top" wrapText="1"/>
    </xf>
    <xf numFmtId="166" fontId="2" fillId="2" borderId="1" xfId="1" applyNumberFormat="1" applyFont="1" applyFill="1" applyBorder="1" applyAlignment="1" applyProtection="1">
      <alignment horizontal="center" vertical="center"/>
    </xf>
    <xf numFmtId="0" fontId="2" fillId="2" borderId="0" xfId="3" applyFont="1" applyFill="1" applyBorder="1" applyAlignment="1">
      <alignment horizontal="center" vertical="center" wrapText="1"/>
    </xf>
    <xf numFmtId="0" fontId="2" fillId="0" borderId="0" xfId="0" applyNumberFormat="1" applyFont="1" applyBorder="1" applyAlignment="1">
      <alignment horizontal="center"/>
    </xf>
    <xf numFmtId="166" fontId="2" fillId="0" borderId="1" xfId="1" applyNumberFormat="1" applyFont="1" applyFill="1" applyBorder="1" applyAlignment="1" applyProtection="1">
      <alignment horizontal="center" vertical="center"/>
    </xf>
    <xf numFmtId="165" fontId="16" fillId="4" borderId="1" xfId="1" applyNumberFormat="1" applyFont="1" applyFill="1" applyBorder="1" applyAlignment="1" applyProtection="1">
      <alignment horizontal="center" vertical="top"/>
    </xf>
    <xf numFmtId="165" fontId="4" fillId="3" borderId="1" xfId="1" applyNumberFormat="1" applyFont="1" applyFill="1" applyBorder="1" applyAlignment="1" applyProtection="1">
      <alignment horizontal="center" vertical="center" wrapText="1"/>
    </xf>
    <xf numFmtId="0" fontId="2" fillId="2" borderId="1" xfId="3" applyFont="1" applyFill="1" applyBorder="1" applyAlignment="1">
      <alignment vertical="top" wrapText="1"/>
    </xf>
    <xf numFmtId="0" fontId="2" fillId="0" borderId="1" xfId="4" applyFont="1" applyFill="1" applyBorder="1" applyAlignment="1">
      <alignment horizontal="left" vertical="center" wrapText="1"/>
    </xf>
    <xf numFmtId="0" fontId="2" fillId="0" borderId="1" xfId="4" applyFont="1" applyFill="1" applyBorder="1" applyAlignment="1">
      <alignment horizontal="justify" vertical="center" wrapText="1"/>
    </xf>
    <xf numFmtId="0" fontId="4" fillId="3" borderId="1" xfId="4" applyFont="1" applyFill="1" applyBorder="1" applyAlignment="1">
      <alignment horizontal="center" vertical="top"/>
    </xf>
    <xf numFmtId="0" fontId="2" fillId="0" borderId="1" xfId="4" applyFont="1" applyBorder="1" applyAlignment="1">
      <alignment horizontal="left" vertical="center"/>
    </xf>
    <xf numFmtId="0" fontId="4" fillId="3" borderId="1" xfId="4" applyFont="1" applyFill="1" applyBorder="1" applyAlignment="1">
      <alignment horizontal="center" vertical="top" wrapText="1"/>
    </xf>
    <xf numFmtId="0" fontId="4" fillId="0" borderId="1" xfId="4" applyFont="1" applyBorder="1" applyAlignment="1">
      <alignment horizontal="center" vertical="top" wrapText="1"/>
    </xf>
    <xf numFmtId="10" fontId="2" fillId="0" borderId="1" xfId="4" applyNumberFormat="1" applyFont="1" applyBorder="1" applyAlignment="1">
      <alignment horizontal="center" vertical="center" wrapText="1"/>
    </xf>
    <xf numFmtId="0" fontId="4" fillId="3" borderId="1" xfId="4" applyFont="1" applyFill="1" applyBorder="1" applyAlignment="1">
      <alignment horizontal="center" vertical="center"/>
    </xf>
    <xf numFmtId="0" fontId="2" fillId="0" borderId="1" xfId="0" applyNumberFormat="1" applyFont="1" applyFill="1" applyBorder="1"/>
    <xf numFmtId="0" fontId="4" fillId="0" borderId="1" xfId="0" applyNumberFormat="1" applyFont="1" applyFill="1" applyBorder="1" applyAlignment="1">
      <alignment horizontal="center"/>
    </xf>
    <xf numFmtId="165" fontId="4" fillId="3" borderId="1" xfId="1" applyNumberFormat="1" applyFont="1" applyFill="1" applyBorder="1" applyAlignment="1" applyProtection="1">
      <alignment horizontal="center" vertical="center" wrapText="1"/>
    </xf>
    <xf numFmtId="0" fontId="2" fillId="4" borderId="2" xfId="0" applyNumberFormat="1" applyFont="1" applyFill="1" applyBorder="1"/>
    <xf numFmtId="0" fontId="2" fillId="4" borderId="3" xfId="0" applyNumberFormat="1" applyFont="1" applyFill="1" applyBorder="1"/>
    <xf numFmtId="0" fontId="2" fillId="4" borderId="4" xfId="0" applyNumberFormat="1" applyFont="1" applyFill="1" applyBorder="1"/>
    <xf numFmtId="165" fontId="4" fillId="0" borderId="1" xfId="1" applyNumberFormat="1" applyFont="1" applyFill="1" applyBorder="1" applyAlignment="1" applyProtection="1">
      <alignment horizontal="center" vertical="center"/>
    </xf>
    <xf numFmtId="168" fontId="4" fillId="3" borderId="1" xfId="1" applyNumberFormat="1" applyFont="1" applyFill="1" applyBorder="1" applyAlignment="1" applyProtection="1">
      <alignment horizontal="center" vertical="center" wrapText="1"/>
    </xf>
    <xf numFmtId="165" fontId="4" fillId="0" borderId="1" xfId="1" applyNumberFormat="1" applyFont="1" applyFill="1" applyBorder="1" applyAlignment="1" applyProtection="1">
      <alignment horizontal="center" vertical="top"/>
    </xf>
    <xf numFmtId="0" fontId="6" fillId="3" borderId="1" xfId="0" applyFont="1" applyFill="1" applyBorder="1" applyAlignment="1">
      <alignment horizontal="center"/>
    </xf>
    <xf numFmtId="164" fontId="6" fillId="6" borderId="1" xfId="9" applyFont="1" applyFill="1" applyBorder="1" applyAlignment="1" applyProtection="1">
      <alignment horizontal="center" vertical="center"/>
    </xf>
    <xf numFmtId="2" fontId="6" fillId="6" borderId="1" xfId="0" applyNumberFormat="1" applyFont="1" applyFill="1" applyBorder="1" applyAlignment="1">
      <alignment horizontal="center" vertical="center"/>
    </xf>
    <xf numFmtId="2" fontId="6" fillId="6" borderId="1" xfId="0" applyNumberFormat="1" applyFont="1" applyFill="1" applyBorder="1" applyAlignment="1">
      <alignment horizontal="left" vertical="center"/>
    </xf>
    <xf numFmtId="2" fontId="6" fillId="6" borderId="1" xfId="0" applyNumberFormat="1" applyFont="1" applyFill="1" applyBorder="1" applyAlignment="1">
      <alignment horizontal="left"/>
    </xf>
    <xf numFmtId="172" fontId="6" fillId="6" borderId="1" xfId="0" applyNumberFormat="1" applyFont="1" applyFill="1" applyBorder="1" applyAlignment="1">
      <alignment horizontal="center" vertical="center"/>
    </xf>
    <xf numFmtId="172" fontId="4" fillId="6" borderId="1" xfId="0" applyNumberFormat="1" applyFont="1" applyFill="1" applyBorder="1" applyAlignment="1">
      <alignment horizontal="center" vertical="center"/>
    </xf>
    <xf numFmtId="0" fontId="10" fillId="8" borderId="1" xfId="0" applyFont="1" applyFill="1" applyBorder="1" applyAlignment="1" applyProtection="1">
      <alignment horizontal="center" vertical="top" wrapText="1"/>
      <protection hidden="1"/>
    </xf>
    <xf numFmtId="0" fontId="2" fillId="3" borderId="1" xfId="0" applyFont="1" applyFill="1" applyBorder="1" applyAlignment="1">
      <alignment horizontal="center" vertical="center"/>
    </xf>
    <xf numFmtId="0" fontId="4" fillId="10" borderId="1" xfId="6" applyFont="1" applyFill="1" applyBorder="1" applyAlignment="1">
      <alignment horizontal="center" wrapText="1"/>
    </xf>
    <xf numFmtId="49" fontId="4" fillId="10" borderId="1" xfId="6" applyNumberFormat="1" applyFont="1" applyFill="1" applyBorder="1" applyAlignment="1">
      <alignment horizontal="left" wrapText="1"/>
    </xf>
    <xf numFmtId="0" fontId="4" fillId="10" borderId="1" xfId="6" applyFont="1" applyFill="1" applyBorder="1" applyAlignment="1">
      <alignment wrapText="1"/>
    </xf>
    <xf numFmtId="0" fontId="4" fillId="10" borderId="1" xfId="6" applyFont="1" applyFill="1" applyBorder="1" applyAlignment="1">
      <alignment horizontal="left" wrapText="1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 wrapText="1"/>
    </xf>
  </cellXfs>
  <cellStyles count="10">
    <cellStyle name="Comma" xfId="1" builtinId="3"/>
    <cellStyle name="Comma_Sheet1" xfId="7"/>
    <cellStyle name="Excel_BuiltIn_Comma 2" xfId="8"/>
    <cellStyle name="Excel_BuiltIn_Comma 3" xfId="9"/>
    <cellStyle name="Normal" xfId="0" builtinId="0"/>
    <cellStyle name="Normal_senp__eligibility" xfId="3"/>
    <cellStyle name="Normal_senp__eligibility 1" xfId="4"/>
    <cellStyle name="Normal_senp__eligibility 2" xfId="5"/>
    <cellStyle name="Normal_Sheet1" xfId="6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T101"/>
  <sheetViews>
    <sheetView tabSelected="1" topLeftCell="A28" workbookViewId="0">
      <selection activeCell="F38" sqref="F38"/>
    </sheetView>
  </sheetViews>
  <sheetFormatPr defaultColWidth="31.28515625" defaultRowHeight="13.5"/>
  <cols>
    <col min="1" max="1" width="46.7109375" style="1" customWidth="1"/>
    <col min="2" max="2" width="12.42578125" style="1" customWidth="1"/>
    <col min="3" max="3" width="12" style="1" customWidth="1"/>
    <col min="4" max="4" width="14.140625" style="1" customWidth="1"/>
    <col min="5" max="5" width="14.7109375" style="1" customWidth="1"/>
    <col min="6" max="6" width="19.5703125" style="1" customWidth="1"/>
    <col min="7" max="7" width="16.28515625" style="1" customWidth="1"/>
    <col min="8" max="8" width="14.7109375" style="1" customWidth="1"/>
    <col min="9" max="9" width="11.85546875" style="1" customWidth="1"/>
    <col min="10" max="10" width="14.5703125" style="1" customWidth="1"/>
    <col min="11" max="12" width="13.140625" style="1" customWidth="1"/>
    <col min="13" max="13" width="13.7109375" style="1" customWidth="1"/>
    <col min="14" max="14" width="14.140625" style="1" customWidth="1"/>
    <col min="15" max="15" width="11.85546875" style="1" customWidth="1"/>
    <col min="16" max="16" width="12" style="1" customWidth="1"/>
    <col min="17" max="17" width="11" style="1" customWidth="1"/>
    <col min="18" max="18" width="11.5703125" style="1" customWidth="1"/>
    <col min="19" max="19" width="12" style="1" customWidth="1"/>
    <col min="20" max="237" width="31.28515625" style="1"/>
    <col min="238" max="245" width="31.28515625" style="2"/>
    <col min="246" max="247" width="31.28515625" style="3"/>
    <col min="248" max="254" width="31.28515625" style="4"/>
    <col min="255" max="16384" width="31.28515625" style="5"/>
  </cols>
  <sheetData>
    <row r="1" spans="1:6" ht="26.85" customHeight="1">
      <c r="A1" s="167" t="s">
        <v>268</v>
      </c>
      <c r="B1" s="179" t="s">
        <v>0</v>
      </c>
      <c r="C1" s="179"/>
      <c r="D1" s="6" t="s">
        <v>1</v>
      </c>
      <c r="E1" s="6">
        <v>7720208401</v>
      </c>
      <c r="F1" s="6" t="s">
        <v>2</v>
      </c>
    </row>
    <row r="2" spans="1:6">
      <c r="A2" s="7" t="s">
        <v>268</v>
      </c>
      <c r="B2" s="8" t="s">
        <v>266</v>
      </c>
      <c r="C2" s="8" t="s">
        <v>267</v>
      </c>
      <c r="D2" s="8" t="s">
        <v>235</v>
      </c>
      <c r="E2" s="9" t="s">
        <v>3</v>
      </c>
      <c r="F2" s="8" t="s">
        <v>236</v>
      </c>
    </row>
    <row r="3" spans="1:6">
      <c r="A3" s="10" t="s">
        <v>257</v>
      </c>
      <c r="B3" s="162">
        <v>3629240</v>
      </c>
      <c r="C3" s="165">
        <v>4340573</v>
      </c>
      <c r="D3" s="11">
        <f>AVERAGE(B3:C3)</f>
        <v>3984906.5</v>
      </c>
      <c r="E3" s="12">
        <v>1</v>
      </c>
      <c r="F3" s="11">
        <f t="shared" ref="F3:F7" si="0">E3*D3</f>
        <v>3984906.5</v>
      </c>
    </row>
    <row r="4" spans="1:6">
      <c r="A4" s="10" t="s">
        <v>258</v>
      </c>
      <c r="B4" s="162">
        <v>2980974</v>
      </c>
      <c r="C4" s="165">
        <v>3175316</v>
      </c>
      <c r="D4" s="11">
        <f>AVERAGE(B4:C4)</f>
        <v>3078145</v>
      </c>
      <c r="E4" s="12">
        <v>1</v>
      </c>
      <c r="F4" s="11">
        <f t="shared" si="0"/>
        <v>3078145</v>
      </c>
    </row>
    <row r="5" spans="1:6">
      <c r="A5" s="10" t="s">
        <v>269</v>
      </c>
      <c r="B5" s="162">
        <f>SUM(303934+590630+474084+524878+3133483+9464)</f>
        <v>5036473</v>
      </c>
      <c r="C5" s="162">
        <f>SUM(4144001+54025)</f>
        <v>4198026</v>
      </c>
      <c r="D5" s="11">
        <f>AVERAGE(B5:C5)</f>
        <v>4617249.5</v>
      </c>
      <c r="E5" s="12">
        <v>1</v>
      </c>
      <c r="F5" s="11">
        <f t="shared" si="0"/>
        <v>4617249.5</v>
      </c>
    </row>
    <row r="6" spans="1:6">
      <c r="A6" s="10" t="s">
        <v>238</v>
      </c>
      <c r="B6" s="163">
        <f>SUM(87740+52150)</f>
        <v>139890</v>
      </c>
      <c r="C6" s="162">
        <f>SUM(9662+7289+4174+4631+3136+57692)</f>
        <v>86584</v>
      </c>
      <c r="D6" s="11">
        <f>AVERAGE(B6:C6)</f>
        <v>113237</v>
      </c>
      <c r="E6" s="12">
        <v>1</v>
      </c>
      <c r="F6" s="11">
        <f>E6*D6</f>
        <v>113237</v>
      </c>
    </row>
    <row r="7" spans="1:6">
      <c r="A7" s="10" t="s">
        <v>237</v>
      </c>
      <c r="B7" s="162">
        <v>-1226412</v>
      </c>
      <c r="C7" s="162">
        <v>-1341655</v>
      </c>
      <c r="D7" s="11">
        <f>AVERAGE(B7:C7)</f>
        <v>-1284033.5</v>
      </c>
      <c r="E7" s="12">
        <v>1</v>
      </c>
      <c r="F7" s="11">
        <f t="shared" si="0"/>
        <v>-1284033.5</v>
      </c>
    </row>
    <row r="8" spans="1:6">
      <c r="A8" s="7" t="s">
        <v>270</v>
      </c>
      <c r="B8" s="8" t="s">
        <v>266</v>
      </c>
      <c r="C8" s="8" t="s">
        <v>267</v>
      </c>
      <c r="D8" s="8" t="s">
        <v>235</v>
      </c>
      <c r="E8" s="9" t="s">
        <v>3</v>
      </c>
      <c r="F8" s="8" t="s">
        <v>236</v>
      </c>
    </row>
    <row r="9" spans="1:6">
      <c r="A9" s="10" t="s">
        <v>271</v>
      </c>
      <c r="B9" s="162">
        <v>1080000</v>
      </c>
      <c r="C9" s="165">
        <v>1680000</v>
      </c>
      <c r="D9" s="11">
        <f>AVERAGE(B9:C9)</f>
        <v>1380000</v>
      </c>
      <c r="E9" s="12">
        <v>1</v>
      </c>
      <c r="F9" s="11">
        <f t="shared" ref="F9:F12" si="1">E9*D9</f>
        <v>1380000</v>
      </c>
    </row>
    <row r="10" spans="1:6">
      <c r="A10" s="10" t="s">
        <v>272</v>
      </c>
      <c r="B10" s="162">
        <v>-200000</v>
      </c>
      <c r="C10" s="165">
        <v>-200000</v>
      </c>
      <c r="D10" s="11">
        <f>AVERAGE(B10:C10)</f>
        <v>-200000</v>
      </c>
      <c r="E10" s="12">
        <v>0</v>
      </c>
      <c r="F10" s="11">
        <f t="shared" si="1"/>
        <v>0</v>
      </c>
    </row>
    <row r="11" spans="1:6">
      <c r="A11" s="10" t="s">
        <v>273</v>
      </c>
      <c r="B11" s="163">
        <f>SUM(1266+7612)</f>
        <v>8878</v>
      </c>
      <c r="C11" s="162">
        <f>SUM(1214+3929+2643+40400)</f>
        <v>48186</v>
      </c>
      <c r="D11" s="11">
        <f>AVERAGE(B11:C11)</f>
        <v>28532</v>
      </c>
      <c r="E11" s="12">
        <v>1</v>
      </c>
      <c r="F11" s="11">
        <f>E11*D11</f>
        <v>28532</v>
      </c>
    </row>
    <row r="12" spans="1:6">
      <c r="A12" s="10" t="s">
        <v>237</v>
      </c>
      <c r="B12" s="162">
        <v>-245187</v>
      </c>
      <c r="C12" s="162">
        <v>-220935</v>
      </c>
      <c r="D12" s="11">
        <f>AVERAGE(B12:C12)</f>
        <v>-233061</v>
      </c>
      <c r="E12" s="12">
        <v>1</v>
      </c>
      <c r="F12" s="11">
        <f t="shared" si="1"/>
        <v>-233061</v>
      </c>
    </row>
    <row r="13" spans="1:6">
      <c r="A13" s="7" t="s">
        <v>274</v>
      </c>
      <c r="B13" s="8" t="s">
        <v>266</v>
      </c>
      <c r="C13" s="8" t="s">
        <v>267</v>
      </c>
      <c r="D13" s="8" t="s">
        <v>235</v>
      </c>
      <c r="E13" s="9" t="s">
        <v>3</v>
      </c>
      <c r="F13" s="8" t="s">
        <v>236</v>
      </c>
    </row>
    <row r="14" spans="1:6">
      <c r="A14" s="10" t="s">
        <v>271</v>
      </c>
      <c r="B14" s="162">
        <v>750000</v>
      </c>
      <c r="C14" s="165">
        <v>900000</v>
      </c>
      <c r="D14" s="11">
        <f>AVERAGE(B14:C14)</f>
        <v>825000</v>
      </c>
      <c r="E14" s="12">
        <v>1</v>
      </c>
      <c r="F14" s="11">
        <f t="shared" ref="F14:F17" si="2">E14*D14</f>
        <v>825000</v>
      </c>
    </row>
    <row r="15" spans="1:6">
      <c r="A15" s="10" t="s">
        <v>275</v>
      </c>
      <c r="B15" s="162">
        <v>0</v>
      </c>
      <c r="C15" s="165">
        <v>-117531</v>
      </c>
      <c r="D15" s="11">
        <f>AVERAGE(B15:C15)</f>
        <v>-58765.5</v>
      </c>
      <c r="E15" s="12">
        <v>1</v>
      </c>
      <c r="F15" s="11">
        <f t="shared" si="2"/>
        <v>-58765.5</v>
      </c>
    </row>
    <row r="16" spans="1:6">
      <c r="A16" s="10" t="s">
        <v>276</v>
      </c>
      <c r="B16" s="162">
        <f>SUM(233+547+9289+106195)</f>
        <v>116264</v>
      </c>
      <c r="C16" s="162">
        <f>SUM(220+523+4672+44343)</f>
        <v>49758</v>
      </c>
      <c r="D16" s="11">
        <f>AVERAGE(B16:C16)</f>
        <v>83011</v>
      </c>
      <c r="E16" s="12">
        <v>1</v>
      </c>
      <c r="F16" s="11">
        <f t="shared" si="2"/>
        <v>83011</v>
      </c>
    </row>
    <row r="17" spans="1:6">
      <c r="A17" s="10" t="s">
        <v>237</v>
      </c>
      <c r="B17" s="162">
        <v>-74387</v>
      </c>
      <c r="C17" s="162">
        <v>-76401</v>
      </c>
      <c r="D17" s="11">
        <f>AVERAGE(B17:C17)</f>
        <v>-75394</v>
      </c>
      <c r="E17" s="12">
        <v>1</v>
      </c>
      <c r="F17" s="11">
        <f t="shared" si="2"/>
        <v>-75394</v>
      </c>
    </row>
    <row r="18" spans="1:6">
      <c r="A18" s="7" t="s">
        <v>277</v>
      </c>
      <c r="B18" s="8" t="s">
        <v>266</v>
      </c>
      <c r="C18" s="8" t="s">
        <v>267</v>
      </c>
      <c r="D18" s="8" t="s">
        <v>235</v>
      </c>
      <c r="E18" s="9" t="s">
        <v>3</v>
      </c>
      <c r="F18" s="8" t="s">
        <v>236</v>
      </c>
    </row>
    <row r="19" spans="1:6">
      <c r="A19" s="10" t="s">
        <v>271</v>
      </c>
      <c r="B19" s="162">
        <v>240000</v>
      </c>
      <c r="C19" s="165">
        <v>900000</v>
      </c>
      <c r="D19" s="11">
        <f>AVERAGE(B19:C19)</f>
        <v>570000</v>
      </c>
      <c r="E19" s="12">
        <v>1</v>
      </c>
      <c r="F19" s="11">
        <f t="shared" ref="F19:F23" si="3">E19*D19</f>
        <v>570000</v>
      </c>
    </row>
    <row r="20" spans="1:6">
      <c r="A20" s="10" t="s">
        <v>275</v>
      </c>
      <c r="B20" s="162">
        <v>0</v>
      </c>
      <c r="C20" s="165">
        <v>63115</v>
      </c>
      <c r="D20" s="11">
        <f>AVERAGE(B20:C20)</f>
        <v>31557.5</v>
      </c>
      <c r="E20" s="12">
        <v>1</v>
      </c>
      <c r="F20" s="11">
        <f t="shared" ref="F20:F21" si="4">E20*D20</f>
        <v>31557.5</v>
      </c>
    </row>
    <row r="21" spans="1:6">
      <c r="A21" s="10" t="s">
        <v>293</v>
      </c>
      <c r="B21" s="162">
        <v>0</v>
      </c>
      <c r="C21" s="165">
        <v>0</v>
      </c>
      <c r="D21" s="11">
        <f>AVERAGE(B21:C21)</f>
        <v>0</v>
      </c>
      <c r="E21" s="12">
        <v>0</v>
      </c>
      <c r="F21" s="11">
        <f t="shared" si="4"/>
        <v>0</v>
      </c>
    </row>
    <row r="22" spans="1:6">
      <c r="A22" s="10" t="s">
        <v>273</v>
      </c>
      <c r="B22" s="162">
        <f>SUM(75+464+1302+253531)</f>
        <v>255372</v>
      </c>
      <c r="C22" s="165">
        <f>141291+70+527+4047</f>
        <v>145935</v>
      </c>
      <c r="D22" s="11">
        <f>AVERAGE(B22:C22)</f>
        <v>200653.5</v>
      </c>
      <c r="E22" s="12">
        <v>1</v>
      </c>
      <c r="F22" s="11">
        <f t="shared" si="3"/>
        <v>200653.5</v>
      </c>
    </row>
    <row r="23" spans="1:6">
      <c r="A23" s="10" t="s">
        <v>237</v>
      </c>
      <c r="B23" s="162">
        <v>-230353</v>
      </c>
      <c r="C23" s="162">
        <v>-122885</v>
      </c>
      <c r="D23" s="11">
        <f>AVERAGE(B23:C23)</f>
        <v>-176619</v>
      </c>
      <c r="E23" s="12">
        <v>1</v>
      </c>
      <c r="F23" s="11">
        <f t="shared" si="3"/>
        <v>-176619</v>
      </c>
    </row>
    <row r="24" spans="1:6">
      <c r="A24" s="7" t="s">
        <v>278</v>
      </c>
      <c r="B24" s="8" t="s">
        <v>266</v>
      </c>
      <c r="C24" s="8" t="s">
        <v>267</v>
      </c>
      <c r="D24" s="8" t="s">
        <v>235</v>
      </c>
      <c r="E24" s="9" t="s">
        <v>3</v>
      </c>
      <c r="F24" s="8" t="s">
        <v>236</v>
      </c>
    </row>
    <row r="25" spans="1:6">
      <c r="A25" s="10" t="s">
        <v>271</v>
      </c>
      <c r="B25" s="162">
        <v>0</v>
      </c>
      <c r="C25" s="165">
        <v>0</v>
      </c>
      <c r="D25" s="11">
        <f>AVERAGE(B25:C25)</f>
        <v>0</v>
      </c>
      <c r="E25" s="12">
        <v>1</v>
      </c>
      <c r="F25" s="11">
        <f t="shared" ref="F25:F28" si="5">E25*D25</f>
        <v>0</v>
      </c>
    </row>
    <row r="26" spans="1:6">
      <c r="A26" s="10" t="s">
        <v>275</v>
      </c>
      <c r="B26" s="162">
        <v>0</v>
      </c>
      <c r="C26" s="165">
        <v>0</v>
      </c>
      <c r="D26" s="11">
        <f>AVERAGE(B26:C26)</f>
        <v>0</v>
      </c>
      <c r="E26" s="12">
        <v>1</v>
      </c>
      <c r="F26" s="11">
        <f t="shared" si="5"/>
        <v>0</v>
      </c>
    </row>
    <row r="27" spans="1:6">
      <c r="A27" s="10" t="s">
        <v>273</v>
      </c>
      <c r="B27" s="162">
        <f>SUM(177+406+4845+41034+122075)</f>
        <v>168537</v>
      </c>
      <c r="C27" s="165">
        <f>168+389+2379+37957+7639</f>
        <v>48532</v>
      </c>
      <c r="D27" s="11">
        <f>AVERAGE(B27:C27)</f>
        <v>108534.5</v>
      </c>
      <c r="E27" s="12">
        <v>1</v>
      </c>
      <c r="F27" s="11">
        <f t="shared" si="5"/>
        <v>108534.5</v>
      </c>
    </row>
    <row r="28" spans="1:6">
      <c r="A28" s="10" t="s">
        <v>237</v>
      </c>
      <c r="B28" s="162">
        <v>-103710</v>
      </c>
      <c r="C28" s="162">
        <v>-20475</v>
      </c>
      <c r="D28" s="11">
        <f>AVERAGE(B28:C28)</f>
        <v>-62092.5</v>
      </c>
      <c r="E28" s="12">
        <v>1</v>
      </c>
      <c r="F28" s="11">
        <f t="shared" si="5"/>
        <v>-62092.5</v>
      </c>
    </row>
    <row r="29" spans="1:6">
      <c r="A29" s="7" t="s">
        <v>279</v>
      </c>
      <c r="B29" s="8" t="s">
        <v>266</v>
      </c>
      <c r="C29" s="8" t="s">
        <v>267</v>
      </c>
      <c r="D29" s="8" t="s">
        <v>235</v>
      </c>
      <c r="E29" s="9" t="s">
        <v>3</v>
      </c>
      <c r="F29" s="8" t="s">
        <v>236</v>
      </c>
    </row>
    <row r="30" spans="1:6">
      <c r="A30" s="10" t="s">
        <v>271</v>
      </c>
      <c r="B30" s="162">
        <v>600000</v>
      </c>
      <c r="C30" s="165">
        <v>240000</v>
      </c>
      <c r="D30" s="11">
        <f>AVERAGE(B30:C30)</f>
        <v>420000</v>
      </c>
      <c r="E30" s="12">
        <v>1</v>
      </c>
      <c r="F30" s="11">
        <f t="shared" ref="F30:F33" si="6">E30*D30</f>
        <v>420000</v>
      </c>
    </row>
    <row r="31" spans="1:6">
      <c r="A31" s="10" t="s">
        <v>275</v>
      </c>
      <c r="B31" s="162">
        <v>0</v>
      </c>
      <c r="C31" s="165">
        <v>0</v>
      </c>
      <c r="D31" s="11">
        <f>AVERAGE(B31:C31)</f>
        <v>0</v>
      </c>
      <c r="E31" s="12">
        <v>1</v>
      </c>
      <c r="F31" s="11">
        <f t="shared" si="6"/>
        <v>0</v>
      </c>
    </row>
    <row r="32" spans="1:6">
      <c r="A32" s="10" t="s">
        <v>273</v>
      </c>
      <c r="B32" s="162">
        <f>SUM(632+1005+6974+123747)</f>
        <v>132358</v>
      </c>
      <c r="C32" s="165">
        <f>597+963+6882+2248</f>
        <v>10690</v>
      </c>
      <c r="D32" s="11">
        <f>AVERAGE(B32:C32)</f>
        <v>71524</v>
      </c>
      <c r="E32" s="12">
        <v>1</v>
      </c>
      <c r="F32" s="11">
        <f t="shared" si="6"/>
        <v>71524</v>
      </c>
    </row>
    <row r="33" spans="1:6">
      <c r="A33" s="10" t="s">
        <v>237</v>
      </c>
      <c r="B33" s="162">
        <v>-293519</v>
      </c>
      <c r="C33" s="162">
        <v>-70890</v>
      </c>
      <c r="D33" s="11">
        <f>AVERAGE(B33:C33)</f>
        <v>-182204.5</v>
      </c>
      <c r="E33" s="12">
        <v>1</v>
      </c>
      <c r="F33" s="11">
        <f t="shared" si="6"/>
        <v>-182204.5</v>
      </c>
    </row>
    <row r="34" spans="1:6" ht="15.4" customHeight="1">
      <c r="A34" s="161" t="s">
        <v>239</v>
      </c>
      <c r="B34" s="180">
        <v>0</v>
      </c>
      <c r="C34" s="181"/>
      <c r="D34" s="181"/>
      <c r="E34" s="182"/>
      <c r="F34" s="13">
        <f>+SUM(F2:F33)</f>
        <v>13440180.5</v>
      </c>
    </row>
    <row r="35" spans="1:6" ht="16.350000000000001" customHeight="1">
      <c r="A35" s="14" t="s">
        <v>240</v>
      </c>
      <c r="B35" s="177"/>
      <c r="C35" s="177"/>
      <c r="D35" s="177"/>
      <c r="E35" s="177"/>
      <c r="F35" s="13">
        <f>F34/12</f>
        <v>1120015.0416666667</v>
      </c>
    </row>
    <row r="36" spans="1:6">
      <c r="A36" s="14" t="s">
        <v>241</v>
      </c>
      <c r="B36" s="177"/>
      <c r="C36" s="177"/>
      <c r="D36" s="177"/>
      <c r="E36" s="177"/>
      <c r="F36" s="11">
        <f>RTR!M14</f>
        <v>565835</v>
      </c>
    </row>
    <row r="37" spans="1:6" ht="16.350000000000001" customHeight="1">
      <c r="A37" s="15" t="s">
        <v>242</v>
      </c>
      <c r="B37" s="183"/>
      <c r="C37" s="183"/>
      <c r="D37" s="183"/>
      <c r="E37" s="183"/>
      <c r="F37" s="16">
        <v>1</v>
      </c>
    </row>
    <row r="38" spans="1:6" ht="16.350000000000001" customHeight="1">
      <c r="A38" s="14" t="s">
        <v>243</v>
      </c>
      <c r="B38" s="177"/>
      <c r="C38" s="177"/>
      <c r="D38" s="177"/>
      <c r="E38" s="177"/>
      <c r="F38" s="166">
        <f>(F35*F37)-F36</f>
        <v>554180.04166666674</v>
      </c>
    </row>
    <row r="39" spans="1:6" ht="16.350000000000001" customHeight="1">
      <c r="A39" s="14" t="s">
        <v>244</v>
      </c>
      <c r="B39" s="177"/>
      <c r="C39" s="177"/>
      <c r="D39" s="177"/>
      <c r="E39" s="177"/>
      <c r="F39" s="18">
        <v>180</v>
      </c>
    </row>
    <row r="40" spans="1:6" ht="37.35" customHeight="1">
      <c r="A40" s="14" t="s">
        <v>245</v>
      </c>
      <c r="B40" s="177"/>
      <c r="C40" s="177"/>
      <c r="D40" s="177"/>
      <c r="E40" s="177"/>
      <c r="F40" s="16">
        <v>0.1</v>
      </c>
    </row>
    <row r="41" spans="1:6">
      <c r="A41" s="14" t="s">
        <v>246</v>
      </c>
      <c r="B41" s="177"/>
      <c r="C41" s="177"/>
      <c r="D41" s="177"/>
      <c r="E41" s="177"/>
      <c r="F41" s="19">
        <f>PMT(F40/12,F39,-100000)</f>
        <v>1074.6051177081183</v>
      </c>
    </row>
    <row r="42" spans="1:6">
      <c r="A42" s="14" t="s">
        <v>247</v>
      </c>
      <c r="B42" s="177"/>
      <c r="C42" s="177"/>
      <c r="D42" s="177"/>
      <c r="E42" s="177"/>
      <c r="F42" s="20">
        <f>F38/F41</f>
        <v>515.70575324320373</v>
      </c>
    </row>
    <row r="43" spans="1:6" ht="15.4" customHeight="1">
      <c r="A43" s="184" t="s">
        <v>248</v>
      </c>
      <c r="B43" s="184"/>
      <c r="C43" s="184"/>
      <c r="D43" s="184"/>
      <c r="E43" s="184"/>
      <c r="F43" s="184"/>
    </row>
    <row r="44" spans="1:6">
      <c r="A44" s="14" t="s">
        <v>244</v>
      </c>
      <c r="B44" s="177"/>
      <c r="C44" s="177"/>
      <c r="D44" s="177"/>
      <c r="E44" s="177"/>
      <c r="F44" s="17">
        <v>180</v>
      </c>
    </row>
    <row r="45" spans="1:6">
      <c r="A45" s="14" t="s">
        <v>245</v>
      </c>
      <c r="B45" s="177"/>
      <c r="C45" s="177"/>
      <c r="D45" s="177"/>
      <c r="E45" s="177"/>
      <c r="F45" s="21">
        <v>9.5500000000000002E-2</v>
      </c>
    </row>
    <row r="46" spans="1:6">
      <c r="A46" s="14" t="s">
        <v>246</v>
      </c>
      <c r="B46" s="177"/>
      <c r="C46" s="177"/>
      <c r="D46" s="177"/>
      <c r="E46" s="177"/>
      <c r="F46" s="20">
        <f>PMT(F45/12,F44,-100000)</f>
        <v>1047.2438674424591</v>
      </c>
    </row>
    <row r="47" spans="1:6">
      <c r="A47" s="14" t="s">
        <v>249</v>
      </c>
      <c r="B47" s="185">
        <f>B37</f>
        <v>0</v>
      </c>
      <c r="C47" s="185"/>
      <c r="D47" s="185"/>
      <c r="E47" s="185"/>
      <c r="F47" s="22">
        <v>0</v>
      </c>
    </row>
    <row r="48" spans="1:6">
      <c r="A48" s="14" t="s">
        <v>250</v>
      </c>
      <c r="B48" s="177"/>
      <c r="C48" s="177"/>
      <c r="D48" s="177"/>
      <c r="E48" s="177"/>
      <c r="F48" s="23">
        <f>F47*F46</f>
        <v>0</v>
      </c>
    </row>
    <row r="49" spans="1:6">
      <c r="A49" s="14" t="s">
        <v>251</v>
      </c>
      <c r="B49" s="177"/>
      <c r="C49" s="177"/>
      <c r="D49" s="177"/>
      <c r="E49" s="177"/>
      <c r="F49" s="24">
        <f>(F48+F36)/F35</f>
        <v>0.50520303652171927</v>
      </c>
    </row>
    <row r="50" spans="1:6">
      <c r="A50" s="25" t="s">
        <v>252</v>
      </c>
      <c r="B50" s="178" t="s">
        <v>4</v>
      </c>
      <c r="C50" s="178"/>
      <c r="D50" s="178"/>
      <c r="E50" s="178"/>
      <c r="F50" s="26">
        <v>0</v>
      </c>
    </row>
    <row r="51" spans="1:6">
      <c r="A51" s="25" t="s">
        <v>253</v>
      </c>
      <c r="B51" s="177"/>
      <c r="C51" s="177"/>
      <c r="D51" s="177"/>
      <c r="E51" s="177"/>
      <c r="F51" s="27"/>
    </row>
    <row r="52" spans="1:6">
      <c r="A52" s="25" t="s">
        <v>254</v>
      </c>
      <c r="B52" s="177"/>
      <c r="C52" s="177"/>
      <c r="D52" s="177"/>
      <c r="E52" s="177"/>
      <c r="F52" s="28" t="e">
        <f>F47/F50</f>
        <v>#DIV/0!</v>
      </c>
    </row>
    <row r="53" spans="1:6">
      <c r="A53" s="14" t="s">
        <v>255</v>
      </c>
      <c r="B53" s="177"/>
      <c r="C53" s="177"/>
      <c r="D53" s="177"/>
      <c r="E53" s="177"/>
      <c r="F53" s="28" t="e">
        <f>(F47+F51)/F50</f>
        <v>#DIV/0!</v>
      </c>
    </row>
    <row r="54" spans="1:6">
      <c r="A54" s="14" t="s">
        <v>256</v>
      </c>
      <c r="B54" s="177"/>
      <c r="C54" s="177"/>
      <c r="D54" s="177"/>
      <c r="E54" s="177"/>
      <c r="F54" s="28" t="e">
        <f>F53+F49</f>
        <v>#DIV/0!</v>
      </c>
    </row>
    <row r="55" spans="1:6" ht="15.4" customHeight="1">
      <c r="A55" s="169"/>
      <c r="B55" s="169"/>
      <c r="C55" s="169"/>
      <c r="D55" s="169"/>
      <c r="E55" s="169"/>
      <c r="F55" s="169"/>
    </row>
    <row r="56" spans="1:6">
      <c r="A56" s="169"/>
      <c r="B56" s="169"/>
      <c r="C56" s="169"/>
      <c r="D56" s="169"/>
      <c r="E56" s="169"/>
      <c r="F56" s="169"/>
    </row>
    <row r="57" spans="1:6" ht="15.4" customHeight="1">
      <c r="A57" s="169"/>
      <c r="B57" s="169"/>
      <c r="C57" s="169"/>
      <c r="D57" s="169"/>
      <c r="E57" s="169"/>
      <c r="F57" s="169"/>
    </row>
    <row r="58" spans="1:6">
      <c r="A58" s="169"/>
      <c r="B58" s="169"/>
      <c r="C58" s="169"/>
      <c r="D58" s="169"/>
      <c r="E58" s="169"/>
      <c r="F58" s="169"/>
    </row>
    <row r="59" spans="1:6">
      <c r="A59" s="169"/>
      <c r="B59" s="169"/>
      <c r="C59" s="169"/>
      <c r="D59" s="169"/>
      <c r="E59" s="169"/>
      <c r="F59" s="169"/>
    </row>
    <row r="60" spans="1:6">
      <c r="A60" s="169"/>
      <c r="B60" s="169"/>
      <c r="C60" s="169"/>
      <c r="D60" s="169"/>
      <c r="E60" s="169"/>
      <c r="F60" s="169"/>
    </row>
    <row r="61" spans="1:6">
      <c r="A61" s="169"/>
      <c r="B61" s="169"/>
      <c r="C61" s="169"/>
      <c r="D61" s="169"/>
      <c r="E61" s="169"/>
      <c r="F61" s="169"/>
    </row>
    <row r="62" spans="1:6" ht="15.4" customHeight="1">
      <c r="A62" s="169"/>
      <c r="B62" s="169"/>
      <c r="C62" s="169"/>
      <c r="D62" s="169"/>
      <c r="E62" s="169"/>
      <c r="F62" s="169"/>
    </row>
    <row r="63" spans="1:6">
      <c r="A63" s="169"/>
      <c r="B63" s="169"/>
      <c r="C63" s="169"/>
      <c r="D63" s="169"/>
      <c r="E63" s="169"/>
      <c r="F63" s="169"/>
    </row>
    <row r="64" spans="1:6">
      <c r="A64" s="173" t="s">
        <v>7</v>
      </c>
      <c r="B64" s="173"/>
      <c r="C64" s="173"/>
      <c r="D64" s="173"/>
      <c r="E64" s="173"/>
      <c r="F64" s="173"/>
    </row>
    <row r="65" spans="1:6">
      <c r="A65" s="169"/>
      <c r="B65" s="169"/>
      <c r="C65" s="169"/>
      <c r="D65" s="169"/>
      <c r="E65" s="169"/>
      <c r="F65" s="169"/>
    </row>
    <row r="66" spans="1:6">
      <c r="A66" s="169" t="s">
        <v>8</v>
      </c>
      <c r="B66" s="169"/>
      <c r="C66" s="169"/>
      <c r="D66" s="169"/>
      <c r="E66" s="169"/>
      <c r="F66" s="169"/>
    </row>
    <row r="67" spans="1:6">
      <c r="A67" s="169"/>
      <c r="B67" s="169"/>
      <c r="C67" s="169"/>
      <c r="D67" s="169"/>
      <c r="E67" s="169"/>
      <c r="F67" s="169"/>
    </row>
    <row r="68" spans="1:6" ht="15.4" customHeight="1">
      <c r="A68" s="169"/>
      <c r="B68" s="169"/>
      <c r="C68" s="169"/>
      <c r="D68" s="169"/>
      <c r="E68" s="169"/>
      <c r="F68" s="169"/>
    </row>
    <row r="69" spans="1:6">
      <c r="A69" s="169"/>
      <c r="B69" s="169"/>
      <c r="C69" s="169"/>
      <c r="D69" s="169"/>
      <c r="E69" s="169"/>
      <c r="F69" s="169"/>
    </row>
    <row r="70" spans="1:6">
      <c r="A70" s="169"/>
      <c r="B70" s="169"/>
      <c r="C70" s="169"/>
      <c r="D70" s="169"/>
      <c r="E70" s="169"/>
      <c r="F70" s="169"/>
    </row>
    <row r="71" spans="1:6">
      <c r="A71" s="173" t="s">
        <v>9</v>
      </c>
      <c r="B71" s="173"/>
      <c r="C71" s="173"/>
      <c r="D71" s="173"/>
      <c r="E71" s="173"/>
      <c r="F71" s="173"/>
    </row>
    <row r="72" spans="1:6" ht="15.4" customHeight="1">
      <c r="A72" s="169"/>
      <c r="B72" s="169"/>
      <c r="C72" s="169"/>
      <c r="D72" s="169"/>
      <c r="E72" s="169"/>
      <c r="F72" s="169"/>
    </row>
    <row r="73" spans="1:6" ht="26.85" customHeight="1">
      <c r="A73" s="169"/>
      <c r="B73" s="169"/>
      <c r="C73" s="169"/>
      <c r="D73" s="169"/>
      <c r="E73" s="169"/>
      <c r="F73" s="169"/>
    </row>
    <row r="74" spans="1:6" ht="15.4" customHeight="1">
      <c r="A74" s="169"/>
      <c r="B74" s="169"/>
      <c r="C74" s="169"/>
      <c r="D74" s="169"/>
      <c r="E74" s="169"/>
      <c r="F74" s="169"/>
    </row>
    <row r="75" spans="1:6" ht="15.4" customHeight="1">
      <c r="A75" s="169"/>
      <c r="B75" s="169"/>
      <c r="C75" s="169"/>
      <c r="D75" s="169"/>
      <c r="E75" s="169"/>
      <c r="F75" s="169"/>
    </row>
    <row r="76" spans="1:6">
      <c r="A76" s="169"/>
      <c r="B76" s="169"/>
      <c r="C76" s="169"/>
      <c r="D76" s="169"/>
      <c r="E76" s="169"/>
      <c r="F76" s="169"/>
    </row>
    <row r="77" spans="1:6" ht="16.350000000000001" customHeight="1">
      <c r="A77" s="173" t="s">
        <v>10</v>
      </c>
      <c r="B77" s="173"/>
      <c r="C77" s="173"/>
      <c r="D77" s="173"/>
      <c r="E77" s="173"/>
      <c r="F77" s="173"/>
    </row>
    <row r="78" spans="1:6" ht="16.350000000000001" customHeight="1">
      <c r="A78" s="33" t="s">
        <v>6</v>
      </c>
      <c r="B78" s="29" t="s">
        <v>11</v>
      </c>
      <c r="C78" s="29" t="s">
        <v>12</v>
      </c>
      <c r="D78" s="29" t="s">
        <v>13</v>
      </c>
      <c r="E78" s="29" t="s">
        <v>14</v>
      </c>
      <c r="F78" s="29" t="s">
        <v>15</v>
      </c>
    </row>
    <row r="79" spans="1:6" ht="16.350000000000001" customHeight="1">
      <c r="A79" s="31" t="str">
        <f>+A50</f>
        <v xml:space="preserve">Value based on Market valuation                </v>
      </c>
      <c r="B79" s="30"/>
      <c r="C79" s="30"/>
      <c r="D79" s="32" t="s">
        <v>16</v>
      </c>
      <c r="E79" s="30" t="s">
        <v>16</v>
      </c>
      <c r="F79" s="30"/>
    </row>
    <row r="80" spans="1:6" ht="16.350000000000001" customHeight="1">
      <c r="A80" s="31" t="s">
        <v>5</v>
      </c>
      <c r="B80" s="30"/>
      <c r="C80" s="30"/>
      <c r="D80" s="32" t="s">
        <v>16</v>
      </c>
      <c r="E80" s="30" t="s">
        <v>16</v>
      </c>
      <c r="F80" s="30"/>
    </row>
    <row r="81" spans="1:249" ht="16.350000000000001" customHeight="1">
      <c r="A81" s="173" t="s">
        <v>17</v>
      </c>
      <c r="B81" s="173"/>
      <c r="C81" s="173"/>
      <c r="D81" s="173"/>
      <c r="E81" s="173"/>
      <c r="F81" s="173"/>
    </row>
    <row r="82" spans="1:249" ht="16.350000000000001" customHeight="1">
      <c r="A82" s="33" t="s">
        <v>6</v>
      </c>
      <c r="B82" s="29" t="s">
        <v>18</v>
      </c>
      <c r="C82" s="29" t="s">
        <v>19</v>
      </c>
      <c r="D82" s="29" t="s">
        <v>20</v>
      </c>
      <c r="E82" s="174" t="s">
        <v>21</v>
      </c>
      <c r="F82" s="174"/>
    </row>
    <row r="83" spans="1:249" ht="16.350000000000001" customHeight="1">
      <c r="A83" s="31" t="str">
        <f>+A50</f>
        <v xml:space="preserve">Value based on Market valuation                </v>
      </c>
      <c r="B83" s="30" t="s">
        <v>16</v>
      </c>
      <c r="C83" s="30"/>
      <c r="D83" s="32" t="s">
        <v>16</v>
      </c>
      <c r="E83" s="175" t="s">
        <v>16</v>
      </c>
      <c r="F83" s="175"/>
    </row>
    <row r="84" spans="1:249" ht="16.350000000000001" customHeight="1">
      <c r="A84" s="31" t="s">
        <v>5</v>
      </c>
      <c r="B84" s="30" t="s">
        <v>16</v>
      </c>
      <c r="C84" s="30"/>
      <c r="D84" s="32" t="s">
        <v>16</v>
      </c>
      <c r="E84" s="175" t="s">
        <v>16</v>
      </c>
      <c r="F84" s="175"/>
    </row>
    <row r="85" spans="1:249" ht="16.350000000000001" customHeight="1">
      <c r="A85" s="176" t="s">
        <v>22</v>
      </c>
      <c r="B85" s="176"/>
      <c r="C85" s="176"/>
      <c r="D85" s="176" t="s">
        <v>23</v>
      </c>
      <c r="E85" s="176"/>
      <c r="F85" s="176"/>
    </row>
    <row r="86" spans="1:249" ht="16.350000000000001" customHeight="1">
      <c r="A86" s="169" t="s">
        <v>24</v>
      </c>
      <c r="B86" s="169"/>
      <c r="C86" s="169"/>
      <c r="D86" s="169"/>
      <c r="E86" s="169"/>
      <c r="F86" s="169"/>
    </row>
    <row r="87" spans="1:249" ht="16.350000000000001" customHeight="1">
      <c r="A87" s="169" t="s">
        <v>25</v>
      </c>
      <c r="B87" s="169"/>
      <c r="C87" s="169"/>
      <c r="D87" s="169"/>
      <c r="E87" s="169"/>
      <c r="F87" s="169"/>
    </row>
    <row r="88" spans="1:249" ht="26.85" customHeight="1">
      <c r="A88" s="169" t="s">
        <v>26</v>
      </c>
      <c r="B88" s="169"/>
      <c r="C88" s="169"/>
      <c r="D88" s="169"/>
      <c r="E88" s="169"/>
      <c r="F88" s="169"/>
    </row>
    <row r="89" spans="1:249" s="34" customFormat="1">
      <c r="A89" s="169" t="s">
        <v>27</v>
      </c>
      <c r="B89" s="169"/>
      <c r="C89" s="169"/>
      <c r="D89" s="169"/>
      <c r="E89" s="169"/>
      <c r="F89" s="169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ID89" s="35"/>
      <c r="IE89" s="35"/>
      <c r="IF89" s="35"/>
      <c r="IG89" s="2"/>
      <c r="IL89" s="3"/>
      <c r="IM89" s="3"/>
      <c r="IN89" s="4"/>
      <c r="IO89" s="4"/>
    </row>
    <row r="90" spans="1:249" s="34" customFormat="1">
      <c r="A90" s="169" t="s">
        <v>28</v>
      </c>
      <c r="B90" s="169"/>
      <c r="C90" s="169"/>
      <c r="D90" s="169"/>
      <c r="E90" s="169"/>
      <c r="F90" s="169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ID90" s="35"/>
      <c r="IE90" s="35"/>
      <c r="IF90" s="35"/>
      <c r="IG90" s="2"/>
      <c r="IL90" s="3"/>
      <c r="IM90" s="3"/>
      <c r="IN90" s="4"/>
      <c r="IO90" s="4"/>
    </row>
    <row r="91" spans="1:249" s="34" customFormat="1">
      <c r="A91" s="169" t="s">
        <v>29</v>
      </c>
      <c r="B91" s="169"/>
      <c r="C91" s="169"/>
      <c r="D91" s="169"/>
      <c r="E91" s="169"/>
      <c r="F91" s="169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ID91" s="35"/>
      <c r="IE91" s="35"/>
      <c r="IF91" s="35"/>
      <c r="IG91" s="2"/>
      <c r="IL91" s="3"/>
      <c r="IM91" s="3"/>
      <c r="IN91" s="4"/>
      <c r="IO91" s="4"/>
    </row>
    <row r="92" spans="1:249">
      <c r="A92" s="169" t="s">
        <v>30</v>
      </c>
      <c r="B92" s="169"/>
      <c r="C92" s="169"/>
      <c r="D92" s="169"/>
      <c r="E92" s="169"/>
      <c r="F92" s="169"/>
    </row>
    <row r="93" spans="1:249">
      <c r="A93" s="169" t="s">
        <v>31</v>
      </c>
      <c r="B93" s="169"/>
      <c r="C93" s="169"/>
      <c r="D93" s="169"/>
      <c r="E93" s="169"/>
      <c r="F93" s="169"/>
    </row>
    <row r="94" spans="1:249">
      <c r="A94" s="169" t="s">
        <v>32</v>
      </c>
      <c r="B94" s="169"/>
      <c r="C94" s="169"/>
      <c r="D94" s="169"/>
      <c r="E94" s="169"/>
      <c r="F94" s="169"/>
    </row>
    <row r="95" spans="1:249">
      <c r="A95" s="169" t="s">
        <v>33</v>
      </c>
      <c r="B95" s="169"/>
      <c r="C95" s="169"/>
      <c r="D95" s="169"/>
      <c r="E95" s="169"/>
      <c r="F95" s="169"/>
    </row>
    <row r="96" spans="1:249">
      <c r="A96" s="169" t="s">
        <v>34</v>
      </c>
      <c r="B96" s="169"/>
      <c r="C96" s="169"/>
      <c r="D96" s="169"/>
      <c r="E96" s="169"/>
      <c r="F96" s="169"/>
    </row>
    <row r="97" spans="1:6">
      <c r="A97" s="169" t="s">
        <v>35</v>
      </c>
      <c r="B97" s="169"/>
      <c r="C97" s="169"/>
      <c r="D97" s="170" t="s">
        <v>36</v>
      </c>
      <c r="E97" s="170"/>
      <c r="F97" s="170"/>
    </row>
    <row r="98" spans="1:6">
      <c r="A98" s="171" t="s">
        <v>37</v>
      </c>
      <c r="B98" s="171"/>
      <c r="C98" s="171"/>
      <c r="D98" s="171"/>
      <c r="E98" s="171"/>
      <c r="F98" s="171"/>
    </row>
    <row r="99" spans="1:6">
      <c r="A99" s="172"/>
      <c r="B99" s="172"/>
      <c r="C99" s="172"/>
      <c r="D99" s="172"/>
      <c r="E99" s="172"/>
      <c r="F99" s="172"/>
    </row>
    <row r="100" spans="1:6">
      <c r="A100" s="172"/>
      <c r="B100" s="172"/>
      <c r="C100" s="172"/>
      <c r="D100" s="172"/>
      <c r="E100" s="172"/>
      <c r="F100" s="172"/>
    </row>
    <row r="101" spans="1:6">
      <c r="A101" s="168"/>
      <c r="B101" s="168"/>
      <c r="C101" s="168"/>
      <c r="D101" s="168"/>
      <c r="E101" s="168"/>
      <c r="F101" s="168"/>
    </row>
  </sheetData>
  <sheetProtection selectLockedCells="1" selectUnlockedCells="1"/>
  <mergeCells count="79">
    <mergeCell ref="B54:E54"/>
    <mergeCell ref="B1:C1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A43:F43"/>
    <mergeCell ref="B44:E44"/>
    <mergeCell ref="B45:E45"/>
    <mergeCell ref="B46:E46"/>
    <mergeCell ref="B47:E47"/>
    <mergeCell ref="A57:F57"/>
    <mergeCell ref="A58:F58"/>
    <mergeCell ref="A59:F59"/>
    <mergeCell ref="A60:F60"/>
    <mergeCell ref="A61:F61"/>
    <mergeCell ref="B48:E48"/>
    <mergeCell ref="B49:E49"/>
    <mergeCell ref="B50:E50"/>
    <mergeCell ref="B51:E51"/>
    <mergeCell ref="B52:E52"/>
    <mergeCell ref="B53:E53"/>
    <mergeCell ref="A74:F74"/>
    <mergeCell ref="A63:F63"/>
    <mergeCell ref="A64:F64"/>
    <mergeCell ref="A65:F65"/>
    <mergeCell ref="A66:F66"/>
    <mergeCell ref="A67:F67"/>
    <mergeCell ref="A68:F68"/>
    <mergeCell ref="A69:F69"/>
    <mergeCell ref="A70:F70"/>
    <mergeCell ref="A71:F71"/>
    <mergeCell ref="A72:F72"/>
    <mergeCell ref="A73:F73"/>
    <mergeCell ref="A62:F62"/>
    <mergeCell ref="A55:F55"/>
    <mergeCell ref="A56:F56"/>
    <mergeCell ref="A87:C87"/>
    <mergeCell ref="D87:F87"/>
    <mergeCell ref="A75:F75"/>
    <mergeCell ref="A76:F76"/>
    <mergeCell ref="A77:F77"/>
    <mergeCell ref="A81:F81"/>
    <mergeCell ref="E82:F82"/>
    <mergeCell ref="E83:F83"/>
    <mergeCell ref="E84:F84"/>
    <mergeCell ref="A85:C85"/>
    <mergeCell ref="D85:F85"/>
    <mergeCell ref="A86:C86"/>
    <mergeCell ref="D86:F86"/>
    <mergeCell ref="A88:C88"/>
    <mergeCell ref="D88:F88"/>
    <mergeCell ref="A89:C89"/>
    <mergeCell ref="D89:F89"/>
    <mergeCell ref="A90:C90"/>
    <mergeCell ref="D90:F90"/>
    <mergeCell ref="A91:C91"/>
    <mergeCell ref="D91:F91"/>
    <mergeCell ref="A92:C92"/>
    <mergeCell ref="D92:F92"/>
    <mergeCell ref="A93:C93"/>
    <mergeCell ref="D93:F93"/>
    <mergeCell ref="A101:F101"/>
    <mergeCell ref="A94:C94"/>
    <mergeCell ref="D94:F94"/>
    <mergeCell ref="A95:C95"/>
    <mergeCell ref="D95:F95"/>
    <mergeCell ref="A96:C96"/>
    <mergeCell ref="D96:F96"/>
    <mergeCell ref="A97:C97"/>
    <mergeCell ref="D97:F97"/>
    <mergeCell ref="A98:F98"/>
    <mergeCell ref="A99:F99"/>
    <mergeCell ref="A100:F100"/>
  </mergeCells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indexed="24"/>
  </sheetPr>
  <dimension ref="A1:IP18"/>
  <sheetViews>
    <sheetView workbookViewId="0">
      <selection activeCell="K13" sqref="K13"/>
    </sheetView>
  </sheetViews>
  <sheetFormatPr defaultColWidth="22.140625" defaultRowHeight="13.5"/>
  <cols>
    <col min="1" max="1" width="5.42578125" style="36" customWidth="1"/>
    <col min="2" max="2" width="22.140625" style="36"/>
    <col min="3" max="3" width="12.28515625" style="36" customWidth="1"/>
    <col min="4" max="4" width="11.85546875" style="36" bestFit="1" customWidth="1"/>
    <col min="5" max="5" width="7.42578125" style="36" customWidth="1"/>
    <col min="6" max="7" width="13.140625" style="36" bestFit="1" customWidth="1"/>
    <col min="8" max="8" width="11.42578125" style="37" customWidth="1"/>
    <col min="9" max="9" width="14.140625" style="37" customWidth="1"/>
    <col min="10" max="10" width="11.42578125" style="37" customWidth="1"/>
    <col min="11" max="11" width="9" style="36" customWidth="1"/>
    <col min="12" max="12" width="10.140625" style="36" customWidth="1"/>
    <col min="13" max="13" width="13.140625" style="36" customWidth="1"/>
    <col min="14" max="250" width="22.140625" style="36"/>
    <col min="251" max="16384" width="22.140625" style="4"/>
  </cols>
  <sheetData>
    <row r="1" spans="1:13" ht="54">
      <c r="A1" s="38" t="s">
        <v>38</v>
      </c>
      <c r="B1" s="38" t="s">
        <v>39</v>
      </c>
      <c r="C1" s="38" t="s">
        <v>40</v>
      </c>
      <c r="D1" s="38" t="s">
        <v>41</v>
      </c>
      <c r="E1" s="38" t="s">
        <v>42</v>
      </c>
      <c r="F1" s="38" t="s">
        <v>43</v>
      </c>
      <c r="G1" s="38" t="s">
        <v>44</v>
      </c>
      <c r="H1" s="39" t="s">
        <v>45</v>
      </c>
      <c r="I1" s="39" t="s">
        <v>46</v>
      </c>
      <c r="J1" s="39" t="s">
        <v>47</v>
      </c>
      <c r="K1" s="38" t="s">
        <v>48</v>
      </c>
      <c r="L1" s="38" t="s">
        <v>49</v>
      </c>
      <c r="M1" s="38" t="s">
        <v>265</v>
      </c>
    </row>
    <row r="2" spans="1:13">
      <c r="A2" s="40">
        <v>1</v>
      </c>
      <c r="B2" s="41" t="s">
        <v>280</v>
      </c>
      <c r="C2" s="40" t="s">
        <v>281</v>
      </c>
      <c r="D2" s="40" t="s">
        <v>50</v>
      </c>
      <c r="E2" s="41" t="s">
        <v>282</v>
      </c>
      <c r="F2" s="42">
        <v>800000</v>
      </c>
      <c r="G2" s="42"/>
      <c r="H2" s="43">
        <v>42531</v>
      </c>
      <c r="I2" s="43">
        <v>43595</v>
      </c>
      <c r="J2" s="43" t="s">
        <v>261</v>
      </c>
      <c r="K2" s="41">
        <v>36</v>
      </c>
      <c r="L2" s="41">
        <v>25686</v>
      </c>
      <c r="M2" s="41" t="s">
        <v>259</v>
      </c>
    </row>
    <row r="3" spans="1:13">
      <c r="A3" s="40">
        <v>2</v>
      </c>
      <c r="B3" s="41">
        <v>277983515</v>
      </c>
      <c r="C3" s="40" t="s">
        <v>281</v>
      </c>
      <c r="D3" s="40" t="s">
        <v>51</v>
      </c>
      <c r="E3" s="41" t="s">
        <v>282</v>
      </c>
      <c r="F3" s="42">
        <v>1035000</v>
      </c>
      <c r="G3" s="42">
        <v>47583.11</v>
      </c>
      <c r="H3" s="43">
        <v>41764</v>
      </c>
      <c r="I3" s="43">
        <v>42465</v>
      </c>
      <c r="J3" s="43" t="s">
        <v>262</v>
      </c>
      <c r="K3" s="41">
        <v>24</v>
      </c>
      <c r="L3" s="41">
        <v>0</v>
      </c>
      <c r="M3" s="41" t="s">
        <v>259</v>
      </c>
    </row>
    <row r="4" spans="1:13">
      <c r="A4" s="40">
        <v>3</v>
      </c>
      <c r="B4" s="41" t="s">
        <v>283</v>
      </c>
      <c r="C4" s="40" t="s">
        <v>284</v>
      </c>
      <c r="D4" s="40" t="s">
        <v>50</v>
      </c>
      <c r="E4" s="41" t="s">
        <v>282</v>
      </c>
      <c r="F4" s="42">
        <v>600000</v>
      </c>
      <c r="G4" s="42">
        <v>185186</v>
      </c>
      <c r="H4" s="43">
        <v>41699</v>
      </c>
      <c r="I4" s="43">
        <v>42736</v>
      </c>
      <c r="J4" s="43" t="s">
        <v>263</v>
      </c>
      <c r="K4" s="41">
        <v>36</v>
      </c>
      <c r="L4" s="41">
        <v>0</v>
      </c>
      <c r="M4" s="41" t="s">
        <v>259</v>
      </c>
    </row>
    <row r="5" spans="1:13">
      <c r="A5" s="40">
        <v>4</v>
      </c>
      <c r="B5" s="41">
        <v>300027772360028</v>
      </c>
      <c r="C5" s="40" t="s">
        <v>284</v>
      </c>
      <c r="D5" s="40" t="s">
        <v>285</v>
      </c>
      <c r="E5" s="41" t="s">
        <v>286</v>
      </c>
      <c r="F5" s="42"/>
      <c r="G5" s="42"/>
      <c r="H5" s="43">
        <v>42781</v>
      </c>
      <c r="I5" s="43">
        <v>43845</v>
      </c>
      <c r="J5" s="43" t="s">
        <v>264</v>
      </c>
      <c r="K5" s="41">
        <v>36</v>
      </c>
      <c r="L5" s="41">
        <v>142145</v>
      </c>
      <c r="M5" s="41" t="s">
        <v>260</v>
      </c>
    </row>
    <row r="6" spans="1:13">
      <c r="A6" s="40">
        <v>5</v>
      </c>
      <c r="B6" s="41">
        <v>300027772360019</v>
      </c>
      <c r="C6" s="40" t="s">
        <v>284</v>
      </c>
      <c r="D6" s="40" t="s">
        <v>285</v>
      </c>
      <c r="E6" s="41" t="s">
        <v>286</v>
      </c>
      <c r="F6" s="42"/>
      <c r="G6" s="42"/>
      <c r="H6" s="43">
        <v>42781</v>
      </c>
      <c r="I6" s="43">
        <v>43845</v>
      </c>
      <c r="J6" s="43"/>
      <c r="K6" s="41">
        <v>36</v>
      </c>
      <c r="L6" s="41">
        <v>398004</v>
      </c>
      <c r="M6" s="41" t="s">
        <v>260</v>
      </c>
    </row>
    <row r="7" spans="1:13" ht="27">
      <c r="A7" s="40">
        <v>6</v>
      </c>
      <c r="B7" s="41">
        <v>1924936</v>
      </c>
      <c r="C7" s="40" t="s">
        <v>287</v>
      </c>
      <c r="D7" s="40" t="s">
        <v>288</v>
      </c>
      <c r="E7" s="41" t="s">
        <v>286</v>
      </c>
      <c r="F7" s="42">
        <v>10980000</v>
      </c>
      <c r="G7" s="42">
        <v>8733836</v>
      </c>
      <c r="H7" s="43">
        <v>41734</v>
      </c>
      <c r="I7" s="43">
        <v>44170</v>
      </c>
      <c r="J7" s="43"/>
      <c r="K7" s="41">
        <v>81</v>
      </c>
      <c r="L7" s="41">
        <v>198566</v>
      </c>
      <c r="M7" s="41" t="s">
        <v>294</v>
      </c>
    </row>
    <row r="8" spans="1:13" ht="27">
      <c r="A8" s="40">
        <v>7</v>
      </c>
      <c r="B8" s="44">
        <v>5929218</v>
      </c>
      <c r="C8" s="40" t="s">
        <v>287</v>
      </c>
      <c r="D8" s="45" t="s">
        <v>288</v>
      </c>
      <c r="E8" s="45" t="s">
        <v>286</v>
      </c>
      <c r="F8" s="45">
        <v>18600000</v>
      </c>
      <c r="G8" s="45"/>
      <c r="H8" s="43">
        <v>42921</v>
      </c>
      <c r="I8" s="43">
        <v>44170</v>
      </c>
      <c r="J8" s="46"/>
      <c r="K8" s="46">
        <v>54</v>
      </c>
      <c r="L8" s="47">
        <v>433682</v>
      </c>
      <c r="M8" s="45" t="s">
        <v>294</v>
      </c>
    </row>
    <row r="9" spans="1:13" ht="27">
      <c r="A9" s="40">
        <v>8</v>
      </c>
      <c r="B9" s="44">
        <v>1899472</v>
      </c>
      <c r="C9" s="40" t="s">
        <v>287</v>
      </c>
      <c r="D9" s="45" t="s">
        <v>288</v>
      </c>
      <c r="E9" s="45" t="s">
        <v>286</v>
      </c>
      <c r="F9" s="45">
        <v>38800000</v>
      </c>
      <c r="G9" s="45">
        <v>30861144</v>
      </c>
      <c r="H9" s="43">
        <v>41734</v>
      </c>
      <c r="I9" s="43">
        <v>44170</v>
      </c>
      <c r="J9" s="46"/>
      <c r="K9" s="46">
        <v>81</v>
      </c>
      <c r="L9" s="47">
        <v>701637</v>
      </c>
      <c r="M9" s="45" t="s">
        <v>294</v>
      </c>
    </row>
    <row r="10" spans="1:13" ht="27">
      <c r="A10" s="40">
        <v>9</v>
      </c>
      <c r="B10" s="44">
        <v>1926644</v>
      </c>
      <c r="C10" s="40" t="s">
        <v>287</v>
      </c>
      <c r="D10" s="45" t="s">
        <v>288</v>
      </c>
      <c r="E10" s="45" t="s">
        <v>289</v>
      </c>
      <c r="F10" s="45">
        <v>9480000</v>
      </c>
      <c r="G10" s="45"/>
      <c r="H10" s="43">
        <v>41734</v>
      </c>
      <c r="I10" s="43">
        <v>44201</v>
      </c>
      <c r="J10" s="46"/>
      <c r="K10" s="46">
        <v>82</v>
      </c>
      <c r="L10" s="47">
        <v>166084</v>
      </c>
      <c r="M10" s="45" t="s">
        <v>294</v>
      </c>
    </row>
    <row r="11" spans="1:13" ht="27">
      <c r="A11" s="40">
        <v>10</v>
      </c>
      <c r="B11" s="44" t="s">
        <v>290</v>
      </c>
      <c r="C11" s="40" t="s">
        <v>287</v>
      </c>
      <c r="D11" s="45" t="s">
        <v>288</v>
      </c>
      <c r="E11" s="45" t="s">
        <v>286</v>
      </c>
      <c r="F11" s="45">
        <v>22230759</v>
      </c>
      <c r="G11" s="45"/>
      <c r="H11" s="43">
        <v>40762</v>
      </c>
      <c r="I11" s="43">
        <v>43288</v>
      </c>
      <c r="J11" s="46"/>
      <c r="K11" s="46">
        <v>84</v>
      </c>
      <c r="L11" s="47">
        <v>392434</v>
      </c>
      <c r="M11" s="45" t="s">
        <v>294</v>
      </c>
    </row>
    <row r="12" spans="1:13" ht="27">
      <c r="A12" s="40">
        <v>11</v>
      </c>
      <c r="B12" s="44" t="s">
        <v>291</v>
      </c>
      <c r="C12" s="40" t="s">
        <v>287</v>
      </c>
      <c r="D12" s="45" t="s">
        <v>288</v>
      </c>
      <c r="E12" s="45" t="s">
        <v>286</v>
      </c>
      <c r="F12" s="45">
        <v>15000000</v>
      </c>
      <c r="G12" s="45"/>
      <c r="H12" s="43">
        <v>40762</v>
      </c>
      <c r="I12" s="43">
        <v>43288</v>
      </c>
      <c r="J12" s="46"/>
      <c r="K12" s="46">
        <v>84</v>
      </c>
      <c r="L12" s="47">
        <v>264791</v>
      </c>
      <c r="M12" s="41" t="s">
        <v>294</v>
      </c>
    </row>
    <row r="13" spans="1:13" ht="27">
      <c r="A13" s="40">
        <v>12</v>
      </c>
      <c r="B13" s="44" t="s">
        <v>292</v>
      </c>
      <c r="C13" s="40" t="s">
        <v>287</v>
      </c>
      <c r="D13" s="45" t="s">
        <v>288</v>
      </c>
      <c r="E13" s="45" t="s">
        <v>289</v>
      </c>
      <c r="F13" s="45">
        <v>12800000</v>
      </c>
      <c r="G13" s="45"/>
      <c r="H13" s="43">
        <v>40762</v>
      </c>
      <c r="I13" s="43">
        <v>43380</v>
      </c>
      <c r="J13" s="46"/>
      <c r="K13" s="46">
        <v>84</v>
      </c>
      <c r="L13" s="47">
        <v>219168</v>
      </c>
      <c r="M13" s="41" t="s">
        <v>294</v>
      </c>
    </row>
    <row r="14" spans="1:13">
      <c r="A14" s="49"/>
      <c r="B14" s="40"/>
      <c r="C14" s="40"/>
      <c r="D14" s="40"/>
      <c r="E14" s="40"/>
      <c r="F14" s="40"/>
      <c r="G14" s="40"/>
      <c r="H14" s="50"/>
      <c r="I14" s="50"/>
      <c r="J14" s="50"/>
      <c r="K14" s="40"/>
      <c r="L14" s="40"/>
      <c r="M14" s="51">
        <f>SUMIF(M2:M13,"Y",L2:L13)</f>
        <v>565835</v>
      </c>
    </row>
    <row r="18" spans="8:8">
      <c r="H18" s="164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indexed="24"/>
  </sheetPr>
  <dimension ref="A1:E65536"/>
  <sheetViews>
    <sheetView workbookViewId="0">
      <selection sqref="A1:E1"/>
    </sheetView>
  </sheetViews>
  <sheetFormatPr defaultColWidth="11.5703125" defaultRowHeight="13.5" customHeight="1"/>
  <cols>
    <col min="1" max="2" width="9.28515625" style="4" customWidth="1"/>
    <col min="3" max="16384" width="11.5703125" style="4"/>
  </cols>
  <sheetData>
    <row r="1" spans="1:5" ht="16.149999999999999" customHeight="1">
      <c r="A1" s="186" t="s">
        <v>54</v>
      </c>
      <c r="B1" s="186"/>
      <c r="C1" s="186"/>
      <c r="D1" s="186"/>
      <c r="E1" s="186"/>
    </row>
    <row r="2" spans="1:5" ht="16.149999999999999" customHeight="1">
      <c r="A2" s="52" t="s">
        <v>38</v>
      </c>
      <c r="B2" s="52" t="s">
        <v>55</v>
      </c>
      <c r="C2" s="52" t="s">
        <v>56</v>
      </c>
      <c r="D2" s="52" t="s">
        <v>57</v>
      </c>
      <c r="E2" s="53" t="s">
        <v>58</v>
      </c>
    </row>
    <row r="3" spans="1:5" ht="16.149999999999999" customHeight="1">
      <c r="A3" s="48">
        <v>1</v>
      </c>
      <c r="B3" s="48">
        <v>41795</v>
      </c>
      <c r="C3" s="54">
        <v>42040</v>
      </c>
      <c r="D3" s="54">
        <v>42040</v>
      </c>
      <c r="E3" s="48" t="s">
        <v>59</v>
      </c>
    </row>
    <row r="4" spans="1:5" ht="16.149999999999999" customHeight="1">
      <c r="A4" s="48">
        <v>2</v>
      </c>
      <c r="B4" s="48">
        <v>41795</v>
      </c>
      <c r="C4" s="54">
        <v>42068</v>
      </c>
      <c r="D4" s="54">
        <v>42068</v>
      </c>
      <c r="E4" s="48" t="s">
        <v>59</v>
      </c>
    </row>
    <row r="5" spans="1:5" ht="16.149999999999999" customHeight="1">
      <c r="A5" s="48">
        <v>3</v>
      </c>
      <c r="B5" s="48">
        <v>41795</v>
      </c>
      <c r="C5" s="54">
        <v>42099</v>
      </c>
      <c r="D5" s="54">
        <v>42100</v>
      </c>
      <c r="E5" s="48" t="s">
        <v>59</v>
      </c>
    </row>
    <row r="6" spans="1:5" ht="16.149999999999999" customHeight="1">
      <c r="A6" s="48">
        <v>4</v>
      </c>
      <c r="B6" s="48">
        <v>41795</v>
      </c>
      <c r="C6" s="54">
        <v>42129</v>
      </c>
      <c r="D6" s="54">
        <v>42129</v>
      </c>
      <c r="E6" s="48" t="s">
        <v>59</v>
      </c>
    </row>
    <row r="7" spans="1:5" ht="16.149999999999999" customHeight="1">
      <c r="A7" s="48">
        <v>5</v>
      </c>
      <c r="B7" s="48">
        <v>41795</v>
      </c>
      <c r="C7" s="54">
        <v>42160</v>
      </c>
      <c r="D7" s="54">
        <v>42160</v>
      </c>
      <c r="E7" s="48" t="s">
        <v>59</v>
      </c>
    </row>
    <row r="8" spans="1:5" ht="16.149999999999999" customHeight="1">
      <c r="A8" s="48">
        <v>6</v>
      </c>
      <c r="B8" s="48">
        <v>41795</v>
      </c>
      <c r="C8" s="54">
        <v>42190</v>
      </c>
      <c r="D8" s="54">
        <v>42191</v>
      </c>
      <c r="E8" s="48" t="s">
        <v>59</v>
      </c>
    </row>
    <row r="9" spans="1:5" ht="16.149999999999999" customHeight="1">
      <c r="A9" s="48">
        <v>7</v>
      </c>
      <c r="B9" s="48">
        <v>41795</v>
      </c>
      <c r="C9" s="54">
        <v>42221</v>
      </c>
      <c r="D9" s="54">
        <v>42221</v>
      </c>
      <c r="E9" s="48" t="s">
        <v>59</v>
      </c>
    </row>
    <row r="10" spans="1:5" ht="16.149999999999999" customHeight="1">
      <c r="A10" s="48">
        <v>8</v>
      </c>
      <c r="B10" s="48">
        <v>41795</v>
      </c>
      <c r="C10" s="54">
        <v>42252</v>
      </c>
      <c r="D10" s="54">
        <v>42252</v>
      </c>
      <c r="E10" s="48" t="s">
        <v>59</v>
      </c>
    </row>
    <row r="65532" ht="12.95" customHeight="1"/>
    <row r="65533" ht="12.95" customHeight="1"/>
    <row r="65534" ht="12.95" customHeight="1"/>
    <row r="65535" ht="12.95" customHeight="1"/>
    <row r="65536" ht="12.95" customHeight="1"/>
  </sheetData>
  <sheetProtection selectLockedCells="1" selectUnlockedCells="1"/>
  <mergeCells count="1">
    <mergeCell ref="A1:E1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indexed="24"/>
  </sheetPr>
  <dimension ref="A1:J102"/>
  <sheetViews>
    <sheetView workbookViewId="0">
      <selection activeCell="B9" sqref="B9"/>
    </sheetView>
  </sheetViews>
  <sheetFormatPr defaultRowHeight="13.5"/>
  <cols>
    <col min="1" max="1" width="35.140625" style="4" customWidth="1"/>
    <col min="2" max="4" width="13.140625" style="4" customWidth="1"/>
    <col min="5" max="5" width="12.5703125" style="4" customWidth="1"/>
    <col min="6" max="6" width="13.140625" style="4" customWidth="1"/>
    <col min="7" max="7" width="12.28515625" style="4" customWidth="1"/>
    <col min="8" max="8" width="13.42578125" style="4" customWidth="1"/>
    <col min="9" max="9" width="12.5703125" style="4" customWidth="1"/>
    <col min="10" max="16384" width="9.140625" style="4"/>
  </cols>
  <sheetData>
    <row r="1" spans="1:9">
      <c r="A1" s="188" t="s">
        <v>60</v>
      </c>
      <c r="B1" s="188"/>
      <c r="C1" s="188"/>
      <c r="D1" s="188"/>
      <c r="E1" s="188"/>
      <c r="F1" s="188"/>
      <c r="G1" s="188"/>
      <c r="H1" s="188"/>
    </row>
    <row r="2" spans="1:9">
      <c r="A2" s="188"/>
      <c r="B2" s="188"/>
      <c r="C2" s="188"/>
      <c r="D2" s="188"/>
      <c r="E2" s="188"/>
      <c r="F2" s="188"/>
      <c r="G2" s="188"/>
      <c r="H2" s="188"/>
    </row>
    <row r="3" spans="1:9">
      <c r="A3" s="189" t="s">
        <v>61</v>
      </c>
      <c r="B3" s="55" t="s">
        <v>62</v>
      </c>
      <c r="C3" s="55" t="s">
        <v>63</v>
      </c>
      <c r="D3" s="55" t="s">
        <v>64</v>
      </c>
      <c r="E3" s="55" t="s">
        <v>63</v>
      </c>
      <c r="F3" s="55" t="s">
        <v>65</v>
      </c>
      <c r="G3" s="55" t="s">
        <v>63</v>
      </c>
      <c r="H3" s="55" t="s">
        <v>66</v>
      </c>
    </row>
    <row r="4" spans="1:9">
      <c r="A4" s="189"/>
      <c r="B4" s="55" t="s">
        <v>67</v>
      </c>
      <c r="C4" s="55"/>
      <c r="D4" s="55" t="s">
        <v>68</v>
      </c>
      <c r="E4" s="55"/>
      <c r="F4" s="55" t="s">
        <v>68</v>
      </c>
      <c r="G4" s="55"/>
      <c r="H4" s="55" t="s">
        <v>68</v>
      </c>
    </row>
    <row r="5" spans="1:9">
      <c r="A5" s="189"/>
      <c r="B5" s="55" t="s">
        <v>69</v>
      </c>
      <c r="C5" s="55" t="s">
        <v>70</v>
      </c>
      <c r="D5" s="55" t="s">
        <v>69</v>
      </c>
      <c r="E5" s="55" t="s">
        <v>71</v>
      </c>
      <c r="F5" s="55" t="s">
        <v>69</v>
      </c>
      <c r="G5" s="55" t="s">
        <v>72</v>
      </c>
      <c r="H5" s="55" t="s">
        <v>69</v>
      </c>
    </row>
    <row r="6" spans="1:9">
      <c r="A6" s="56" t="s">
        <v>73</v>
      </c>
      <c r="B6" s="57">
        <v>493.81241999999997</v>
      </c>
      <c r="C6" s="58">
        <f t="shared" ref="C6:C9" si="0">(B6-D6)/D6*100</f>
        <v>6.4419583560299936</v>
      </c>
      <c r="D6" s="57">
        <v>463.92646999999999</v>
      </c>
      <c r="E6" s="58">
        <f t="shared" ref="E6:E9" si="1">(D6-F6)/F6*100</f>
        <v>2.3860842143812642</v>
      </c>
      <c r="F6" s="57">
        <v>453.11477000000002</v>
      </c>
      <c r="G6" s="58">
        <f t="shared" ref="G6:G9" si="2">(F6-H6)/H6*100</f>
        <v>1.2260191403204306</v>
      </c>
      <c r="H6" s="57">
        <v>447.62678</v>
      </c>
      <c r="I6" s="59"/>
    </row>
    <row r="7" spans="1:9" ht="27">
      <c r="A7" s="60" t="s">
        <v>74</v>
      </c>
      <c r="B7" s="57">
        <v>0</v>
      </c>
      <c r="C7" s="61" t="e">
        <f t="shared" si="0"/>
        <v>#DIV/0!</v>
      </c>
      <c r="D7" s="57">
        <v>0</v>
      </c>
      <c r="E7" s="61" t="e">
        <f t="shared" si="1"/>
        <v>#DIV/0!</v>
      </c>
      <c r="F7" s="57">
        <v>0</v>
      </c>
      <c r="G7" s="58" t="e">
        <f t="shared" si="2"/>
        <v>#DIV/0!</v>
      </c>
      <c r="H7" s="57">
        <v>0</v>
      </c>
      <c r="I7" s="59"/>
    </row>
    <row r="8" spans="1:9" ht="27">
      <c r="A8" s="60" t="s">
        <v>75</v>
      </c>
      <c r="B8" s="57">
        <v>14.78515</v>
      </c>
      <c r="C8" s="61">
        <f t="shared" si="0"/>
        <v>17.62887729805589</v>
      </c>
      <c r="D8" s="57">
        <f>0.01932+12.55</f>
        <v>12.569320000000001</v>
      </c>
      <c r="E8" s="61">
        <f t="shared" si="1"/>
        <v>4.359767589765065</v>
      </c>
      <c r="F8" s="57">
        <f>0.04422+12</f>
        <v>12.044219999999999</v>
      </c>
      <c r="G8" s="58">
        <f t="shared" si="2"/>
        <v>13.587533137736981</v>
      </c>
      <c r="H8" s="57">
        <f>0.01463+0.02217+10.56667</f>
        <v>10.60347</v>
      </c>
      <c r="I8" s="59"/>
    </row>
    <row r="9" spans="1:9">
      <c r="A9" s="62" t="s">
        <v>76</v>
      </c>
      <c r="B9" s="63">
        <f>B6+B7+B8</f>
        <v>508.59756999999996</v>
      </c>
      <c r="C9" s="64">
        <f t="shared" si="0"/>
        <v>6.7370542770167949</v>
      </c>
      <c r="D9" s="63">
        <f>D6+D7+D8</f>
        <v>476.49579</v>
      </c>
      <c r="E9" s="64">
        <f t="shared" si="1"/>
        <v>2.437188196663679</v>
      </c>
      <c r="F9" s="63">
        <f>F6+F7+F8</f>
        <v>465.15899000000002</v>
      </c>
      <c r="G9" s="65">
        <f t="shared" si="2"/>
        <v>1.5120651681114472</v>
      </c>
      <c r="H9" s="63">
        <f>H6+H7+H8</f>
        <v>458.23025000000001</v>
      </c>
      <c r="I9" s="59"/>
    </row>
    <row r="10" spans="1:9" ht="40.5">
      <c r="A10" s="62"/>
      <c r="B10" s="62"/>
      <c r="C10" s="66" t="s">
        <v>77</v>
      </c>
      <c r="D10" s="62"/>
      <c r="E10" s="66" t="s">
        <v>78</v>
      </c>
      <c r="F10" s="62"/>
      <c r="G10" s="66" t="s">
        <v>79</v>
      </c>
      <c r="H10" s="67"/>
      <c r="I10" s="68" t="s">
        <v>80</v>
      </c>
    </row>
    <row r="11" spans="1:9">
      <c r="A11" s="69" t="s">
        <v>81</v>
      </c>
      <c r="B11" s="57">
        <f>34.806+486.61517-1.795+0.56148-75.553</f>
        <v>444.63464999999997</v>
      </c>
      <c r="C11" s="58">
        <f t="shared" ref="C11:C27" si="3">B11/$D$6*100</f>
        <v>95.841621194841494</v>
      </c>
      <c r="D11" s="57">
        <f>40.236+197.37484+0.57129-34.806+217.65212</f>
        <v>421.02824999999996</v>
      </c>
      <c r="E11" s="58">
        <f t="shared" ref="E11:E24" si="4">D11/$D$6*100</f>
        <v>90.753228631252696</v>
      </c>
      <c r="F11" s="57">
        <f>31.277+160.83328+0.7512-40.236+262.14788+0.426</f>
        <v>415.19936000000001</v>
      </c>
      <c r="G11" s="58">
        <f t="shared" ref="G11:G24" si="5">F11/$F$6*100</f>
        <v>91.632272326942683</v>
      </c>
      <c r="H11" s="57">
        <f>23.672+157.95139+0.64818-31.277+259.86033</f>
        <v>410.85489999999999</v>
      </c>
      <c r="I11" s="58">
        <f t="shared" ref="I11:I26" si="6">H11/$H$6*100</f>
        <v>91.785147439123278</v>
      </c>
    </row>
    <row r="12" spans="1:9">
      <c r="A12" s="69" t="s">
        <v>82</v>
      </c>
      <c r="B12" s="57">
        <v>0</v>
      </c>
      <c r="C12" s="58">
        <f t="shared" si="3"/>
        <v>0</v>
      </c>
      <c r="D12" s="57">
        <v>1.3205499999999999</v>
      </c>
      <c r="E12" s="58">
        <f t="shared" si="4"/>
        <v>0.28464640096953292</v>
      </c>
      <c r="F12" s="57">
        <v>0.89330000000000009</v>
      </c>
      <c r="G12" s="58">
        <f t="shared" si="5"/>
        <v>0.19714651985411999</v>
      </c>
      <c r="H12" s="57">
        <f>0.75245+0.12777</f>
        <v>0.88022000000000011</v>
      </c>
      <c r="I12" s="58">
        <f t="shared" si="6"/>
        <v>0.19664149673976167</v>
      </c>
    </row>
    <row r="13" spans="1:9">
      <c r="A13" s="69" t="s">
        <v>83</v>
      </c>
      <c r="B13" s="57">
        <v>3.6</v>
      </c>
      <c r="C13" s="58">
        <f t="shared" si="3"/>
        <v>0.77598503918088579</v>
      </c>
      <c r="D13" s="57">
        <v>3</v>
      </c>
      <c r="E13" s="58">
        <f t="shared" si="4"/>
        <v>0.64665419931740475</v>
      </c>
      <c r="F13" s="57">
        <v>2.52</v>
      </c>
      <c r="G13" s="58">
        <f t="shared" si="5"/>
        <v>0.55615048699471881</v>
      </c>
      <c r="H13" s="57">
        <v>2.4</v>
      </c>
      <c r="I13" s="58">
        <f t="shared" si="6"/>
        <v>0.53616095087072313</v>
      </c>
    </row>
    <row r="14" spans="1:9">
      <c r="A14" s="70" t="s">
        <v>84</v>
      </c>
      <c r="B14" s="71">
        <f>B9-B11-B12-B13</f>
        <v>60.362919999999995</v>
      </c>
      <c r="C14" s="65">
        <f t="shared" si="3"/>
        <v>13.011311900353521</v>
      </c>
      <c r="D14" s="71">
        <f>D9-D11-D12-D13</f>
        <v>51.146990000000045</v>
      </c>
      <c r="E14" s="64">
        <f t="shared" si="4"/>
        <v>11.024805288648446</v>
      </c>
      <c r="F14" s="71">
        <f>F9-F11-F12-F13</f>
        <v>46.546329999999998</v>
      </c>
      <c r="G14" s="65">
        <f t="shared" si="5"/>
        <v>10.27252543544321</v>
      </c>
      <c r="H14" s="71">
        <f>H9-H11-H12-H13</f>
        <v>44.095130000000026</v>
      </c>
      <c r="I14" s="58">
        <f t="shared" si="6"/>
        <v>9.8508695123200685</v>
      </c>
    </row>
    <row r="15" spans="1:9">
      <c r="A15" s="72" t="s">
        <v>85</v>
      </c>
      <c r="B15" s="57">
        <f>60.36291-22.05249-B18-B19</f>
        <v>14.119040000000002</v>
      </c>
      <c r="C15" s="58">
        <f t="shared" si="3"/>
        <v>3.0433788354434705</v>
      </c>
      <c r="D15" s="57">
        <f>+D14-D16-D18-D19-21.01087</f>
        <v>16.43390000000004</v>
      </c>
      <c r="E15" s="61">
        <f t="shared" si="4"/>
        <v>3.5423501487207751</v>
      </c>
      <c r="F15" s="57">
        <f>+F14-F16-F18-F19-19.57195</f>
        <v>19.178069999999998</v>
      </c>
      <c r="G15" s="58">
        <f t="shared" si="5"/>
        <v>4.2324972103646052</v>
      </c>
      <c r="H15" s="57">
        <f>+H14-H16-H18-H19-17.89044</f>
        <v>16.051340000000021</v>
      </c>
      <c r="I15" s="58">
        <f t="shared" si="6"/>
        <v>3.5858757154788687</v>
      </c>
    </row>
    <row r="16" spans="1:9">
      <c r="A16" s="72" t="s">
        <v>86</v>
      </c>
      <c r="B16" s="57">
        <v>0</v>
      </c>
      <c r="C16" s="58">
        <f t="shared" si="3"/>
        <v>0</v>
      </c>
      <c r="D16" s="57">
        <v>0</v>
      </c>
      <c r="E16" s="61">
        <f t="shared" si="4"/>
        <v>0</v>
      </c>
      <c r="F16" s="57">
        <v>0</v>
      </c>
      <c r="G16" s="58">
        <f t="shared" si="5"/>
        <v>0</v>
      </c>
      <c r="H16" s="57">
        <v>0</v>
      </c>
      <c r="I16" s="58">
        <f t="shared" si="6"/>
        <v>0</v>
      </c>
    </row>
    <row r="17" spans="1:10">
      <c r="A17" s="70" t="s">
        <v>87</v>
      </c>
      <c r="B17" s="71">
        <f>B14-B15-B16</f>
        <v>46.24387999999999</v>
      </c>
      <c r="C17" s="65">
        <f t="shared" si="3"/>
        <v>9.9679330649100475</v>
      </c>
      <c r="D17" s="71">
        <f>D14-D15-D16</f>
        <v>34.713090000000008</v>
      </c>
      <c r="E17" s="64">
        <f t="shared" si="4"/>
        <v>7.4824551399276711</v>
      </c>
      <c r="F17" s="71">
        <f>F14-F15-F16</f>
        <v>27.368259999999999</v>
      </c>
      <c r="G17" s="65">
        <f t="shared" si="5"/>
        <v>6.0400282250786042</v>
      </c>
      <c r="H17" s="71">
        <f>H14-H15-H16</f>
        <v>28.043790000000005</v>
      </c>
      <c r="I17" s="58">
        <f t="shared" si="6"/>
        <v>6.2649937968412006</v>
      </c>
    </row>
    <row r="18" spans="1:10">
      <c r="A18" s="56" t="s">
        <v>88</v>
      </c>
      <c r="B18" s="57">
        <v>4.2599400000000003</v>
      </c>
      <c r="C18" s="58">
        <f t="shared" si="3"/>
        <v>0.91823602994672848</v>
      </c>
      <c r="D18" s="57">
        <v>3.6797399999999998</v>
      </c>
      <c r="E18" s="61">
        <f t="shared" si="4"/>
        <v>0.79317310779874228</v>
      </c>
      <c r="F18" s="57">
        <v>2.80132</v>
      </c>
      <c r="G18" s="58">
        <f t="shared" si="5"/>
        <v>0.61823630247144667</v>
      </c>
      <c r="H18" s="57">
        <v>2.4082300000000001</v>
      </c>
      <c r="I18" s="58">
        <f t="shared" si="6"/>
        <v>0.53799953613141738</v>
      </c>
      <c r="J18" s="73"/>
    </row>
    <row r="19" spans="1:10">
      <c r="A19" s="56" t="s">
        <v>89</v>
      </c>
      <c r="B19" s="57">
        <f>0.95467+13.10796+0.95731+4.894+0.0175</f>
        <v>19.931439999999998</v>
      </c>
      <c r="C19" s="58">
        <f t="shared" si="3"/>
        <v>4.2962497914809648</v>
      </c>
      <c r="D19" s="57">
        <f>0.63363+8.37255+1.0163</f>
        <v>10.02248</v>
      </c>
      <c r="E19" s="61">
        <f t="shared" si="4"/>
        <v>2.1603595931915676</v>
      </c>
      <c r="F19" s="57">
        <f>0.12619+3.71607+1.15273</f>
        <v>4.9949899999999996</v>
      </c>
      <c r="G19" s="58">
        <f t="shared" si="5"/>
        <v>1.1023675083467264</v>
      </c>
      <c r="H19" s="57">
        <f>6.67186+0.25948+0.81378</f>
        <v>7.74512</v>
      </c>
      <c r="I19" s="58">
        <f t="shared" si="6"/>
        <v>1.7302628765866066</v>
      </c>
      <c r="J19" s="73"/>
    </row>
    <row r="20" spans="1:10">
      <c r="A20" s="56" t="s">
        <v>90</v>
      </c>
      <c r="B20" s="57">
        <v>0</v>
      </c>
      <c r="C20" s="58">
        <f t="shared" si="3"/>
        <v>0</v>
      </c>
      <c r="D20" s="57">
        <v>0</v>
      </c>
      <c r="E20" s="61">
        <f t="shared" si="4"/>
        <v>0</v>
      </c>
      <c r="F20" s="57">
        <v>0</v>
      </c>
      <c r="G20" s="58">
        <f t="shared" si="5"/>
        <v>0</v>
      </c>
      <c r="H20" s="57">
        <v>0</v>
      </c>
      <c r="I20" s="58">
        <f t="shared" si="6"/>
        <v>0</v>
      </c>
    </row>
    <row r="21" spans="1:10">
      <c r="A21" s="74" t="s">
        <v>91</v>
      </c>
      <c r="B21" s="75">
        <f>B17-B18-B19-B20</f>
        <v>22.052499999999991</v>
      </c>
      <c r="C21" s="65">
        <f t="shared" si="3"/>
        <v>4.7534472434823547</v>
      </c>
      <c r="D21" s="75">
        <f>D17-D18-D19-D20</f>
        <v>21.010870000000011</v>
      </c>
      <c r="E21" s="64">
        <f t="shared" si="4"/>
        <v>4.5289224389373626</v>
      </c>
      <c r="F21" s="75">
        <f>F17-F18-F19-F20</f>
        <v>19.571950000000001</v>
      </c>
      <c r="G21" s="65">
        <f t="shared" si="5"/>
        <v>4.319424414260431</v>
      </c>
      <c r="H21" s="75">
        <f>H17-H18-H19-H20</f>
        <v>17.890440000000005</v>
      </c>
      <c r="I21" s="58">
        <f t="shared" si="6"/>
        <v>3.9967313841231764</v>
      </c>
    </row>
    <row r="22" spans="1:10">
      <c r="A22" s="60" t="s">
        <v>92</v>
      </c>
      <c r="B22" s="57">
        <v>0</v>
      </c>
      <c r="C22" s="58">
        <f t="shared" si="3"/>
        <v>0</v>
      </c>
      <c r="D22" s="57">
        <v>2.3240099999999999</v>
      </c>
      <c r="E22" s="61">
        <f t="shared" si="4"/>
        <v>0.50094360858521392</v>
      </c>
      <c r="F22" s="57">
        <v>1.94869</v>
      </c>
      <c r="G22" s="58">
        <f t="shared" si="5"/>
        <v>0.43006543353243598</v>
      </c>
      <c r="H22" s="57">
        <v>1.84196</v>
      </c>
      <c r="I22" s="58">
        <f t="shared" si="6"/>
        <v>0.41149459377743219</v>
      </c>
    </row>
    <row r="23" spans="1:10">
      <c r="A23" s="76" t="s">
        <v>93</v>
      </c>
      <c r="B23" s="63">
        <f>B21-B22</f>
        <v>22.052499999999991</v>
      </c>
      <c r="C23" s="77">
        <f t="shared" si="3"/>
        <v>4.7534472434823547</v>
      </c>
      <c r="D23" s="63">
        <f>D21-D22</f>
        <v>18.68686000000001</v>
      </c>
      <c r="E23" s="78">
        <f t="shared" si="4"/>
        <v>4.027978830352148</v>
      </c>
      <c r="F23" s="63">
        <f>F21-F22</f>
        <v>17.623260000000002</v>
      </c>
      <c r="G23" s="65">
        <f t="shared" si="5"/>
        <v>3.8893589807279958</v>
      </c>
      <c r="H23" s="63">
        <f>H21-H22</f>
        <v>16.048480000000005</v>
      </c>
      <c r="I23" s="58">
        <f t="shared" si="6"/>
        <v>3.5852367903457445</v>
      </c>
    </row>
    <row r="24" spans="1:10">
      <c r="A24" s="74" t="s">
        <v>94</v>
      </c>
      <c r="B24" s="75">
        <f>B23+B18+B20</f>
        <v>26.312439999999992</v>
      </c>
      <c r="C24" s="65">
        <f t="shared" si="3"/>
        <v>5.6716832734290827</v>
      </c>
      <c r="D24" s="75">
        <f>D23+D18+D20</f>
        <v>22.366600000000009</v>
      </c>
      <c r="E24" s="64">
        <f t="shared" si="4"/>
        <v>4.8211519381508898</v>
      </c>
      <c r="F24" s="75">
        <f>F23+F18+F20</f>
        <v>20.424580000000002</v>
      </c>
      <c r="G24" s="65">
        <f t="shared" si="5"/>
        <v>4.5075952831994419</v>
      </c>
      <c r="H24" s="75">
        <f>H23+H18+H20</f>
        <v>18.456710000000005</v>
      </c>
      <c r="I24" s="58">
        <f t="shared" si="6"/>
        <v>4.1232363264771612</v>
      </c>
    </row>
    <row r="25" spans="1:10" ht="27">
      <c r="A25" s="79" t="s">
        <v>95</v>
      </c>
      <c r="B25" s="57">
        <v>0</v>
      </c>
      <c r="C25" s="57">
        <f t="shared" si="3"/>
        <v>0</v>
      </c>
      <c r="D25" s="57">
        <v>0</v>
      </c>
      <c r="E25" s="61"/>
      <c r="F25" s="57">
        <v>0</v>
      </c>
      <c r="G25" s="58"/>
      <c r="H25" s="57">
        <v>0</v>
      </c>
      <c r="I25" s="58">
        <f t="shared" si="6"/>
        <v>0</v>
      </c>
    </row>
    <row r="26" spans="1:10" ht="27">
      <c r="A26" s="79" t="s">
        <v>96</v>
      </c>
      <c r="B26" s="57">
        <v>0</v>
      </c>
      <c r="C26" s="57">
        <f t="shared" si="3"/>
        <v>0</v>
      </c>
      <c r="D26" s="57">
        <f>2.16193+1.44+2.36641</f>
        <v>5.9683399999999995</v>
      </c>
      <c r="E26" s="61"/>
      <c r="F26" s="57">
        <f>2.21065+1.44+1.96475</f>
        <v>5.6154000000000002</v>
      </c>
      <c r="G26" s="58"/>
      <c r="H26" s="57">
        <f>1.2526+1.44+1.641</f>
        <v>4.3335999999999997</v>
      </c>
      <c r="I26" s="58">
        <f t="shared" si="6"/>
        <v>0.96812795695556897</v>
      </c>
    </row>
    <row r="27" spans="1:10">
      <c r="A27" s="80" t="s">
        <v>97</v>
      </c>
      <c r="B27" s="81">
        <f>B24+B25+B26</f>
        <v>26.312439999999992</v>
      </c>
      <c r="C27" s="77">
        <f t="shared" si="3"/>
        <v>5.6716832734290827</v>
      </c>
      <c r="D27" s="81">
        <f>D24+D25+D26</f>
        <v>28.33494000000001</v>
      </c>
      <c r="E27" s="78">
        <f>D27/$D$6*100</f>
        <v>6.1076359794689044</v>
      </c>
      <c r="F27" s="81">
        <f>F24+F25+F26</f>
        <v>26.039980000000003</v>
      </c>
      <c r="G27" s="65">
        <f>F27/$F$6*100</f>
        <v>5.7468839517193411</v>
      </c>
      <c r="H27" s="81">
        <f>H24+H25+H26</f>
        <v>22.790310000000005</v>
      </c>
      <c r="I27" s="82"/>
    </row>
    <row r="28" spans="1:10">
      <c r="A28" s="83"/>
      <c r="B28" s="84"/>
      <c r="C28" s="85"/>
      <c r="D28" s="84"/>
      <c r="E28" s="85"/>
      <c r="F28" s="84"/>
      <c r="G28" s="86"/>
      <c r="H28" s="84"/>
      <c r="I28" s="87"/>
    </row>
    <row r="29" spans="1:10">
      <c r="A29" s="190" t="s">
        <v>98</v>
      </c>
      <c r="B29" s="191"/>
      <c r="C29" s="88" t="s">
        <v>63</v>
      </c>
      <c r="D29" s="191"/>
      <c r="E29" s="88" t="s">
        <v>63</v>
      </c>
      <c r="F29" s="191"/>
      <c r="G29" s="89" t="s">
        <v>63</v>
      </c>
      <c r="H29" s="192"/>
      <c r="I29" s="90"/>
    </row>
    <row r="30" spans="1:10">
      <c r="A30" s="190"/>
      <c r="B30" s="191"/>
      <c r="C30" s="88" t="str">
        <f>+C5</f>
        <v>In 2015</v>
      </c>
      <c r="D30" s="191"/>
      <c r="E30" s="88" t="str">
        <f>+E5</f>
        <v>In 2014</v>
      </c>
      <c r="F30" s="191"/>
      <c r="G30" s="89" t="str">
        <f>+G5</f>
        <v>In 2013</v>
      </c>
      <c r="H30" s="192"/>
      <c r="I30" s="90"/>
      <c r="J30" s="91"/>
    </row>
    <row r="31" spans="1:10">
      <c r="A31" s="92" t="s">
        <v>99</v>
      </c>
      <c r="B31" s="57">
        <v>22.57282</v>
      </c>
      <c r="C31" s="58">
        <f t="shared" ref="C31:C62" si="7">(B31-D31)/D31*100</f>
        <v>-32.310409610301207</v>
      </c>
      <c r="D31" s="57">
        <v>33.347549999999998</v>
      </c>
      <c r="E31" s="61">
        <f t="shared" ref="E31:E62" si="8">(D31-F31)/F31*100</f>
        <v>37.565193572778973</v>
      </c>
      <c r="F31" s="57">
        <v>24.24127</v>
      </c>
      <c r="G31" s="58">
        <f t="shared" ref="G31:G62" si="9">(F31-H31)/H31*100</f>
        <v>17.154276462841477</v>
      </c>
      <c r="H31" s="57">
        <v>20.691749999999999</v>
      </c>
    </row>
    <row r="32" spans="1:10" ht="27">
      <c r="A32" s="92" t="s">
        <v>100</v>
      </c>
      <c r="B32" s="57">
        <v>0</v>
      </c>
      <c r="C32" s="58" t="e">
        <f t="shared" si="7"/>
        <v>#DIV/0!</v>
      </c>
      <c r="D32" s="57">
        <v>0</v>
      </c>
      <c r="E32" s="61" t="e">
        <f t="shared" si="8"/>
        <v>#DIV/0!</v>
      </c>
      <c r="F32" s="57">
        <v>0</v>
      </c>
      <c r="G32" s="58" t="e">
        <f t="shared" si="9"/>
        <v>#DIV/0!</v>
      </c>
      <c r="H32" s="57">
        <v>0</v>
      </c>
    </row>
    <row r="33" spans="1:10">
      <c r="A33" s="93" t="s">
        <v>101</v>
      </c>
      <c r="B33" s="63">
        <f>SUM(B31:B32)</f>
        <v>22.57282</v>
      </c>
      <c r="C33" s="65">
        <f t="shared" si="7"/>
        <v>-32.310409610301207</v>
      </c>
      <c r="D33" s="63">
        <f>SUM(D31:D32)</f>
        <v>33.347549999999998</v>
      </c>
      <c r="E33" s="64">
        <f t="shared" si="8"/>
        <v>37.565193572778973</v>
      </c>
      <c r="F33" s="63">
        <f>SUM(F31:F32)</f>
        <v>24.24127</v>
      </c>
      <c r="G33" s="65">
        <f t="shared" si="9"/>
        <v>17.154276462841477</v>
      </c>
      <c r="H33" s="63">
        <f>SUM(H31:H32)</f>
        <v>20.691749999999999</v>
      </c>
    </row>
    <row r="34" spans="1:10">
      <c r="A34" s="92" t="s">
        <v>102</v>
      </c>
      <c r="B34" s="57">
        <v>0</v>
      </c>
      <c r="C34" s="58" t="e">
        <f t="shared" si="7"/>
        <v>#DIV/0!</v>
      </c>
      <c r="D34" s="57">
        <v>0</v>
      </c>
      <c r="E34" s="61" t="e">
        <f t="shared" si="8"/>
        <v>#DIV/0!</v>
      </c>
      <c r="F34" s="57">
        <v>0</v>
      </c>
      <c r="G34" s="58" t="e">
        <f t="shared" si="9"/>
        <v>#DIV/0!</v>
      </c>
      <c r="H34" s="57">
        <v>0</v>
      </c>
    </row>
    <row r="35" spans="1:10">
      <c r="A35" s="93" t="s">
        <v>103</v>
      </c>
      <c r="B35" s="63">
        <f>B31+B32+B40-B59-B61-B49</f>
        <v>66.274799999999999</v>
      </c>
      <c r="C35" s="65">
        <f t="shared" si="7"/>
        <v>-10.279344462563873</v>
      </c>
      <c r="D35" s="63">
        <f>D31+D32+D40-D59-D61-D49</f>
        <v>73.867940000000004</v>
      </c>
      <c r="E35" s="64">
        <f t="shared" si="8"/>
        <v>15.654030272546866</v>
      </c>
      <c r="F35" s="63">
        <f>F31+F32+F40-F59-F61-F49</f>
        <v>63.869750000000003</v>
      </c>
      <c r="G35" s="65">
        <f t="shared" si="9"/>
        <v>28.092060587561207</v>
      </c>
      <c r="H35" s="63">
        <f>H31+H32+H40-H59-H61-H49</f>
        <v>49.862380000000002</v>
      </c>
    </row>
    <row r="36" spans="1:10">
      <c r="A36" s="92" t="s">
        <v>104</v>
      </c>
      <c r="B36" s="57">
        <v>87.194699999999997</v>
      </c>
      <c r="C36" s="58">
        <f t="shared" si="7"/>
        <v>132.62627011792628</v>
      </c>
      <c r="D36" s="57">
        <f>3.17206+4.73395+29.57673</f>
        <v>37.48274</v>
      </c>
      <c r="E36" s="61">
        <f t="shared" si="8"/>
        <v>261.22963292770254</v>
      </c>
      <c r="F36" s="57">
        <f>5.0374+5.33903</f>
        <v>10.376429999999999</v>
      </c>
      <c r="G36" s="58">
        <f t="shared" si="9"/>
        <v>135.73848107650048</v>
      </c>
      <c r="H36" s="57">
        <f>1.22786+1.91185+1.26196</f>
        <v>4.4016700000000002</v>
      </c>
      <c r="J36" s="94"/>
    </row>
    <row r="37" spans="1:10" ht="27">
      <c r="A37" s="92" t="s">
        <v>105</v>
      </c>
      <c r="B37" s="57">
        <v>71.272819999999996</v>
      </c>
      <c r="C37" s="58">
        <f t="shared" si="7"/>
        <v>24.186957836127434</v>
      </c>
      <c r="D37" s="57">
        <f>57.39155</f>
        <v>57.391550000000002</v>
      </c>
      <c r="E37" s="61">
        <f t="shared" si="8"/>
        <v>40.881651317142818</v>
      </c>
      <c r="F37" s="57">
        <v>40.73742</v>
      </c>
      <c r="G37" s="58">
        <f t="shared" si="9"/>
        <v>115.55867043627201</v>
      </c>
      <c r="H37" s="57">
        <v>18.898530000000001</v>
      </c>
    </row>
    <row r="38" spans="1:10" ht="27">
      <c r="A38" s="95" t="s">
        <v>106</v>
      </c>
      <c r="B38" s="71">
        <f>B36+B37</f>
        <v>158.46751999999998</v>
      </c>
      <c r="C38" s="65">
        <f t="shared" si="7"/>
        <v>67.028939030795357</v>
      </c>
      <c r="D38" s="71">
        <f>D36+D37</f>
        <v>94.874290000000002</v>
      </c>
      <c r="E38" s="64">
        <f t="shared" si="8"/>
        <v>85.613664398201266</v>
      </c>
      <c r="F38" s="71">
        <f>F36+F37</f>
        <v>51.113849999999999</v>
      </c>
      <c r="G38" s="65">
        <f t="shared" si="9"/>
        <v>119.37086376940971</v>
      </c>
      <c r="H38" s="71">
        <f>H36+H37</f>
        <v>23.3002</v>
      </c>
    </row>
    <row r="39" spans="1:10">
      <c r="A39" s="92" t="s">
        <v>107</v>
      </c>
      <c r="B39" s="57">
        <v>0</v>
      </c>
      <c r="C39" s="58" t="e">
        <f t="shared" si="7"/>
        <v>#DIV/0!</v>
      </c>
      <c r="D39" s="57">
        <v>0</v>
      </c>
      <c r="E39" s="61" t="e">
        <f t="shared" si="8"/>
        <v>#DIV/0!</v>
      </c>
      <c r="F39" s="57">
        <v>0</v>
      </c>
      <c r="G39" s="58" t="e">
        <f t="shared" si="9"/>
        <v>#DIV/0!</v>
      </c>
      <c r="H39" s="57">
        <v>0</v>
      </c>
    </row>
    <row r="40" spans="1:10" ht="27">
      <c r="A40" s="96" t="s">
        <v>108</v>
      </c>
      <c r="B40" s="57">
        <v>43.701979999999999</v>
      </c>
      <c r="C40" s="58">
        <f t="shared" si="7"/>
        <v>7.8518247233059695</v>
      </c>
      <c r="D40" s="57">
        <v>40.520389999999999</v>
      </c>
      <c r="E40" s="61">
        <f t="shared" si="8"/>
        <v>2.2506793094259372</v>
      </c>
      <c r="F40" s="57">
        <v>39.628480000000003</v>
      </c>
      <c r="G40" s="58">
        <f t="shared" si="9"/>
        <v>35.850614127977366</v>
      </c>
      <c r="H40" s="57">
        <v>29.170629999999999</v>
      </c>
    </row>
    <row r="41" spans="1:10">
      <c r="A41" s="93" t="s">
        <v>109</v>
      </c>
      <c r="B41" s="75">
        <f>B42+B43</f>
        <v>114.97753</v>
      </c>
      <c r="C41" s="65">
        <f t="shared" si="7"/>
        <v>25.349376101450353</v>
      </c>
      <c r="D41" s="75">
        <f>D42+D43</f>
        <v>91.725650000000002</v>
      </c>
      <c r="E41" s="64">
        <f t="shared" si="8"/>
        <v>-19.62800362194962</v>
      </c>
      <c r="F41" s="75">
        <f>F42+F43</f>
        <v>114.12637999999998</v>
      </c>
      <c r="G41" s="65">
        <f t="shared" si="9"/>
        <v>1.5992440128389505</v>
      </c>
      <c r="H41" s="75">
        <f>H42+H43</f>
        <v>112.32995</v>
      </c>
    </row>
    <row r="42" spans="1:10">
      <c r="A42" s="97" t="s">
        <v>110</v>
      </c>
      <c r="B42" s="57">
        <v>0</v>
      </c>
      <c r="C42" s="58" t="e">
        <f t="shared" si="7"/>
        <v>#DIV/0!</v>
      </c>
      <c r="D42" s="57">
        <v>0</v>
      </c>
      <c r="E42" s="61" t="e">
        <f t="shared" si="8"/>
        <v>#DIV/0!</v>
      </c>
      <c r="F42" s="57">
        <v>0</v>
      </c>
      <c r="G42" s="58" t="e">
        <f t="shared" si="9"/>
        <v>#DIV/0!</v>
      </c>
      <c r="H42" s="57">
        <v>0</v>
      </c>
    </row>
    <row r="43" spans="1:10">
      <c r="A43" s="92" t="s">
        <v>111</v>
      </c>
      <c r="B43" s="57">
        <f>92.92504+22.05249</f>
        <v>114.97753</v>
      </c>
      <c r="C43" s="58">
        <f t="shared" si="7"/>
        <v>25.349376101450353</v>
      </c>
      <c r="D43" s="57">
        <f>85.54989+6.08646+0.0893</f>
        <v>91.725650000000002</v>
      </c>
      <c r="E43" s="61">
        <f t="shared" si="8"/>
        <v>-19.62800362194962</v>
      </c>
      <c r="F43" s="57">
        <f>104.80792+9.24846+0.07</f>
        <v>114.12637999999998</v>
      </c>
      <c r="G43" s="58">
        <f t="shared" si="9"/>
        <v>1.5992440128389505</v>
      </c>
      <c r="H43" s="57">
        <f>105.33006+6.99534+0.00455</f>
        <v>112.32995</v>
      </c>
    </row>
    <row r="44" spans="1:10">
      <c r="A44" s="98" t="s">
        <v>112</v>
      </c>
      <c r="B44" s="75">
        <f>B38+B39+B41</f>
        <v>273.44504999999998</v>
      </c>
      <c r="C44" s="65">
        <f t="shared" si="7"/>
        <v>46.540802746238811</v>
      </c>
      <c r="D44" s="75">
        <f>D38+D39+D41</f>
        <v>186.59994</v>
      </c>
      <c r="E44" s="64">
        <f t="shared" si="8"/>
        <v>12.926458647509753</v>
      </c>
      <c r="F44" s="75">
        <f>F38+F39+F41</f>
        <v>165.24023</v>
      </c>
      <c r="G44" s="65">
        <f t="shared" si="9"/>
        <v>21.831488057780675</v>
      </c>
      <c r="H44" s="75">
        <f>H38+H39+H41</f>
        <v>135.63014999999999</v>
      </c>
    </row>
    <row r="45" spans="1:10">
      <c r="A45" s="99" t="s">
        <v>113</v>
      </c>
      <c r="B45" s="100">
        <f>B33+B34+B38+B39+B40+B41</f>
        <v>339.71984999999995</v>
      </c>
      <c r="C45" s="101">
        <f t="shared" si="7"/>
        <v>30.426772775207439</v>
      </c>
      <c r="D45" s="100">
        <f>D33+D34+D38+D39+D40+D41</f>
        <v>260.46787999999998</v>
      </c>
      <c r="E45" s="102">
        <f t="shared" si="8"/>
        <v>13.686832847700481</v>
      </c>
      <c r="F45" s="100">
        <f>F33+F34+F38+F39+F40+F41</f>
        <v>229.10997999999998</v>
      </c>
      <c r="G45" s="101">
        <f t="shared" si="9"/>
        <v>23.514397048765247</v>
      </c>
      <c r="H45" s="100">
        <f>H33+H34+H38+H39+H40+H41</f>
        <v>185.49252999999999</v>
      </c>
      <c r="I45" s="90"/>
    </row>
    <row r="46" spans="1:10">
      <c r="A46" s="96" t="s">
        <v>114</v>
      </c>
      <c r="B46" s="57">
        <v>29.86225</v>
      </c>
      <c r="C46" s="58">
        <f t="shared" si="7"/>
        <v>42.527510605233303</v>
      </c>
      <c r="D46" s="57">
        <v>20.951920000000001</v>
      </c>
      <c r="E46" s="61">
        <f t="shared" si="8"/>
        <v>-14.113911000651354</v>
      </c>
      <c r="F46" s="57">
        <v>24.395009999999999</v>
      </c>
      <c r="G46" s="58">
        <f t="shared" si="9"/>
        <v>71.978845095027182</v>
      </c>
      <c r="H46" s="57">
        <v>14.184889999999999</v>
      </c>
    </row>
    <row r="47" spans="1:10">
      <c r="A47" s="103" t="s">
        <v>115</v>
      </c>
      <c r="B47" s="75">
        <f>B48+B50+B49</f>
        <v>0</v>
      </c>
      <c r="C47" s="65" t="e">
        <f t="shared" si="7"/>
        <v>#DIV/0!</v>
      </c>
      <c r="D47" s="75">
        <f>D48+D50+D49</f>
        <v>0</v>
      </c>
      <c r="E47" s="64" t="e">
        <f t="shared" si="8"/>
        <v>#DIV/0!</v>
      </c>
      <c r="F47" s="75">
        <f>F48+F50+F49</f>
        <v>0</v>
      </c>
      <c r="G47" s="65" t="e">
        <f t="shared" si="9"/>
        <v>#DIV/0!</v>
      </c>
      <c r="H47" s="75">
        <f>H48+H50+H49</f>
        <v>0</v>
      </c>
    </row>
    <row r="48" spans="1:10">
      <c r="A48" s="104" t="s">
        <v>116</v>
      </c>
      <c r="B48" s="105">
        <v>0</v>
      </c>
      <c r="C48" s="58" t="e">
        <f t="shared" si="7"/>
        <v>#DIV/0!</v>
      </c>
      <c r="D48" s="105">
        <v>0</v>
      </c>
      <c r="E48" s="61" t="e">
        <f t="shared" si="8"/>
        <v>#DIV/0!</v>
      </c>
      <c r="F48" s="105">
        <v>0</v>
      </c>
      <c r="G48" s="58" t="e">
        <f t="shared" si="9"/>
        <v>#DIV/0!</v>
      </c>
      <c r="H48" s="105">
        <v>0</v>
      </c>
    </row>
    <row r="49" spans="1:9">
      <c r="A49" s="104" t="s">
        <v>117</v>
      </c>
      <c r="B49" s="105">
        <v>0</v>
      </c>
      <c r="C49" s="58" t="e">
        <f t="shared" si="7"/>
        <v>#DIV/0!</v>
      </c>
      <c r="D49" s="105">
        <v>0</v>
      </c>
      <c r="E49" s="61" t="e">
        <f t="shared" si="8"/>
        <v>#DIV/0!</v>
      </c>
      <c r="F49" s="105">
        <v>0</v>
      </c>
      <c r="G49" s="58" t="e">
        <f t="shared" si="9"/>
        <v>#DIV/0!</v>
      </c>
      <c r="H49" s="105">
        <v>0</v>
      </c>
    </row>
    <row r="50" spans="1:9">
      <c r="A50" s="104" t="s">
        <v>118</v>
      </c>
      <c r="B50" s="105">
        <v>0</v>
      </c>
      <c r="C50" s="58" t="e">
        <f t="shared" si="7"/>
        <v>#DIV/0!</v>
      </c>
      <c r="D50" s="105">
        <v>0</v>
      </c>
      <c r="E50" s="61" t="e">
        <f t="shared" si="8"/>
        <v>#DIV/0!</v>
      </c>
      <c r="F50" s="105">
        <v>0</v>
      </c>
      <c r="G50" s="58" t="e">
        <f t="shared" si="9"/>
        <v>#DIV/0!</v>
      </c>
      <c r="H50" s="105">
        <v>0</v>
      </c>
    </row>
    <row r="51" spans="1:9">
      <c r="A51" s="106" t="s">
        <v>119</v>
      </c>
      <c r="B51" s="75">
        <f>B53+B54+B57+B58+B52</f>
        <v>309.85442</v>
      </c>
      <c r="C51" s="65">
        <f t="shared" si="7"/>
        <v>29.366919849516513</v>
      </c>
      <c r="D51" s="75">
        <f>D53+D54+D57+D58+D52</f>
        <v>239.51595999999998</v>
      </c>
      <c r="E51" s="64">
        <f t="shared" si="8"/>
        <v>16.999728940194252</v>
      </c>
      <c r="F51" s="75">
        <f>F53+F54+F57+F58+F52</f>
        <v>204.71496999999999</v>
      </c>
      <c r="G51" s="65">
        <f t="shared" si="9"/>
        <v>19.578917891681684</v>
      </c>
      <c r="H51" s="75">
        <f>H53+H54+H57+H58+H52</f>
        <v>171.19654</v>
      </c>
    </row>
    <row r="52" spans="1:9">
      <c r="A52" s="107" t="s">
        <v>120</v>
      </c>
      <c r="B52" s="57">
        <v>0</v>
      </c>
      <c r="C52" s="58" t="e">
        <f t="shared" si="7"/>
        <v>#DIV/0!</v>
      </c>
      <c r="D52" s="57">
        <v>0</v>
      </c>
      <c r="E52" s="61" t="e">
        <f t="shared" si="8"/>
        <v>#DIV/0!</v>
      </c>
      <c r="F52" s="57">
        <v>0</v>
      </c>
      <c r="G52" s="58" t="e">
        <f t="shared" si="9"/>
        <v>#DIV/0!</v>
      </c>
      <c r="H52" s="57">
        <v>0</v>
      </c>
    </row>
    <row r="53" spans="1:9">
      <c r="A53" s="96" t="s">
        <v>121</v>
      </c>
      <c r="B53" s="57">
        <v>75.552999999999997</v>
      </c>
      <c r="C53" s="58">
        <f t="shared" si="7"/>
        <v>117.06889616732748</v>
      </c>
      <c r="D53" s="57">
        <v>34.805999999999997</v>
      </c>
      <c r="E53" s="61">
        <f t="shared" si="8"/>
        <v>-13.495377274082912</v>
      </c>
      <c r="F53" s="57">
        <v>40.235999999999997</v>
      </c>
      <c r="G53" s="58">
        <f t="shared" si="9"/>
        <v>28.644051539469885</v>
      </c>
      <c r="H53" s="57">
        <v>31.277000000000001</v>
      </c>
    </row>
    <row r="54" spans="1:9">
      <c r="A54" s="103" t="s">
        <v>122</v>
      </c>
      <c r="B54" s="75">
        <f>B55+B56</f>
        <v>213.45187000000001</v>
      </c>
      <c r="C54" s="65">
        <f t="shared" si="7"/>
        <v>21.927913330434219</v>
      </c>
      <c r="D54" s="75">
        <f>D55+D56</f>
        <v>175.06398999999999</v>
      </c>
      <c r="E54" s="64">
        <f t="shared" si="8"/>
        <v>15.104788929941067</v>
      </c>
      <c r="F54" s="75">
        <f>F55+F56</f>
        <v>152.09097</v>
      </c>
      <c r="G54" s="65">
        <f t="shared" si="9"/>
        <v>14.978419665758075</v>
      </c>
      <c r="H54" s="75">
        <f>H55+H56</f>
        <v>132.27784</v>
      </c>
    </row>
    <row r="55" spans="1:9">
      <c r="A55" s="96" t="s">
        <v>123</v>
      </c>
      <c r="B55" s="57">
        <v>0</v>
      </c>
      <c r="C55" s="58" t="e">
        <f t="shared" si="7"/>
        <v>#DIV/0!</v>
      </c>
      <c r="D55" s="57">
        <v>0</v>
      </c>
      <c r="E55" s="61" t="e">
        <f t="shared" si="8"/>
        <v>#DIV/0!</v>
      </c>
      <c r="F55" s="57">
        <v>0</v>
      </c>
      <c r="G55" s="58" t="e">
        <f t="shared" si="9"/>
        <v>#DIV/0!</v>
      </c>
      <c r="H55" s="57">
        <v>0</v>
      </c>
    </row>
    <row r="56" spans="1:9">
      <c r="A56" s="96" t="s">
        <v>124</v>
      </c>
      <c r="B56" s="57">
        <v>213.45187000000001</v>
      </c>
      <c r="C56" s="58">
        <f t="shared" si="7"/>
        <v>21.927913330434219</v>
      </c>
      <c r="D56" s="57">
        <v>175.06398999999999</v>
      </c>
      <c r="E56" s="61">
        <f t="shared" si="8"/>
        <v>15.104788929941067</v>
      </c>
      <c r="F56" s="57">
        <v>152.09097</v>
      </c>
      <c r="G56" s="58">
        <f t="shared" si="9"/>
        <v>14.978419665758075</v>
      </c>
      <c r="H56" s="57">
        <v>132.27784</v>
      </c>
    </row>
    <row r="57" spans="1:9">
      <c r="A57" s="96" t="s">
        <v>125</v>
      </c>
      <c r="B57" s="57">
        <f>8.82493+2.03253</f>
        <v>10.85746</v>
      </c>
      <c r="C57" s="58">
        <f t="shared" si="7"/>
        <v>-59.400512660393346</v>
      </c>
      <c r="D57" s="57">
        <v>26.742850000000001</v>
      </c>
      <c r="E57" s="61">
        <f t="shared" si="8"/>
        <v>499.25269455710668</v>
      </c>
      <c r="F57" s="57">
        <v>4.4626999999999999</v>
      </c>
      <c r="G57" s="58">
        <f t="shared" si="9"/>
        <v>-8.9972919623484948</v>
      </c>
      <c r="H57" s="57">
        <v>4.9039200000000003</v>
      </c>
    </row>
    <row r="58" spans="1:9">
      <c r="A58" s="98" t="s">
        <v>126</v>
      </c>
      <c r="B58" s="108">
        <f>B59+B60</f>
        <v>9.992090000000001</v>
      </c>
      <c r="C58" s="65">
        <f t="shared" si="7"/>
        <v>244.18453250296238</v>
      </c>
      <c r="D58" s="108">
        <f>D59+D60</f>
        <v>2.9031199999999999</v>
      </c>
      <c r="E58" s="64">
        <f t="shared" si="8"/>
        <v>-63.368957641982014</v>
      </c>
      <c r="F58" s="108">
        <f>F59+F60</f>
        <v>7.9253</v>
      </c>
      <c r="G58" s="65">
        <f t="shared" si="9"/>
        <v>189.47906698127682</v>
      </c>
      <c r="H58" s="108">
        <f>H59+H60</f>
        <v>2.7377799999999999</v>
      </c>
      <c r="I58" s="73"/>
    </row>
    <row r="59" spans="1:9" ht="27">
      <c r="A59" s="92" t="s">
        <v>127</v>
      </c>
      <c r="B59" s="57">
        <v>0</v>
      </c>
      <c r="C59" s="58" t="e">
        <f t="shared" si="7"/>
        <v>#DIV/0!</v>
      </c>
      <c r="D59" s="57">
        <v>0</v>
      </c>
      <c r="E59" s="61" t="e">
        <f t="shared" si="8"/>
        <v>#DIV/0!</v>
      </c>
      <c r="F59" s="57">
        <v>0</v>
      </c>
      <c r="G59" s="58" t="e">
        <f t="shared" si="9"/>
        <v>#DIV/0!</v>
      </c>
      <c r="H59" s="57">
        <v>0</v>
      </c>
    </row>
    <row r="60" spans="1:9">
      <c r="A60" s="92" t="s">
        <v>128</v>
      </c>
      <c r="B60" s="57">
        <f>1+7.12+0.45921+0.01+0.065+1.33788</f>
        <v>9.992090000000001</v>
      </c>
      <c r="C60" s="58">
        <f t="shared" si="7"/>
        <v>244.18453250296238</v>
      </c>
      <c r="D60" s="57">
        <v>2.9031199999999999</v>
      </c>
      <c r="E60" s="61">
        <f t="shared" si="8"/>
        <v>-63.368957641982014</v>
      </c>
      <c r="F60" s="57">
        <v>7.9253</v>
      </c>
      <c r="G60" s="58">
        <f t="shared" si="9"/>
        <v>189.47906698127682</v>
      </c>
      <c r="H60" s="57">
        <f>2.66853+0.06925</f>
        <v>2.7377799999999999</v>
      </c>
    </row>
    <row r="61" spans="1:9" ht="27">
      <c r="A61" s="92" t="s">
        <v>129</v>
      </c>
      <c r="B61" s="57">
        <v>0</v>
      </c>
      <c r="C61" s="58" t="e">
        <f t="shared" si="7"/>
        <v>#DIV/0!</v>
      </c>
      <c r="D61" s="57">
        <v>0</v>
      </c>
      <c r="E61" s="61" t="e">
        <f t="shared" si="8"/>
        <v>#DIV/0!</v>
      </c>
      <c r="F61" s="57">
        <v>0</v>
      </c>
      <c r="G61" s="58" t="e">
        <f t="shared" si="9"/>
        <v>#DIV/0!</v>
      </c>
      <c r="H61" s="57">
        <v>0</v>
      </c>
    </row>
    <row r="62" spans="1:9">
      <c r="A62" s="99" t="s">
        <v>113</v>
      </c>
      <c r="B62" s="109">
        <f>B46+B47+B51+B61</f>
        <v>339.71667000000002</v>
      </c>
      <c r="C62" s="102">
        <f t="shared" si="7"/>
        <v>30.425551895304732</v>
      </c>
      <c r="D62" s="109">
        <f>D46+D47+D51+D61</f>
        <v>260.46787999999998</v>
      </c>
      <c r="E62" s="102">
        <f t="shared" si="8"/>
        <v>13.686832847700467</v>
      </c>
      <c r="F62" s="100">
        <f>F46+F47+F51+F61</f>
        <v>229.10998000000001</v>
      </c>
      <c r="G62" s="101">
        <f t="shared" si="9"/>
        <v>23.588419832558209</v>
      </c>
      <c r="H62" s="100">
        <f>H46+H47+H51+H61</f>
        <v>185.38142999999999</v>
      </c>
      <c r="I62" s="90"/>
    </row>
    <row r="63" spans="1:9">
      <c r="B63" s="110"/>
      <c r="D63" s="110"/>
      <c r="F63" s="110"/>
    </row>
    <row r="64" spans="1:9">
      <c r="A64" s="187" t="s">
        <v>130</v>
      </c>
      <c r="B64" s="187"/>
      <c r="C64" s="187"/>
      <c r="D64" s="187"/>
      <c r="E64" s="187"/>
      <c r="F64" s="187"/>
      <c r="G64" s="187"/>
      <c r="H64" s="187"/>
    </row>
    <row r="65" spans="1:9">
      <c r="A65" s="187"/>
      <c r="B65" s="187"/>
      <c r="C65" s="187"/>
      <c r="D65" s="187"/>
      <c r="E65" s="187"/>
      <c r="F65" s="187"/>
      <c r="G65" s="187"/>
      <c r="H65" s="187"/>
    </row>
    <row r="66" spans="1:9">
      <c r="A66" s="111" t="s">
        <v>131</v>
      </c>
      <c r="B66" s="112">
        <f>B54/B6*365</f>
        <v>157.7723228387006</v>
      </c>
      <c r="C66" s="112"/>
      <c r="D66" s="112">
        <f>D54/D6*365</f>
        <v>137.73380154402486</v>
      </c>
      <c r="E66" s="112"/>
      <c r="F66" s="112">
        <f>F54/F6*365</f>
        <v>122.51466455176467</v>
      </c>
      <c r="G66" s="112"/>
      <c r="H66" s="112">
        <f>H54/H6*365</f>
        <v>107.86086480348652</v>
      </c>
    </row>
    <row r="67" spans="1:9">
      <c r="A67" s="111" t="s">
        <v>132</v>
      </c>
      <c r="B67" s="112">
        <f>B53/(B11+B12+B13)*365</f>
        <v>61.523233422494222</v>
      </c>
      <c r="C67" s="112"/>
      <c r="D67" s="112">
        <f>D53/(D11+D12+D13)*365</f>
        <v>29.867699168306103</v>
      </c>
      <c r="E67" s="112"/>
      <c r="F67" s="112">
        <f>F53/(F11+F12+F13)*365</f>
        <v>35.08288545310598</v>
      </c>
      <c r="G67" s="112"/>
      <c r="H67" s="112">
        <f>H53/(H11+H12+H13)*365</f>
        <v>27.566135902697653</v>
      </c>
    </row>
    <row r="68" spans="1:9">
      <c r="A68" s="111" t="s">
        <v>133</v>
      </c>
      <c r="B68" s="112">
        <f>B53/(B12+B11+B13)</f>
        <v>0.16855680389724445</v>
      </c>
      <c r="C68" s="112"/>
      <c r="D68" s="112">
        <f>D53/(D12+D11+D13)</f>
        <v>8.1829312789879732E-2</v>
      </c>
      <c r="E68" s="112"/>
      <c r="F68" s="112">
        <f>F53/(F12+F11+F13)</f>
        <v>9.6117494392071179E-2</v>
      </c>
      <c r="G68" s="112"/>
      <c r="H68" s="112">
        <f>H53/(H12+H11+H13)</f>
        <v>7.552366000739083E-2</v>
      </c>
    </row>
    <row r="69" spans="1:9">
      <c r="A69" s="111" t="s">
        <v>134</v>
      </c>
      <c r="B69" s="112">
        <f>B51/(B41+B37)</f>
        <v>1.6636447663051372</v>
      </c>
      <c r="C69" s="112"/>
      <c r="D69" s="112">
        <f>D51/(D41+D37)</f>
        <v>1.6062262435185208</v>
      </c>
      <c r="E69" s="112"/>
      <c r="F69" s="112">
        <f>F51/(F41+F37)</f>
        <v>1.3219033111676197</v>
      </c>
      <c r="G69" s="112"/>
      <c r="H69" s="112">
        <f>H51/(H41+H37)</f>
        <v>1.3045684900107051</v>
      </c>
    </row>
    <row r="70" spans="1:9">
      <c r="A70" s="111" t="s">
        <v>135</v>
      </c>
      <c r="B70" s="112">
        <f>(B51-B53)/(B41+B37)</f>
        <v>1.2579918373307755</v>
      </c>
      <c r="C70" s="112"/>
      <c r="D70" s="112">
        <f>(D51-D53)/(D41+D37)</f>
        <v>1.3728125259862709</v>
      </c>
      <c r="E70" s="112"/>
      <c r="F70" s="112">
        <f>(F51-F53)/(F41+F37)</f>
        <v>1.0620879120879123</v>
      </c>
      <c r="G70" s="112"/>
      <c r="H70" s="112">
        <f>(H51-H53)/(H41+H37)</f>
        <v>1.0662284589442779</v>
      </c>
    </row>
    <row r="71" spans="1:9">
      <c r="A71" s="111" t="s">
        <v>136</v>
      </c>
      <c r="B71" s="112">
        <f>(B36+B37+B39)/B33</f>
        <v>7.0202801422241432</v>
      </c>
      <c r="C71" s="112"/>
      <c r="D71" s="112">
        <f>(D36+D37+D39)/D33</f>
        <v>2.8450153009741346</v>
      </c>
      <c r="E71" s="112"/>
      <c r="F71" s="112">
        <f>(F36+F37+F39)/F33</f>
        <v>2.1085467056800242</v>
      </c>
      <c r="G71" s="112"/>
      <c r="H71" s="112">
        <f>(H36+H37+H39)/H33</f>
        <v>1.1260623195234816</v>
      </c>
    </row>
    <row r="72" spans="1:9">
      <c r="A72" s="111" t="s">
        <v>137</v>
      </c>
      <c r="B72" s="112">
        <f>B17/B19</f>
        <v>2.320147465511774</v>
      </c>
      <c r="C72" s="112"/>
      <c r="D72" s="112">
        <f>D17/D19</f>
        <v>3.463523000295337</v>
      </c>
      <c r="E72" s="112"/>
      <c r="F72" s="112">
        <f>F17/F19</f>
        <v>5.4791421003845855</v>
      </c>
      <c r="G72" s="112"/>
      <c r="H72" s="112">
        <f>H17/H19</f>
        <v>3.6208335054847445</v>
      </c>
    </row>
    <row r="73" spans="1:9">
      <c r="A73" s="111" t="s">
        <v>138</v>
      </c>
      <c r="B73" s="112">
        <f>$D$17/($D$19+($D$36+$D$39)/5)</f>
        <v>1.9814506832228369</v>
      </c>
      <c r="C73" s="112"/>
      <c r="D73" s="112">
        <f>$D$17/($D$19+($D$36+$D$39)/5)</f>
        <v>1.9814506832228369</v>
      </c>
      <c r="E73" s="112"/>
      <c r="F73" s="112">
        <f>$F$17/($F$19+($F$36+$F$39)/5)</f>
        <v>3.8708899058537463</v>
      </c>
      <c r="G73" s="112"/>
      <c r="H73" s="112">
        <f>$H$17/($H$19+($H$36+$H$39)/5)</f>
        <v>3.2512827730575116</v>
      </c>
      <c r="I73" s="113"/>
    </row>
    <row r="74" spans="1:9">
      <c r="A74" s="111" t="s">
        <v>139</v>
      </c>
      <c r="B74" s="112">
        <f>B14/B6*100</f>
        <v>12.223856175994925</v>
      </c>
      <c r="C74" s="112"/>
      <c r="D74" s="112">
        <f>D14/D6*100</f>
        <v>11.024805288648446</v>
      </c>
      <c r="E74" s="112"/>
      <c r="F74" s="112">
        <f>F14/F6*100</f>
        <v>10.27252543544321</v>
      </c>
      <c r="G74" s="112"/>
      <c r="H74" s="112">
        <f>H14/H6*100</f>
        <v>9.8508695123200685</v>
      </c>
    </row>
    <row r="75" spans="1:9">
      <c r="A75" s="111" t="s">
        <v>140</v>
      </c>
      <c r="B75" s="112">
        <f>B23/B6*100</f>
        <v>4.4657645508389594</v>
      </c>
      <c r="C75" s="112"/>
      <c r="D75" s="112">
        <f>D23/D6*100</f>
        <v>4.027978830352148</v>
      </c>
      <c r="E75" s="112"/>
      <c r="F75" s="112">
        <f>F23/F6*100</f>
        <v>3.8893589807279958</v>
      </c>
      <c r="G75" s="112"/>
      <c r="H75" s="112">
        <f>H23/H6*100</f>
        <v>3.5852367903457445</v>
      </c>
    </row>
    <row r="76" spans="1:9">
      <c r="A76" s="111" t="s">
        <v>141</v>
      </c>
      <c r="B76" s="112">
        <f>B24/B6*100</f>
        <v>5.32842815091609</v>
      </c>
      <c r="C76" s="112"/>
      <c r="D76" s="112">
        <f>D24/D6*100</f>
        <v>4.8211519381508898</v>
      </c>
      <c r="E76" s="112"/>
      <c r="F76" s="112">
        <f>F24/F6*100</f>
        <v>4.5075952831994419</v>
      </c>
      <c r="G76" s="112"/>
      <c r="H76" s="112">
        <f>H24/H6*100</f>
        <v>4.1232363264771612</v>
      </c>
    </row>
    <row r="77" spans="1:9">
      <c r="A77" s="111" t="s">
        <v>142</v>
      </c>
      <c r="B77" s="114">
        <f>(B6-D6)/D6*100</f>
        <v>6.4419583560299936</v>
      </c>
      <c r="C77" s="115"/>
      <c r="D77" s="114">
        <f>(D6-F6)/F6*100</f>
        <v>2.3860842143812642</v>
      </c>
      <c r="E77" s="115"/>
      <c r="F77" s="114">
        <f>(F6-H6)/H6*100</f>
        <v>1.2260191403204306</v>
      </c>
      <c r="G77" s="115"/>
      <c r="H77" s="115" t="e">
        <f>(H6-J6)/J6*100</f>
        <v>#DIV/0!</v>
      </c>
    </row>
    <row r="78" spans="1:9">
      <c r="A78" s="111" t="s">
        <v>143</v>
      </c>
      <c r="B78" s="114">
        <f>(B23-D23)/D23*100</f>
        <v>18.010730534717869</v>
      </c>
      <c r="C78" s="115"/>
      <c r="D78" s="114">
        <f>(D23-F23)/F23*100</f>
        <v>6.0352057451346006</v>
      </c>
      <c r="E78" s="115"/>
      <c r="F78" s="114">
        <f>(F23-H23)/H23*100</f>
        <v>9.8126426926412762</v>
      </c>
      <c r="G78" s="115"/>
      <c r="H78" s="115" t="e">
        <f>(H23-J23)/J23*100</f>
        <v>#DIV/0!</v>
      </c>
    </row>
    <row r="79" spans="1:9">
      <c r="A79" s="111"/>
      <c r="B79" s="116"/>
      <c r="C79" s="111"/>
      <c r="D79" s="116"/>
      <c r="E79" s="111"/>
      <c r="F79" s="116"/>
      <c r="G79" s="111"/>
      <c r="H79" s="111"/>
    </row>
    <row r="80" spans="1:9">
      <c r="A80" s="117" t="s">
        <v>144</v>
      </c>
      <c r="B80" s="116"/>
      <c r="C80" s="111"/>
      <c r="D80" s="116"/>
      <c r="E80" s="111"/>
      <c r="F80" s="116"/>
      <c r="G80" s="111"/>
      <c r="H80" s="111"/>
    </row>
    <row r="81" spans="1:9">
      <c r="A81" s="117"/>
      <c r="B81" s="116"/>
      <c r="C81" s="111"/>
      <c r="D81" s="116"/>
      <c r="E81" s="111"/>
      <c r="F81" s="116"/>
      <c r="G81" s="111"/>
      <c r="H81" s="111"/>
    </row>
    <row r="82" spans="1:9">
      <c r="A82" s="111" t="s">
        <v>145</v>
      </c>
      <c r="B82" s="116">
        <f>B23</f>
        <v>22.052499999999991</v>
      </c>
      <c r="C82" s="111"/>
      <c r="D82" s="116">
        <f>D23</f>
        <v>18.68686000000001</v>
      </c>
      <c r="E82" s="111"/>
      <c r="F82" s="116">
        <f>F23</f>
        <v>17.623260000000002</v>
      </c>
      <c r="G82" s="111"/>
      <c r="H82" s="111"/>
    </row>
    <row r="83" spans="1:9">
      <c r="A83" s="111" t="s">
        <v>146</v>
      </c>
      <c r="B83" s="116"/>
      <c r="C83" s="111"/>
      <c r="D83" s="116"/>
      <c r="E83" s="111"/>
      <c r="F83" s="116"/>
      <c r="G83" s="111"/>
      <c r="H83" s="111"/>
    </row>
    <row r="84" spans="1:9">
      <c r="A84" s="111" t="s">
        <v>147</v>
      </c>
      <c r="B84" s="116">
        <f>B18</f>
        <v>4.2599400000000003</v>
      </c>
      <c r="C84" s="111"/>
      <c r="D84" s="116">
        <f>D18</f>
        <v>3.6797399999999998</v>
      </c>
      <c r="E84" s="111"/>
      <c r="F84" s="116">
        <f>F18</f>
        <v>2.80132</v>
      </c>
      <c r="G84" s="111"/>
      <c r="H84" s="111"/>
    </row>
    <row r="85" spans="1:9" ht="27">
      <c r="A85" s="118" t="s">
        <v>148</v>
      </c>
      <c r="B85" s="116">
        <f>B20</f>
        <v>0</v>
      </c>
      <c r="C85" s="111"/>
      <c r="D85" s="116">
        <f>D20</f>
        <v>0</v>
      </c>
      <c r="E85" s="111"/>
      <c r="F85" s="116">
        <f>F20</f>
        <v>0</v>
      </c>
      <c r="G85" s="111"/>
      <c r="H85" s="111"/>
    </row>
    <row r="86" spans="1:9">
      <c r="A86" s="111" t="s">
        <v>149</v>
      </c>
      <c r="B86" s="116">
        <f t="shared" ref="B86:B87" si="10">B25</f>
        <v>0</v>
      </c>
      <c r="C86" s="111"/>
      <c r="D86" s="116">
        <f t="shared" ref="D86:D87" si="11">D25</f>
        <v>0</v>
      </c>
      <c r="E86" s="111"/>
      <c r="F86" s="116">
        <f t="shared" ref="F86:F87" si="12">F25</f>
        <v>0</v>
      </c>
      <c r="G86" s="111"/>
      <c r="H86" s="111"/>
    </row>
    <row r="87" spans="1:9">
      <c r="A87" s="111" t="s">
        <v>150</v>
      </c>
      <c r="B87" s="116">
        <f t="shared" si="10"/>
        <v>0</v>
      </c>
      <c r="C87" s="111"/>
      <c r="D87" s="116">
        <f t="shared" si="11"/>
        <v>5.9683399999999995</v>
      </c>
      <c r="E87" s="111"/>
      <c r="F87" s="116">
        <f t="shared" si="12"/>
        <v>5.6154000000000002</v>
      </c>
      <c r="G87" s="111"/>
      <c r="H87" s="111"/>
    </row>
    <row r="88" spans="1:9">
      <c r="A88" s="111" t="s">
        <v>151</v>
      </c>
      <c r="B88" s="116">
        <f>B22</f>
        <v>0</v>
      </c>
      <c r="C88" s="111"/>
      <c r="D88" s="116">
        <f>D22</f>
        <v>2.3240099999999999</v>
      </c>
      <c r="E88" s="111"/>
      <c r="F88" s="116">
        <f>F22</f>
        <v>1.94869</v>
      </c>
      <c r="G88" s="111"/>
      <c r="H88" s="111"/>
    </row>
    <row r="89" spans="1:9">
      <c r="A89" s="111" t="s">
        <v>152</v>
      </c>
      <c r="B89" s="116">
        <f>B19</f>
        <v>19.931439999999998</v>
      </c>
      <c r="C89" s="111"/>
      <c r="D89" s="116">
        <f>D19</f>
        <v>10.02248</v>
      </c>
      <c r="E89" s="111"/>
      <c r="F89" s="116">
        <f>F19</f>
        <v>4.9949899999999996</v>
      </c>
      <c r="G89" s="111"/>
      <c r="H89" s="111"/>
    </row>
    <row r="90" spans="1:9" ht="27">
      <c r="A90" s="119" t="s">
        <v>153</v>
      </c>
      <c r="B90" s="120">
        <f>-B8</f>
        <v>-14.78515</v>
      </c>
      <c r="C90" s="117"/>
      <c r="D90" s="120">
        <f>-D8</f>
        <v>-12.569320000000001</v>
      </c>
      <c r="E90" s="117"/>
      <c r="F90" s="120">
        <f>-F8</f>
        <v>-12.044219999999999</v>
      </c>
      <c r="G90" s="117"/>
      <c r="H90" s="117"/>
      <c r="I90" s="90"/>
    </row>
    <row r="91" spans="1:9">
      <c r="A91" s="119"/>
      <c r="B91" s="120"/>
      <c r="C91" s="117"/>
      <c r="D91" s="120"/>
      <c r="E91" s="117"/>
      <c r="F91" s="120"/>
      <c r="G91" s="117"/>
      <c r="H91" s="117"/>
      <c r="I91" s="90"/>
    </row>
    <row r="92" spans="1:9" ht="27">
      <c r="A92" s="118" t="s">
        <v>154</v>
      </c>
      <c r="B92" s="116">
        <f>SUM(B82:B90)</f>
        <v>31.458729999999989</v>
      </c>
      <c r="C92" s="111"/>
      <c r="D92" s="116">
        <f>SUM(D82:D90)</f>
        <v>28.112110000000012</v>
      </c>
      <c r="E92" s="111"/>
      <c r="F92" s="116">
        <f>SUM(F82:F90)</f>
        <v>20.939440000000001</v>
      </c>
      <c r="G92" s="111"/>
      <c r="H92" s="111"/>
    </row>
    <row r="93" spans="1:9">
      <c r="A93" s="111" t="s">
        <v>155</v>
      </c>
      <c r="B93" s="116">
        <f>D54-B54</f>
        <v>-38.387880000000024</v>
      </c>
      <c r="C93" s="111"/>
      <c r="D93" s="116">
        <f>F54-D54</f>
        <v>-22.973019999999991</v>
      </c>
      <c r="E93" s="111"/>
      <c r="F93" s="116">
        <f>H54-F54</f>
        <v>-19.813130000000001</v>
      </c>
      <c r="G93" s="111"/>
      <c r="H93" s="111"/>
    </row>
    <row r="94" spans="1:9">
      <c r="A94" s="111" t="s">
        <v>156</v>
      </c>
      <c r="B94" s="116">
        <f>D53-B53</f>
        <v>-40.747</v>
      </c>
      <c r="C94" s="111"/>
      <c r="D94" s="116">
        <f>F53-D53</f>
        <v>5.43</v>
      </c>
      <c r="E94" s="111"/>
      <c r="F94" s="116">
        <f>H53-F53</f>
        <v>-8.9589999999999961</v>
      </c>
      <c r="G94" s="111"/>
      <c r="H94" s="111"/>
    </row>
    <row r="95" spans="1:9">
      <c r="A95" s="111" t="s">
        <v>157</v>
      </c>
      <c r="B95" s="116">
        <f>D58-B58</f>
        <v>-7.0889700000000015</v>
      </c>
      <c r="C95" s="111"/>
      <c r="D95" s="116">
        <f>F58-D58</f>
        <v>5.0221800000000005</v>
      </c>
      <c r="E95" s="111"/>
      <c r="F95" s="116">
        <f>H58-F58</f>
        <v>-5.1875200000000001</v>
      </c>
      <c r="G95" s="111"/>
      <c r="H95" s="111"/>
    </row>
    <row r="96" spans="1:9">
      <c r="A96" s="111" t="s">
        <v>158</v>
      </c>
      <c r="B96" s="116">
        <f>B41-D41</f>
        <v>23.25188</v>
      </c>
      <c r="C96" s="111"/>
      <c r="D96" s="116">
        <f>D41-F41</f>
        <v>-22.400729999999982</v>
      </c>
      <c r="E96" s="111"/>
      <c r="F96" s="116">
        <f>F41-H41</f>
        <v>1.7964299999999866</v>
      </c>
      <c r="G96" s="111"/>
      <c r="H96" s="111"/>
    </row>
    <row r="97" spans="1:9">
      <c r="A97" s="111" t="s">
        <v>159</v>
      </c>
      <c r="B97" s="116">
        <f>SUM(B93:B96)</f>
        <v>-62.971970000000027</v>
      </c>
      <c r="C97" s="111"/>
      <c r="D97" s="116">
        <f>SUM(D93:D96)</f>
        <v>-34.921569999999974</v>
      </c>
      <c r="E97" s="111"/>
      <c r="F97" s="116">
        <f>SUM(F93:F96)</f>
        <v>-32.16322000000001</v>
      </c>
      <c r="G97" s="111"/>
      <c r="H97" s="111"/>
    </row>
    <row r="98" spans="1:9">
      <c r="A98" s="117" t="s">
        <v>160</v>
      </c>
      <c r="B98" s="120">
        <f>B92+B97</f>
        <v>-31.513240000000039</v>
      </c>
      <c r="C98" s="117"/>
      <c r="D98" s="120">
        <f>D92+D97</f>
        <v>-6.8094599999999623</v>
      </c>
      <c r="E98" s="117"/>
      <c r="F98" s="120">
        <f>F92+F97</f>
        <v>-11.223780000000009</v>
      </c>
      <c r="G98" s="117"/>
      <c r="H98" s="117"/>
      <c r="I98" s="90"/>
    </row>
    <row r="99" spans="1:9">
      <c r="A99" s="117"/>
      <c r="B99" s="120"/>
      <c r="C99" s="117"/>
      <c r="D99" s="120"/>
      <c r="E99" s="117"/>
      <c r="F99" s="120"/>
      <c r="G99" s="117"/>
      <c r="H99" s="117"/>
      <c r="I99" s="90"/>
    </row>
    <row r="100" spans="1:9">
      <c r="A100" s="111" t="s">
        <v>161</v>
      </c>
      <c r="B100" s="116">
        <f>B22</f>
        <v>0</v>
      </c>
      <c r="C100" s="111"/>
      <c r="D100" s="116">
        <f>D22</f>
        <v>2.3240099999999999</v>
      </c>
      <c r="E100" s="111"/>
      <c r="F100" s="116">
        <f>F22</f>
        <v>1.94869</v>
      </c>
      <c r="G100" s="111"/>
      <c r="H100" s="111"/>
    </row>
    <row r="101" spans="1:9">
      <c r="A101" s="111"/>
      <c r="B101" s="116"/>
      <c r="C101" s="111"/>
      <c r="D101" s="116"/>
      <c r="E101" s="111"/>
      <c r="F101" s="116"/>
      <c r="G101" s="111"/>
      <c r="H101" s="111"/>
    </row>
    <row r="102" spans="1:9">
      <c r="A102" s="117" t="s">
        <v>162</v>
      </c>
      <c r="B102" s="116">
        <f>B98-B100</f>
        <v>-31.513240000000039</v>
      </c>
      <c r="C102" s="111"/>
      <c r="D102" s="116">
        <f>D98-D100</f>
        <v>-9.1334699999999618</v>
      </c>
      <c r="E102" s="111"/>
      <c r="F102" s="116">
        <f>F98-F100</f>
        <v>-13.172470000000008</v>
      </c>
      <c r="G102" s="111"/>
      <c r="H102" s="111"/>
    </row>
  </sheetData>
  <sheetProtection selectLockedCells="1" selectUnlockedCells="1"/>
  <mergeCells count="8">
    <mergeCell ref="A64:H65"/>
    <mergeCell ref="A1:H2"/>
    <mergeCell ref="A3:A5"/>
    <mergeCell ref="A29:A30"/>
    <mergeCell ref="B29:B30"/>
    <mergeCell ref="D29:D30"/>
    <mergeCell ref="F29:F30"/>
    <mergeCell ref="H29:H30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193" t="s">
        <v>163</v>
      </c>
      <c r="B1" s="193"/>
      <c r="C1" s="122"/>
    </row>
    <row r="2" spans="1:6" ht="14.25" customHeight="1">
      <c r="A2" s="193" t="s">
        <v>164</v>
      </c>
      <c r="B2" s="193"/>
      <c r="C2" s="122"/>
    </row>
    <row r="5" spans="1:6" ht="30">
      <c r="A5" s="123" t="s">
        <v>38</v>
      </c>
      <c r="B5" s="124" t="s">
        <v>165</v>
      </c>
      <c r="C5" s="124" t="s">
        <v>166</v>
      </c>
      <c r="D5" s="125" t="s">
        <v>167</v>
      </c>
      <c r="E5" s="121" t="s">
        <v>168</v>
      </c>
      <c r="F5" s="121" t="s">
        <v>169</v>
      </c>
    </row>
    <row r="6" spans="1:6" ht="42.75">
      <c r="A6" s="126">
        <v>1</v>
      </c>
      <c r="B6" s="127" t="s">
        <v>170</v>
      </c>
      <c r="C6" s="128" t="s">
        <v>171</v>
      </c>
      <c r="D6" s="129"/>
      <c r="E6" s="130">
        <v>0.2</v>
      </c>
      <c r="F6" s="130">
        <f t="shared" ref="F6:F12" si="0">E6/10*D6</f>
        <v>0</v>
      </c>
    </row>
    <row r="7" spans="1:6" ht="42.75">
      <c r="A7" s="126">
        <v>2</v>
      </c>
      <c r="B7" s="127" t="s">
        <v>172</v>
      </c>
      <c r="C7" s="128" t="s">
        <v>173</v>
      </c>
      <c r="D7" s="131"/>
      <c r="E7" s="130">
        <v>0.15</v>
      </c>
      <c r="F7" s="130">
        <f t="shared" si="0"/>
        <v>0</v>
      </c>
    </row>
    <row r="8" spans="1:6" ht="42.75">
      <c r="A8" s="126">
        <v>3</v>
      </c>
      <c r="B8" s="127" t="s">
        <v>174</v>
      </c>
      <c r="C8" s="128" t="s">
        <v>175</v>
      </c>
      <c r="D8" s="131"/>
      <c r="E8" s="130">
        <v>0.1</v>
      </c>
      <c r="F8" s="130">
        <f t="shared" si="0"/>
        <v>0</v>
      </c>
    </row>
    <row r="9" spans="1:6" ht="57">
      <c r="A9" s="126">
        <v>4</v>
      </c>
      <c r="B9" s="127" t="s">
        <v>176</v>
      </c>
      <c r="C9" s="132" t="s">
        <v>177</v>
      </c>
      <c r="D9" s="131"/>
      <c r="E9" s="130">
        <v>0.1</v>
      </c>
      <c r="F9" s="130">
        <f t="shared" si="0"/>
        <v>0</v>
      </c>
    </row>
    <row r="10" spans="1:6" ht="85.5">
      <c r="A10" s="126">
        <v>5</v>
      </c>
      <c r="B10" s="127" t="s">
        <v>178</v>
      </c>
      <c r="C10" s="128" t="s">
        <v>179</v>
      </c>
      <c r="D10" s="131"/>
      <c r="E10" s="130">
        <v>0.1</v>
      </c>
      <c r="F10" s="130">
        <f t="shared" si="0"/>
        <v>0</v>
      </c>
    </row>
    <row r="11" spans="1:6" ht="128.25">
      <c r="A11" s="126">
        <v>6</v>
      </c>
      <c r="B11" s="133" t="s">
        <v>180</v>
      </c>
      <c r="C11" s="134" t="s">
        <v>181</v>
      </c>
      <c r="D11" s="131"/>
      <c r="E11" s="130">
        <v>0.1</v>
      </c>
      <c r="F11" s="130">
        <f t="shared" si="0"/>
        <v>0</v>
      </c>
    </row>
    <row r="12" spans="1:6" ht="28.5">
      <c r="A12" s="126">
        <v>7</v>
      </c>
      <c r="B12" s="126" t="s">
        <v>182</v>
      </c>
      <c r="C12" s="135" t="s">
        <v>183</v>
      </c>
      <c r="D12" s="131"/>
      <c r="E12" s="130">
        <v>0.25</v>
      </c>
      <c r="F12" s="130">
        <f t="shared" si="0"/>
        <v>0</v>
      </c>
    </row>
    <row r="13" spans="1:6" ht="15">
      <c r="A13" s="136"/>
      <c r="B13" s="137" t="s">
        <v>184</v>
      </c>
      <c r="C13" s="137"/>
      <c r="D13" s="138"/>
      <c r="E13" s="139">
        <f>SUM(E6:E12)</f>
        <v>0.99999999999999989</v>
      </c>
      <c r="F13" s="13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enableFormatConditionsCalculation="0">
    <tabColor indexed="24"/>
  </sheetPr>
  <dimension ref="A1:D7"/>
  <sheetViews>
    <sheetView workbookViewId="0">
      <selection activeCell="C12" sqref="C12"/>
    </sheetView>
  </sheetViews>
  <sheetFormatPr defaultColWidth="11.5703125" defaultRowHeight="13.5"/>
  <cols>
    <col min="1" max="1" width="25.42578125" style="4" customWidth="1"/>
    <col min="2" max="3" width="11.5703125" style="140"/>
    <col min="4" max="16384" width="11.5703125" style="4"/>
  </cols>
  <sheetData>
    <row r="1" spans="1:4">
      <c r="A1" s="194" t="s">
        <v>60</v>
      </c>
      <c r="B1" s="194"/>
      <c r="C1" s="194"/>
    </row>
    <row r="2" spans="1:4">
      <c r="A2" s="141" t="s">
        <v>165</v>
      </c>
      <c r="B2" s="142" t="s">
        <v>185</v>
      </c>
      <c r="C2" s="142" t="s">
        <v>186</v>
      </c>
    </row>
    <row r="3" spans="1:4">
      <c r="A3" s="143" t="s">
        <v>187</v>
      </c>
      <c r="B3" s="144">
        <v>111062</v>
      </c>
      <c r="C3" s="144">
        <v>317206</v>
      </c>
      <c r="D3" s="4" t="s">
        <v>188</v>
      </c>
    </row>
    <row r="4" spans="1:4">
      <c r="A4" s="143" t="s">
        <v>189</v>
      </c>
      <c r="B4" s="144">
        <v>1231317</v>
      </c>
      <c r="C4" s="144">
        <v>0</v>
      </c>
      <c r="D4" s="4" t="s">
        <v>190</v>
      </c>
    </row>
    <row r="5" spans="1:4">
      <c r="A5" s="143" t="s">
        <v>50</v>
      </c>
      <c r="B5" s="144">
        <v>4100000</v>
      </c>
      <c r="C5" s="144">
        <v>0</v>
      </c>
      <c r="D5" s="4" t="s">
        <v>191</v>
      </c>
    </row>
    <row r="6" spans="1:4">
      <c r="A6" s="143" t="s">
        <v>192</v>
      </c>
      <c r="B6" s="144">
        <v>2877730</v>
      </c>
      <c r="C6" s="144">
        <v>2957673</v>
      </c>
      <c r="D6" s="4" t="s">
        <v>193</v>
      </c>
    </row>
    <row r="7" spans="1:4">
      <c r="A7" s="143" t="s">
        <v>194</v>
      </c>
      <c r="B7" s="144">
        <v>399361</v>
      </c>
      <c r="C7" s="144">
        <v>473395</v>
      </c>
      <c r="D7" s="4" t="s">
        <v>195</v>
      </c>
    </row>
  </sheetData>
  <sheetProtection selectLockedCells="1" selectUnlockedCells="1"/>
  <mergeCells count="1">
    <mergeCell ref="A1:C1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O40"/>
  <sheetViews>
    <sheetView workbookViewId="0">
      <selection sqref="A1:M1"/>
    </sheetView>
  </sheetViews>
  <sheetFormatPr defaultColWidth="11.5703125" defaultRowHeight="13.5" customHeight="1"/>
  <cols>
    <col min="1" max="2" width="13.42578125" customWidth="1"/>
    <col min="3" max="3" width="14.42578125" customWidth="1"/>
    <col min="5" max="5" width="11.85546875" customWidth="1"/>
    <col min="6" max="6" width="10.5703125" customWidth="1"/>
    <col min="7" max="7" width="12.5703125" customWidth="1"/>
  </cols>
  <sheetData>
    <row r="1" spans="1:15" ht="14.85" customHeight="1">
      <c r="A1" s="199" t="s">
        <v>60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</row>
    <row r="2" spans="1:15" ht="14.85" customHeight="1">
      <c r="A2" s="200" t="s">
        <v>196</v>
      </c>
      <c r="B2" s="200"/>
      <c r="C2" s="200"/>
      <c r="D2" s="200"/>
      <c r="E2" s="200"/>
      <c r="F2" s="200"/>
      <c r="G2" s="200" t="s">
        <v>197</v>
      </c>
      <c r="H2" s="200"/>
      <c r="I2" s="200"/>
      <c r="J2" s="200"/>
      <c r="K2" s="200"/>
      <c r="L2" s="199" t="s">
        <v>198</v>
      </c>
      <c r="M2" s="199"/>
    </row>
    <row r="3" spans="1:15" ht="14.85" customHeight="1">
      <c r="A3" s="201" t="s">
        <v>199</v>
      </c>
      <c r="B3" s="201" t="s">
        <v>200</v>
      </c>
      <c r="C3" s="201" t="s">
        <v>201</v>
      </c>
      <c r="D3" s="201" t="s">
        <v>202</v>
      </c>
      <c r="E3" s="201" t="s">
        <v>203</v>
      </c>
      <c r="F3" s="201" t="s">
        <v>204</v>
      </c>
      <c r="G3" s="201" t="s">
        <v>205</v>
      </c>
      <c r="H3" s="201"/>
      <c r="I3" s="201"/>
      <c r="J3" s="201"/>
      <c r="K3" s="201" t="s">
        <v>206</v>
      </c>
      <c r="L3" s="201" t="s">
        <v>207</v>
      </c>
      <c r="M3" s="201"/>
    </row>
    <row r="4" spans="1:15" ht="42.6" customHeight="1">
      <c r="A4" s="201"/>
      <c r="B4" s="201"/>
      <c r="C4" s="201"/>
      <c r="D4" s="201"/>
      <c r="E4" s="201"/>
      <c r="F4" s="201"/>
      <c r="G4" s="145" t="s">
        <v>208</v>
      </c>
      <c r="H4" s="145" t="s">
        <v>209</v>
      </c>
      <c r="I4" s="145" t="s">
        <v>210</v>
      </c>
      <c r="J4" s="145" t="s">
        <v>211</v>
      </c>
      <c r="K4" s="201"/>
      <c r="L4" s="146" t="s">
        <v>212</v>
      </c>
      <c r="M4" s="146" t="s">
        <v>213</v>
      </c>
    </row>
    <row r="5" spans="1:15" ht="14.85" customHeight="1">
      <c r="A5" s="48" t="s">
        <v>214</v>
      </c>
      <c r="B5" s="147">
        <f>1.18+1.32+1+0.098+0.097+0.2+0.24+0.2+0.25+0.13+0.42+0.54+0.19+0.2+0.5+0.1+0.12+0.1+1.73+0.3+0.9+2.29+0.25+0.54+0.2+0.16+0.4+0.55+0.5+0.15+0.1+1.47+0.35+0.2+0.42+0.24+0.04+0.04+0.21+0.25+0.1+0.2+0.05+0.15+0.15+5+1+0.1+0.51+0.2+0.2+0.2+0.2+0.15+0.09+0.04+0.2+1.21+0.28+1.71+5+0.09+0.19+0.12+0.04+1.44+0.04+0.89+0.15+0.25+0.08+0.64+0.14+0.24+0.36+0.06+5+0.25+0.3+0.76+0.1+0.15+1.55+1.41+0.5+0.15+0.3+0.21+0.2+0.14+0.03+0.1+0.91+0.46</f>
        <v>52.164999999999992</v>
      </c>
      <c r="C5" s="147">
        <v>0.68</v>
      </c>
      <c r="D5" s="147">
        <v>0</v>
      </c>
      <c r="E5" s="147">
        <v>73.540000000000006</v>
      </c>
      <c r="F5" s="147">
        <f t="shared" ref="F5:F10" si="0">+B5-(E5+C5)</f>
        <v>-22.055000000000021</v>
      </c>
      <c r="G5" s="147">
        <v>-49.21</v>
      </c>
      <c r="H5" s="147">
        <v>-55.66</v>
      </c>
      <c r="I5" s="147">
        <v>-66.72</v>
      </c>
      <c r="J5" s="147">
        <v>-0.73030000000000006</v>
      </c>
      <c r="K5" s="147">
        <f t="shared" ref="K5:K10" si="1">+AVERAGE(G5:J5)</f>
        <v>-43.080075000000001</v>
      </c>
      <c r="L5" s="147" t="s">
        <v>52</v>
      </c>
      <c r="M5" s="147" t="s">
        <v>52</v>
      </c>
    </row>
    <row r="6" spans="1:15" ht="14.85" customHeight="1">
      <c r="A6" s="48" t="s">
        <v>215</v>
      </c>
      <c r="B6" s="147">
        <f>0.2+0.15+0.13+0.5+0.1+0.2+0.1+0.7+0.15+0.25+0.1+0.21+0.2+0.2+0.05+4+1.02+0.4+0.1+0.13+0.35+0.25+0.13+0.15+0.92+0.25+0.15+0.25+0.5+0.3+0.3+1.5+0.1+0.12+0.2+0.25+0.13+0.2+0.5+0.05+0.1+0.2+0.15+0.2+0.2+0.82+0.25+0.25+0.25+0.08+0.21+0.5+1.6+0.95+0.1+0.51+0.15+0.1+0.4+0.15+0.55+0.5+0.2+0.13+0.2+0.25+0.25+0.7+1.55+0.41+0.1+0.25+0.24+0.1+2.43+0.9+0.4+0.33+0.2+0.09+0.83+0.5+0.28+0.14+0.1+0.15+0.25+0.15+0.12+0.4+0.1+0.1+0.02+0.15+0.43+0.15+0.5+0.5+0.5+0.15+0.26+0.5</f>
        <v>38.72</v>
      </c>
      <c r="C6" s="147">
        <v>0.78</v>
      </c>
      <c r="D6" s="147">
        <v>0</v>
      </c>
      <c r="E6" s="147">
        <v>42.35</v>
      </c>
      <c r="F6" s="147">
        <f t="shared" si="0"/>
        <v>-4.4100000000000037</v>
      </c>
      <c r="G6" s="147">
        <v>-71.37</v>
      </c>
      <c r="H6" s="147">
        <v>-71.88</v>
      </c>
      <c r="I6" s="147">
        <v>-77.81</v>
      </c>
      <c r="J6" s="147">
        <v>-72.56</v>
      </c>
      <c r="K6" s="147">
        <f t="shared" si="1"/>
        <v>-73.405000000000001</v>
      </c>
      <c r="L6" s="147" t="s">
        <v>52</v>
      </c>
      <c r="M6" s="147" t="s">
        <v>52</v>
      </c>
    </row>
    <row r="7" spans="1:15" ht="14.85" customHeight="1">
      <c r="A7" s="48" t="s">
        <v>216</v>
      </c>
      <c r="B7" s="147">
        <f>0.05+0.26+0.14+0.2+0.1+0.2+0.1+0.15+1.36+0.25+0.11+0.25+0.1+0.2+0.12+0.15+0.15+1+2+0.15+0.5+0.15+1.28+0.8+0.22+0.1+0.2+0.41+0.18+0.26+0.2+0.5+0.05+0.13+0.1+0.1+0.25+0.7+0.15+0.5+1.12+0.25+0.75+0.1+0.2+0.04+0.5+0.2+0.5+0.58+0.15+0.2+2+0.15+0.8+0.5+0.21+0.1+1.93+1.45+0.14+0.52+0.1+0.25+0.25+0.1+0.25+0.05+0.5+2+0.44+0.2+0.51</f>
        <v>30.860000000000003</v>
      </c>
      <c r="C7" s="147">
        <v>0.82</v>
      </c>
      <c r="D7" s="147">
        <v>0</v>
      </c>
      <c r="E7" s="147">
        <v>33.76</v>
      </c>
      <c r="F7" s="147">
        <f t="shared" si="0"/>
        <v>-3.7199999999999953</v>
      </c>
      <c r="G7" s="147">
        <v>-76.3</v>
      </c>
      <c r="H7" s="147">
        <v>-77.510000000000005</v>
      </c>
      <c r="I7" s="147">
        <v>-79.13</v>
      </c>
      <c r="J7" s="147">
        <v>-80.23</v>
      </c>
      <c r="K7" s="147">
        <f t="shared" si="1"/>
        <v>-78.292500000000004</v>
      </c>
      <c r="L7" s="147" t="s">
        <v>52</v>
      </c>
      <c r="M7" s="147" t="s">
        <v>52</v>
      </c>
    </row>
    <row r="8" spans="1:15" ht="14.85" customHeight="1">
      <c r="A8" s="48" t="s">
        <v>217</v>
      </c>
      <c r="B8" s="147">
        <f>0.83+0.5+0.25+0.31+0.84+0.5+0.25+0.2+0.15+0.5+1.08+5+2.99+0.1+0.15+0.59+0.31+0.15+0.32+0.62+0.1+0.23+0.2+0.07+1.5+0.09+0.9+0.04+0.29+0.1+0.89+0.3+0.19+0.25+0.25+0.1+0.38+0.25+0.25+0.4+1.55+0.47+0.36+0.08+0.16+0.1+0.9+0.1+1.16+0.61+1.38+1.2+0.43+0.5+0.2+0.31+0.44+0.08+0.3+0.5+0.07+1.12</f>
        <v>34.439999999999991</v>
      </c>
      <c r="C8" s="147">
        <v>0.72</v>
      </c>
      <c r="D8" s="147">
        <v>0</v>
      </c>
      <c r="E8" s="147">
        <v>36.56</v>
      </c>
      <c r="F8" s="147">
        <f t="shared" si="0"/>
        <v>-2.8400000000000105</v>
      </c>
      <c r="G8" s="147">
        <v>-75.91</v>
      </c>
      <c r="H8" s="147">
        <v>-68.05</v>
      </c>
      <c r="I8" s="147">
        <v>-68.08</v>
      </c>
      <c r="J8" s="147">
        <v>-77.510000000000005</v>
      </c>
      <c r="K8" s="147">
        <f t="shared" si="1"/>
        <v>-72.387499999999989</v>
      </c>
      <c r="L8" s="147" t="s">
        <v>52</v>
      </c>
      <c r="M8" s="147" t="s">
        <v>52</v>
      </c>
    </row>
    <row r="9" spans="1:15" ht="14.85" customHeight="1">
      <c r="A9" s="48" t="s">
        <v>218</v>
      </c>
      <c r="B9" s="147">
        <f>1.4+0.29+0.25+0.8+0.25+0.2+0.2+0.3+0.1+0.23+0.5+0.09+0.08+0.4+0.32+0.4+0.5+0.15+0.1+0.1+0.25+0.1+0.1+0.2+1.03+0.47+0.03+0.49+0.38+0.07+0.1+0.2+0.79+0.3+0.12+0.25+0.97+0.1+0.5+0.25+1.12+0.09+0.05+0.25+1+0.1+7+0.2+0.5+0.1+0.81+0.1+0.21+0.25+0.15+0.4+0.25+0.1+0.5+0.15+0.52+0.74+0.2+1.04+0.25+1.64+0.3+0.48+0.29+0.07+0.36+0.5+0.11+0.5+0.1+0.1+0.1+0.05+1.53+0.15+0.43+0.15+0.5+0.2+0.25+0.1+0.07+0.4</f>
        <v>37.82</v>
      </c>
      <c r="C9" s="147">
        <v>0.8</v>
      </c>
      <c r="D9" s="147">
        <v>0</v>
      </c>
      <c r="E9" s="147">
        <v>30.33</v>
      </c>
      <c r="F9" s="147">
        <f t="shared" si="0"/>
        <v>6.6900000000000013</v>
      </c>
      <c r="G9" s="147">
        <v>-80.3</v>
      </c>
      <c r="H9" s="147">
        <v>-77.47</v>
      </c>
      <c r="I9" s="147">
        <v>-78.12</v>
      </c>
      <c r="J9" s="147">
        <v>-77.98</v>
      </c>
      <c r="K9" s="147">
        <f t="shared" si="1"/>
        <v>-78.467500000000001</v>
      </c>
      <c r="L9" s="147" t="s">
        <v>52</v>
      </c>
      <c r="M9" s="147" t="s">
        <v>52</v>
      </c>
    </row>
    <row r="10" spans="1:15" ht="14.85" customHeight="1">
      <c r="A10" s="48" t="s">
        <v>219</v>
      </c>
      <c r="B10" s="147">
        <f>0.06+0.5+0.2+0.3+0.35+0.1+0.5+0.45+0.2+0.15+1.01+0.3+0.06+0.2+0.2+0.52+0.15+0.4+0.1+0.1+0.25+0.38+0.11+0.07+0.5+0.47+0.4+0.096+0.36+0.51+0.1+0.29+1+0.5+0.2+0.25+0.05+0.1+0.2+0.1+0.5+0.1+0.78+0.75+0.24+0.077+0.5+0.5+0.1+0.72+0.76+0.07+0.25+0.1+0.2+0.25+0.15+0.5+0.2+1+0.1+0.2+0.04+0.1+0.2+0.04+1+8+0.34+0.25+0.1+0.55+0.08+0.61+0.4</f>
        <v>31.542999999999992</v>
      </c>
      <c r="C10" s="147">
        <v>0.8</v>
      </c>
      <c r="D10" s="147">
        <v>0</v>
      </c>
      <c r="E10" s="147">
        <v>26.55</v>
      </c>
      <c r="F10" s="147">
        <f t="shared" si="0"/>
        <v>4.1929999999999907</v>
      </c>
      <c r="G10" s="147">
        <v>-76.25</v>
      </c>
      <c r="H10" s="147">
        <v>-79.27</v>
      </c>
      <c r="I10" s="147">
        <v>-80.680000000000007</v>
      </c>
      <c r="J10" s="147">
        <v>-78.55</v>
      </c>
      <c r="K10" s="147">
        <f t="shared" si="1"/>
        <v>-78.6875</v>
      </c>
      <c r="L10" s="147" t="s">
        <v>52</v>
      </c>
      <c r="M10" s="147" t="s">
        <v>52</v>
      </c>
    </row>
    <row r="11" spans="1:15" ht="14.85" customHeight="1">
      <c r="A11" s="148" t="s">
        <v>220</v>
      </c>
      <c r="B11" s="149">
        <f>SUM(B5:B10)</f>
        <v>225.54799999999994</v>
      </c>
      <c r="C11" s="149">
        <f>SUM(C5:C10)</f>
        <v>4.5999999999999996</v>
      </c>
      <c r="D11" s="150"/>
      <c r="E11" s="149">
        <f>SUM(E5:E10)</f>
        <v>243.09000000000003</v>
      </c>
      <c r="F11" s="149">
        <f>SUM(F5:F10)</f>
        <v>-22.142000000000042</v>
      </c>
      <c r="G11" s="150"/>
      <c r="H11" s="150"/>
      <c r="I11" s="150"/>
      <c r="J11" s="150"/>
      <c r="K11" s="149">
        <f>SUM(K5:K10)</f>
        <v>-424.32007499999997</v>
      </c>
      <c r="L11" s="151"/>
      <c r="M11" s="151"/>
    </row>
    <row r="12" spans="1:15" ht="27">
      <c r="A12" s="152" t="s">
        <v>221</v>
      </c>
      <c r="B12" s="149">
        <f>B11/6*12</f>
        <v>451.09599999999989</v>
      </c>
      <c r="C12" s="149">
        <f>C11/6*12</f>
        <v>9.1999999999999993</v>
      </c>
      <c r="D12" s="150"/>
      <c r="E12" s="150"/>
      <c r="F12" s="150"/>
      <c r="G12" s="150"/>
      <c r="H12" s="150"/>
      <c r="I12" s="150"/>
      <c r="J12" s="150"/>
      <c r="K12" s="149">
        <f>K11/6</f>
        <v>-70.720012499999996</v>
      </c>
      <c r="L12" s="151"/>
      <c r="M12" s="151"/>
    </row>
    <row r="13" spans="1:15" s="4" customFormat="1" ht="14.85" customHeight="1"/>
    <row r="14" spans="1:15" ht="14.85" customHeight="1">
      <c r="A14" s="195" t="s">
        <v>60</v>
      </c>
      <c r="B14" s="195"/>
      <c r="C14" s="195"/>
      <c r="D14" s="195"/>
      <c r="E14" s="195"/>
      <c r="F14" s="195"/>
      <c r="G14" s="195"/>
      <c r="H14" s="4"/>
      <c r="I14" s="4"/>
      <c r="J14" s="4"/>
      <c r="K14" s="4"/>
      <c r="L14" s="4"/>
      <c r="M14" s="4"/>
      <c r="N14" s="4"/>
      <c r="O14" s="4"/>
    </row>
    <row r="15" spans="1:15" ht="14.85" customHeight="1">
      <c r="A15" s="154" t="s">
        <v>222</v>
      </c>
      <c r="B15" s="198" t="s">
        <v>53</v>
      </c>
      <c r="C15" s="198"/>
      <c r="D15" s="198"/>
      <c r="E15" s="198" t="s">
        <v>223</v>
      </c>
      <c r="F15" s="198"/>
      <c r="G15" s="198"/>
      <c r="H15" s="4"/>
      <c r="I15" s="155"/>
      <c r="J15" s="155"/>
      <c r="K15" s="155"/>
      <c r="L15" s="155"/>
      <c r="M15" s="4"/>
      <c r="N15" s="4"/>
      <c r="O15" s="4"/>
    </row>
    <row r="16" spans="1:15" ht="14.85" customHeight="1">
      <c r="A16" s="156" t="s">
        <v>224</v>
      </c>
      <c r="B16" s="196" t="s">
        <v>225</v>
      </c>
      <c r="C16" s="196"/>
      <c r="D16" s="196"/>
      <c r="E16" s="197" t="s">
        <v>226</v>
      </c>
      <c r="F16" s="197"/>
      <c r="G16" s="197"/>
      <c r="H16" s="4"/>
      <c r="I16" s="155"/>
      <c r="J16" s="155"/>
      <c r="K16" s="155"/>
      <c r="L16" s="155"/>
      <c r="M16" s="4"/>
      <c r="N16" s="4"/>
      <c r="O16" s="4"/>
    </row>
    <row r="17" spans="1:15" ht="14.85" customHeight="1">
      <c r="A17" s="156" t="s">
        <v>199</v>
      </c>
      <c r="B17" s="153" t="s">
        <v>200</v>
      </c>
      <c r="C17" s="195" t="s">
        <v>227</v>
      </c>
      <c r="D17" s="195"/>
      <c r="E17" s="153" t="s">
        <v>228</v>
      </c>
      <c r="F17" s="195" t="s">
        <v>207</v>
      </c>
      <c r="G17" s="195"/>
      <c r="H17" s="4"/>
      <c r="I17" s="4"/>
      <c r="J17" s="4"/>
      <c r="K17" s="4"/>
      <c r="L17" s="4"/>
      <c r="M17" s="4"/>
      <c r="N17" s="4"/>
      <c r="O17" s="4"/>
    </row>
    <row r="18" spans="1:15" ht="14.85" customHeight="1">
      <c r="A18" s="156"/>
      <c r="B18" s="157"/>
      <c r="C18" s="153" t="s">
        <v>229</v>
      </c>
      <c r="D18" s="153" t="s">
        <v>230</v>
      </c>
      <c r="E18" s="153" t="s">
        <v>231</v>
      </c>
      <c r="F18" s="153" t="s">
        <v>212</v>
      </c>
      <c r="G18" s="153" t="s">
        <v>213</v>
      </c>
      <c r="H18" s="4"/>
      <c r="I18" s="4"/>
      <c r="J18" s="4"/>
      <c r="K18" s="4"/>
      <c r="L18" s="4"/>
      <c r="M18" s="4"/>
      <c r="N18" s="4"/>
      <c r="O18" s="4"/>
    </row>
    <row r="19" spans="1:15" ht="14.85" customHeight="1">
      <c r="A19" s="48" t="s">
        <v>214</v>
      </c>
      <c r="B19" s="147">
        <f>0.1+0.1+0.13+0.1</f>
        <v>0.43000000000000005</v>
      </c>
      <c r="C19" s="147">
        <v>0.99</v>
      </c>
      <c r="D19" s="147">
        <v>0.88</v>
      </c>
      <c r="E19" s="147">
        <f t="shared" ref="E19:E24" si="2">(C19+D19)/2</f>
        <v>0.93500000000000005</v>
      </c>
      <c r="F19" s="158">
        <v>0</v>
      </c>
      <c r="G19" s="158">
        <v>0</v>
      </c>
      <c r="H19" s="4"/>
      <c r="I19" s="4"/>
      <c r="J19" s="4"/>
      <c r="K19" s="4"/>
      <c r="L19" s="4"/>
      <c r="M19" s="4"/>
      <c r="N19" s="4"/>
      <c r="O19" s="4"/>
    </row>
    <row r="20" spans="1:15" ht="14.85" customHeight="1">
      <c r="A20" s="48" t="s">
        <v>215</v>
      </c>
      <c r="B20" s="147">
        <f>0.44+0.15+0.1+0.16+0.7+0.72</f>
        <v>2.27</v>
      </c>
      <c r="C20" s="147">
        <v>6.3E-2</v>
      </c>
      <c r="D20" s="147">
        <v>1.72</v>
      </c>
      <c r="E20" s="147">
        <f t="shared" si="2"/>
        <v>0.89149999999999996</v>
      </c>
      <c r="F20" s="158">
        <v>0</v>
      </c>
      <c r="G20" s="158">
        <v>0</v>
      </c>
      <c r="H20" s="4"/>
      <c r="I20" s="4"/>
      <c r="J20" s="4"/>
      <c r="K20" s="4"/>
      <c r="L20" s="4"/>
      <c r="M20" s="4"/>
      <c r="N20" s="4"/>
      <c r="O20" s="4"/>
    </row>
    <row r="21" spans="1:15" ht="14.85" customHeight="1">
      <c r="A21" s="48" t="s">
        <v>216</v>
      </c>
      <c r="B21" s="147">
        <f>0.39+0.26</f>
        <v>0.65</v>
      </c>
      <c r="C21" s="147">
        <v>0.37</v>
      </c>
      <c r="D21" s="147">
        <v>0.94</v>
      </c>
      <c r="E21" s="147">
        <f t="shared" si="2"/>
        <v>0.65500000000000003</v>
      </c>
      <c r="F21" s="158">
        <v>0</v>
      </c>
      <c r="G21" s="158">
        <v>0</v>
      </c>
      <c r="H21" s="4"/>
      <c r="I21" s="4"/>
      <c r="J21" s="4"/>
      <c r="K21" s="4"/>
      <c r="L21" s="4"/>
      <c r="M21" s="4"/>
      <c r="N21" s="4"/>
      <c r="O21" s="4"/>
    </row>
    <row r="22" spans="1:15" ht="14.85" customHeight="1">
      <c r="A22" s="48" t="s">
        <v>217</v>
      </c>
      <c r="B22" s="147">
        <f>0.9+0.1+0.7</f>
        <v>1.7000000000000002</v>
      </c>
      <c r="C22" s="147">
        <v>0.28999999999999998</v>
      </c>
      <c r="D22" s="147">
        <v>0.99</v>
      </c>
      <c r="E22" s="147">
        <f t="shared" si="2"/>
        <v>0.64</v>
      </c>
      <c r="F22" s="158">
        <v>0</v>
      </c>
      <c r="G22" s="158">
        <v>0</v>
      </c>
      <c r="H22" s="4"/>
      <c r="I22" s="4"/>
      <c r="J22" s="4"/>
      <c r="K22" s="4"/>
      <c r="L22" s="4"/>
      <c r="M22" s="4"/>
      <c r="N22" s="4"/>
      <c r="O22" s="4"/>
    </row>
    <row r="23" spans="1:15" ht="14.85" customHeight="1">
      <c r="A23" s="48" t="s">
        <v>218</v>
      </c>
      <c r="B23" s="147">
        <v>0.46</v>
      </c>
      <c r="C23" s="147">
        <v>0.59</v>
      </c>
      <c r="D23" s="147">
        <v>0.49</v>
      </c>
      <c r="E23" s="147">
        <f t="shared" si="2"/>
        <v>0.54</v>
      </c>
      <c r="F23" s="158">
        <v>0</v>
      </c>
      <c r="G23" s="158">
        <v>0</v>
      </c>
      <c r="H23" s="4"/>
      <c r="I23" s="4"/>
      <c r="J23" s="4"/>
      <c r="K23" s="4"/>
      <c r="L23" s="4"/>
      <c r="M23" s="4"/>
      <c r="N23" s="4"/>
      <c r="O23" s="4"/>
    </row>
    <row r="24" spans="1:15" ht="14.85" customHeight="1">
      <c r="A24" s="48" t="s">
        <v>219</v>
      </c>
      <c r="B24" s="147">
        <f>0.8+0.9</f>
        <v>1.7000000000000002</v>
      </c>
      <c r="C24" s="147">
        <v>0.44</v>
      </c>
      <c r="D24" s="147">
        <v>1.24</v>
      </c>
      <c r="E24" s="147">
        <f t="shared" si="2"/>
        <v>0.84</v>
      </c>
      <c r="F24" s="158">
        <v>0</v>
      </c>
      <c r="G24" s="158">
        <v>0</v>
      </c>
      <c r="H24" s="4"/>
      <c r="I24" s="4"/>
      <c r="J24" s="4"/>
      <c r="K24" s="4"/>
      <c r="L24" s="4"/>
      <c r="M24" s="4"/>
      <c r="N24" s="4"/>
      <c r="O24" s="4"/>
    </row>
    <row r="25" spans="1:15" ht="14.85" customHeight="1">
      <c r="A25" s="156" t="s">
        <v>232</v>
      </c>
      <c r="B25" s="149">
        <f>SUM(B19:B24)</f>
        <v>7.2100000000000009</v>
      </c>
      <c r="C25" s="149"/>
      <c r="D25" s="149"/>
      <c r="E25" s="149">
        <f>SUM(E19:E24)</f>
        <v>4.5015000000000001</v>
      </c>
      <c r="F25" s="159"/>
      <c r="G25" s="159"/>
      <c r="H25" s="4"/>
      <c r="I25" s="4"/>
      <c r="J25" s="4"/>
      <c r="K25" s="4"/>
      <c r="L25" s="4"/>
      <c r="M25" s="4"/>
      <c r="N25" s="4"/>
      <c r="O25" s="4"/>
    </row>
    <row r="26" spans="1:15" ht="27">
      <c r="A26" s="156" t="s">
        <v>221</v>
      </c>
      <c r="B26" s="149">
        <f>B25*12/6</f>
        <v>14.420000000000002</v>
      </c>
      <c r="C26" s="149"/>
      <c r="D26" s="149"/>
      <c r="E26" s="149">
        <f>+E25/6</f>
        <v>0.75024999999999997</v>
      </c>
      <c r="F26" s="160"/>
      <c r="G26" s="160"/>
      <c r="H26" s="4"/>
      <c r="I26" s="4"/>
      <c r="J26" s="4"/>
      <c r="K26" s="4"/>
      <c r="L26" s="4"/>
      <c r="M26" s="4"/>
      <c r="N26" s="4"/>
      <c r="O26" s="4"/>
    </row>
    <row r="27" spans="1:15" ht="14.85" customHeight="1"/>
    <row r="28" spans="1:15" ht="14.85" customHeight="1">
      <c r="A28" s="195" t="s">
        <v>5</v>
      </c>
      <c r="B28" s="195"/>
      <c r="C28" s="195"/>
      <c r="D28" s="195"/>
      <c r="E28" s="195"/>
      <c r="F28" s="195"/>
      <c r="G28" s="195"/>
    </row>
    <row r="29" spans="1:15" ht="14.85" customHeight="1">
      <c r="A29" s="154" t="s">
        <v>222</v>
      </c>
      <c r="B29" s="198" t="s">
        <v>51</v>
      </c>
      <c r="C29" s="198"/>
      <c r="D29" s="198"/>
      <c r="E29" s="198" t="s">
        <v>223</v>
      </c>
      <c r="F29" s="198"/>
      <c r="G29" s="198"/>
    </row>
    <row r="30" spans="1:15" ht="14.85" customHeight="1">
      <c r="A30" s="156" t="s">
        <v>224</v>
      </c>
      <c r="B30" s="196" t="s">
        <v>233</v>
      </c>
      <c r="C30" s="196"/>
      <c r="D30" s="196"/>
      <c r="E30" s="197" t="s">
        <v>234</v>
      </c>
      <c r="F30" s="197"/>
      <c r="G30" s="197"/>
    </row>
    <row r="31" spans="1:15" ht="14.85" customHeight="1">
      <c r="A31" s="156" t="s">
        <v>199</v>
      </c>
      <c r="B31" s="153" t="s">
        <v>200</v>
      </c>
      <c r="C31" s="195" t="s">
        <v>227</v>
      </c>
      <c r="D31" s="195"/>
      <c r="E31" s="153" t="s">
        <v>228</v>
      </c>
      <c r="F31" s="195" t="s">
        <v>207</v>
      </c>
      <c r="G31" s="195"/>
    </row>
    <row r="32" spans="1:15" ht="14.85" customHeight="1">
      <c r="A32" s="156"/>
      <c r="B32" s="157"/>
      <c r="C32" s="153" t="s">
        <v>229</v>
      </c>
      <c r="D32" s="153" t="s">
        <v>230</v>
      </c>
      <c r="E32" s="153" t="s">
        <v>231</v>
      </c>
      <c r="F32" s="153" t="s">
        <v>212</v>
      </c>
      <c r="G32" s="153" t="s">
        <v>213</v>
      </c>
    </row>
    <row r="33" spans="1:7" ht="14.85" customHeight="1">
      <c r="A33" s="48" t="s">
        <v>214</v>
      </c>
      <c r="B33" s="147">
        <f>0.25+0.9+0.35+0.9</f>
        <v>2.4</v>
      </c>
      <c r="C33" s="147">
        <v>3.5700000000000003E-3</v>
      </c>
      <c r="D33" s="147">
        <v>0.9</v>
      </c>
      <c r="E33" s="147">
        <f t="shared" ref="E33:E38" si="3">(C33+D33)/2</f>
        <v>0.45178499999999999</v>
      </c>
      <c r="F33" s="158">
        <v>0</v>
      </c>
      <c r="G33" s="158">
        <v>0</v>
      </c>
    </row>
    <row r="34" spans="1:7" ht="14.85" customHeight="1">
      <c r="A34" s="48" t="s">
        <v>215</v>
      </c>
      <c r="B34" s="147">
        <v>0.9</v>
      </c>
      <c r="C34" s="147">
        <v>0.51</v>
      </c>
      <c r="D34" s="147">
        <v>0.53</v>
      </c>
      <c r="E34" s="147">
        <f t="shared" si="3"/>
        <v>0.52</v>
      </c>
      <c r="F34" s="158">
        <v>0</v>
      </c>
      <c r="G34" s="158">
        <v>0</v>
      </c>
    </row>
    <row r="35" spans="1:7" ht="14.85" customHeight="1">
      <c r="A35" s="48" t="s">
        <v>216</v>
      </c>
      <c r="B35" s="147">
        <f>0.2+0.2+0.9+0.18</f>
        <v>1.48</v>
      </c>
      <c r="C35" s="147">
        <v>0.08</v>
      </c>
      <c r="D35" s="147">
        <v>0.13</v>
      </c>
      <c r="E35" s="147">
        <f t="shared" si="3"/>
        <v>0.10500000000000001</v>
      </c>
      <c r="F35" s="158">
        <v>0</v>
      </c>
      <c r="G35" s="158">
        <v>0</v>
      </c>
    </row>
    <row r="36" spans="1:7" ht="14.85" customHeight="1">
      <c r="A36" s="48" t="s">
        <v>217</v>
      </c>
      <c r="B36" s="147">
        <v>0.9</v>
      </c>
      <c r="C36" s="147">
        <v>0.11</v>
      </c>
      <c r="D36" s="147">
        <v>0.11</v>
      </c>
      <c r="E36" s="147">
        <f t="shared" si="3"/>
        <v>0.11</v>
      </c>
      <c r="F36" s="158">
        <v>0</v>
      </c>
      <c r="G36" s="158">
        <v>0</v>
      </c>
    </row>
    <row r="37" spans="1:7" ht="14.85" customHeight="1">
      <c r="A37" s="48" t="s">
        <v>218</v>
      </c>
      <c r="B37" s="147">
        <f>0.15+0.4+0.28+0.99</f>
        <v>1.82</v>
      </c>
      <c r="C37" s="147">
        <v>0.30000000000000004</v>
      </c>
      <c r="D37" s="147">
        <v>0.06</v>
      </c>
      <c r="E37" s="147">
        <f t="shared" si="3"/>
        <v>0.18000000000000002</v>
      </c>
      <c r="F37" s="158">
        <v>0</v>
      </c>
      <c r="G37" s="158">
        <v>0</v>
      </c>
    </row>
    <row r="38" spans="1:7" ht="14.85" customHeight="1">
      <c r="A38" s="48" t="s">
        <v>219</v>
      </c>
      <c r="B38" s="147">
        <f>0.99+0.26</f>
        <v>1.25</v>
      </c>
      <c r="C38" s="147">
        <v>1</v>
      </c>
      <c r="D38" s="147">
        <v>1.7300000000000002E-3</v>
      </c>
      <c r="E38" s="147">
        <f t="shared" si="3"/>
        <v>0.500865</v>
      </c>
      <c r="F38" s="158">
        <v>0</v>
      </c>
      <c r="G38" s="158">
        <v>0</v>
      </c>
    </row>
    <row r="39" spans="1:7" ht="14.85" customHeight="1">
      <c r="A39" s="156" t="s">
        <v>232</v>
      </c>
      <c r="B39" s="149">
        <f>SUM(B33:B38)</f>
        <v>8.75</v>
      </c>
      <c r="C39" s="149"/>
      <c r="D39" s="149"/>
      <c r="E39" s="149">
        <f>SUM(E33:E38)</f>
        <v>1.8676500000000003</v>
      </c>
      <c r="F39" s="159"/>
      <c r="G39" s="159"/>
    </row>
    <row r="40" spans="1:7" ht="14.85" customHeight="1">
      <c r="A40" s="156" t="s">
        <v>221</v>
      </c>
      <c r="B40" s="149">
        <f>B39*12/6</f>
        <v>17.5</v>
      </c>
      <c r="C40" s="149"/>
      <c r="D40" s="149"/>
      <c r="E40" s="149">
        <f>+E39/6</f>
        <v>0.31127500000000002</v>
      </c>
      <c r="F40" s="160"/>
      <c r="G40" s="160"/>
    </row>
  </sheetData>
  <sheetProtection selectLockedCells="1" selectUnlockedCells="1"/>
  <mergeCells count="27">
    <mergeCell ref="A1:M1"/>
    <mergeCell ref="A2:F2"/>
    <mergeCell ref="G2:K2"/>
    <mergeCell ref="L2:M2"/>
    <mergeCell ref="A3:A4"/>
    <mergeCell ref="B3:B4"/>
    <mergeCell ref="C3:C4"/>
    <mergeCell ref="D3:D4"/>
    <mergeCell ref="E3:E4"/>
    <mergeCell ref="F3:F4"/>
    <mergeCell ref="G3:J3"/>
    <mergeCell ref="K3:K4"/>
    <mergeCell ref="L3:M3"/>
    <mergeCell ref="A14:G14"/>
    <mergeCell ref="B15:D15"/>
    <mergeCell ref="E15:G15"/>
    <mergeCell ref="B30:D30"/>
    <mergeCell ref="E30:G30"/>
    <mergeCell ref="C31:D31"/>
    <mergeCell ref="F31:G31"/>
    <mergeCell ref="B16:D16"/>
    <mergeCell ref="E16:G16"/>
    <mergeCell ref="C17:D17"/>
    <mergeCell ref="F17:G17"/>
    <mergeCell ref="A28:G28"/>
    <mergeCell ref="B29:D29"/>
    <mergeCell ref="E29:G29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Eligibility</vt:lpstr>
      <vt:lpstr>RTR</vt:lpstr>
      <vt:lpstr>RTR Details</vt:lpstr>
      <vt:lpstr>Ratios</vt:lpstr>
      <vt:lpstr>Sheet1</vt:lpstr>
      <vt:lpstr>Loans</vt:lpstr>
      <vt:lpstr>Banking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MyPc</cp:lastModifiedBy>
  <cp:lastPrinted>2019-07-18T09:42:29Z</cp:lastPrinted>
  <dcterms:created xsi:type="dcterms:W3CDTF">2015-09-25T09:25:31Z</dcterms:created>
  <dcterms:modified xsi:type="dcterms:W3CDTF">2019-11-19T07:27:05Z</dcterms:modified>
</cp:coreProperties>
</file>