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0" windowWidth="20490" windowHeight="7455"/>
  </bookViews>
  <sheets>
    <sheet name="Eligibility" sheetId="1" r:id="rId1"/>
    <sheet name="RTR" sheetId="2" r:id="rId2"/>
    <sheet name="Sheet1" sheetId="5" state="hidden" r:id="rId3"/>
  </sheets>
  <definedNames>
    <definedName name="Excel_BuiltIn__FilterDatabase_4">"$#REF!.$#REF!$#REF!:$#REF!$#REF!"</definedName>
    <definedName name="Excel_BuiltIn__FilterDatabase_5">"$#REF!.$#REF!$#REF!:$#REF!$#REF!"</definedName>
    <definedName name="Excel_BuiltIn_Print_Area_1">"$#REF!.$A$13:$F$72"</definedName>
    <definedName name="Excel_BuiltIn_Print_Area_2">"$#REF!.$#REF!$#REF!:$#REF!$#REF!"</definedName>
    <definedName name="Excel_BuiltIn_Print_Area_2_1">"$#REF!.$#REF!$#REF!:$#REF!$#REF!"</definedName>
    <definedName name="Excel_BuiltIn_Print_Area_4">"$#REF!.$A$1:$G$110"</definedName>
    <definedName name="Excel_BuiltIn_Print_Area_5_1">"$#REF!.$A$1:$G$115"</definedName>
    <definedName name="Excel_BuiltIn_Print_Area_6">"$#REF!.$A$1:$G$115"</definedName>
    <definedName name="SHARED_FORMULA_5_5_5_5_0">#REF!/10*#REF!</definedName>
  </definedNames>
  <calcPr calcId="125725"/>
  <fileRecoveryPr autoRecover="0"/>
</workbook>
</file>

<file path=xl/calcChain.xml><?xml version="1.0" encoding="utf-8"?>
<calcChain xmlns="http://schemas.openxmlformats.org/spreadsheetml/2006/main">
  <c r="J6" i="2"/>
  <c r="J2"/>
  <c r="F37" i="1"/>
  <c r="D34"/>
  <c r="F34" s="1"/>
  <c r="C35"/>
  <c r="D32"/>
  <c r="F32" s="1"/>
  <c r="B35"/>
  <c r="D36"/>
  <c r="F36" s="1"/>
  <c r="D35"/>
  <c r="F35" s="1"/>
  <c r="D33"/>
  <c r="F33" s="1"/>
  <c r="D31"/>
  <c r="F31" s="1"/>
  <c r="C28"/>
  <c r="C26"/>
  <c r="B28"/>
  <c r="B26"/>
  <c r="D25"/>
  <c r="F25" s="1"/>
  <c r="D29"/>
  <c r="F29" s="1"/>
  <c r="D28"/>
  <c r="F28" s="1"/>
  <c r="D27"/>
  <c r="F27" s="1"/>
  <c r="D26"/>
  <c r="F26" s="1"/>
  <c r="B22"/>
  <c r="D22" s="1"/>
  <c r="F22" s="1"/>
  <c r="D23"/>
  <c r="F23" s="1"/>
  <c r="D21"/>
  <c r="F21" s="1"/>
  <c r="D20"/>
  <c r="F20" s="1"/>
  <c r="C17"/>
  <c r="B17"/>
  <c r="D17" s="1"/>
  <c r="F17" s="1"/>
  <c r="C14"/>
  <c r="D16"/>
  <c r="F16" s="1"/>
  <c r="D15"/>
  <c r="F15" s="1"/>
  <c r="B14"/>
  <c r="D18"/>
  <c r="F18" s="1"/>
  <c r="D13"/>
  <c r="F13" s="1"/>
  <c r="J4"/>
  <c r="I4"/>
  <c r="C10"/>
  <c r="B10"/>
  <c r="D11"/>
  <c r="F11" s="1"/>
  <c r="D9"/>
  <c r="F9" s="1"/>
  <c r="C6"/>
  <c r="B6"/>
  <c r="D14" l="1"/>
  <c r="F14" s="1"/>
  <c r="D10"/>
  <c r="F10" s="1"/>
  <c r="M7" i="2"/>
  <c r="F39" i="1" s="1"/>
  <c r="D3"/>
  <c r="F3" s="1"/>
  <c r="D4"/>
  <c r="F4" s="1"/>
  <c r="D7"/>
  <c r="F7" s="1"/>
  <c r="D5"/>
  <c r="F44"/>
  <c r="F6" i="5"/>
  <c r="F7"/>
  <c r="F8"/>
  <c r="F9"/>
  <c r="F10"/>
  <c r="F11"/>
  <c r="F12"/>
  <c r="E13"/>
  <c r="D6" i="1" l="1"/>
  <c r="F6" s="1"/>
  <c r="F13" i="5"/>
  <c r="F5" i="1"/>
  <c r="F38" l="1"/>
  <c r="F41" s="1"/>
  <c r="F45" l="1"/>
</calcChain>
</file>

<file path=xl/sharedStrings.xml><?xml version="1.0" encoding="utf-8"?>
<sst xmlns="http://schemas.openxmlformats.org/spreadsheetml/2006/main" count="155" uniqueCount="92">
  <si>
    <t>Eligibility</t>
  </si>
  <si>
    <t>Sr. No.</t>
  </si>
  <si>
    <t>LAN</t>
  </si>
  <si>
    <t>Customer Name</t>
  </si>
  <si>
    <t>Bank Name</t>
  </si>
  <si>
    <t>Type</t>
  </si>
  <si>
    <t>Loan Amt.</t>
  </si>
  <si>
    <t>Tenure</t>
  </si>
  <si>
    <t>Instal. Paid</t>
  </si>
  <si>
    <t>Instal. Bal.</t>
  </si>
  <si>
    <t>EMI Amt</t>
  </si>
  <si>
    <t>ICICI</t>
  </si>
  <si>
    <t>Name of Applicant</t>
  </si>
  <si>
    <t>Application no:</t>
  </si>
  <si>
    <t>Particulars</t>
  </si>
  <si>
    <t>Parameters</t>
  </si>
  <si>
    <t>Score</t>
  </si>
  <si>
    <t>Total
Weightages</t>
  </si>
  <si>
    <t>Final score</t>
  </si>
  <si>
    <t>No. of years in business</t>
  </si>
  <si>
    <t>&gt; = 5  - 10                                                      &gt; = 3 to 5 - 7                               &lt; 3 - 5</t>
  </si>
  <si>
    <t xml:space="preserve">Minimum income </t>
  </si>
  <si>
    <r>
      <t>Net profit of &gt; =</t>
    </r>
    <r>
      <rPr>
        <sz val="11"/>
        <rFont val="Rupee Foradian"/>
        <family val="2"/>
      </rPr>
      <t>`</t>
    </r>
    <r>
      <rPr>
        <sz val="11"/>
        <rFont val="Zurich BT"/>
        <family val="2"/>
      </rPr>
      <t xml:space="preserve"> 2.6 lacs p. a - 10                                Net profit of &lt; </t>
    </r>
    <r>
      <rPr>
        <sz val="11"/>
        <rFont val="Rupee Foradian"/>
        <family val="2"/>
      </rPr>
      <t>`</t>
    </r>
    <r>
      <rPr>
        <sz val="11"/>
        <rFont val="Zurich BT"/>
        <family val="2"/>
      </rPr>
      <t xml:space="preserve"> 2.6 lacs p. a - 5 </t>
    </r>
  </si>
  <si>
    <t>Financial norms : Debt-Equity Ratio</t>
  </si>
  <si>
    <t>DE Ratio &lt; 2:1 - 10                 DE Ratio = 2:1 - 7                      DE Ratio &gt; 2:1 - 5</t>
  </si>
  <si>
    <t>Financial norms : DSCR</t>
  </si>
  <si>
    <t>DSCR &gt; 1.5 - 10                 DSCR between 1.25 to 1.5 - 7                                                  DSCR &lt; 1.25 - 5</t>
  </si>
  <si>
    <t>Financial norms : Debtors to sales ratio</t>
  </si>
  <si>
    <t>Debtors to Sales Ratio &lt; 3 months - 10                             Debtors to Sales Ratio = 3 months - 7                               Debtors to Sales Ratio &gt; 3 months - 5</t>
  </si>
  <si>
    <t>Bank verification</t>
  </si>
  <si>
    <t xml:space="preserve">No. of outward cheque returns in last 6 months &lt; = 6 - 10                                         No. of outward cheque returns in last 6 months between 6 to 10  - 7               No. of outward cheque returns in last 6 months &gt; 10 - 5 </t>
  </si>
  <si>
    <t>Property usage</t>
  </si>
  <si>
    <t>Self occupied - 10                   Rented - 7</t>
  </si>
  <si>
    <t>Total Score</t>
  </si>
  <si>
    <t xml:space="preserve">Average    </t>
  </si>
  <si>
    <t xml:space="preserve">Eligible Income    </t>
  </si>
  <si>
    <t xml:space="preserve">Less: Taxes Paid         </t>
  </si>
  <si>
    <t xml:space="preserve">Total  </t>
  </si>
  <si>
    <t xml:space="preserve">Appraised Monthly Income                </t>
  </si>
  <si>
    <t xml:space="preserve">Appraised Obligations     </t>
  </si>
  <si>
    <t xml:space="preserve">Max EMI                                                            </t>
  </si>
  <si>
    <t xml:space="preserve">Tenor (Months)  </t>
  </si>
  <si>
    <t xml:space="preserve">Rate Of Interest  </t>
  </si>
  <si>
    <t xml:space="preserve">EMI Factor                                                            </t>
  </si>
  <si>
    <t xml:space="preserve">Eligibility(Rs. In lacs)                   </t>
  </si>
  <si>
    <t xml:space="preserve">Net Profit </t>
  </si>
  <si>
    <t xml:space="preserve">Depreciation </t>
  </si>
  <si>
    <t>y</t>
  </si>
  <si>
    <t>EMI Considered</t>
  </si>
  <si>
    <t>Lap</t>
  </si>
  <si>
    <t>Assessment Year</t>
  </si>
  <si>
    <t>2019-20</t>
  </si>
  <si>
    <t>Payment made u/s 40A(2)(b)</t>
  </si>
  <si>
    <t>Bank Interest</t>
  </si>
  <si>
    <t>POS</t>
  </si>
  <si>
    <t>Car Loan</t>
  </si>
  <si>
    <t>n</t>
  </si>
  <si>
    <t xml:space="preserve">Max FOIR          </t>
  </si>
  <si>
    <t>Origin Multiplex Private Limited</t>
  </si>
  <si>
    <t>2020-21</t>
  </si>
  <si>
    <t>Happy Goyal Colonisers Pvt Ltd</t>
  </si>
  <si>
    <t xml:space="preserve">Income From House Property </t>
  </si>
  <si>
    <t>Sale as on 31/3/20</t>
  </si>
  <si>
    <t>Sale as on 31/03/2019</t>
  </si>
  <si>
    <t>Till dec</t>
  </si>
  <si>
    <t>Origin</t>
  </si>
  <si>
    <t>HGCPL</t>
  </si>
  <si>
    <t>Ajay Pal Goyal</t>
  </si>
  <si>
    <t>Sazal Goyal</t>
  </si>
  <si>
    <t>Reenu Goyal</t>
  </si>
  <si>
    <t>Harsh Goyal</t>
  </si>
  <si>
    <t>Main Firm</t>
  </si>
  <si>
    <t>Co-app</t>
  </si>
  <si>
    <t>s/o of ajay pal</t>
  </si>
  <si>
    <t>w/o of ajay pal</t>
  </si>
  <si>
    <t>100% shareholding in deal</t>
  </si>
  <si>
    <t>94% shareholdin in deal</t>
  </si>
  <si>
    <t>Income from salary</t>
  </si>
  <si>
    <t>Business Income</t>
  </si>
  <si>
    <t>Interest paid to car</t>
  </si>
  <si>
    <t>Income from other sources</t>
  </si>
  <si>
    <t>Sazal goyal</t>
  </si>
  <si>
    <t>Interest on ICICI Car loan</t>
  </si>
  <si>
    <t>HLAPBAT00389069</t>
  </si>
  <si>
    <t>Origin Multiplex</t>
  </si>
  <si>
    <t>Indiabulls</t>
  </si>
  <si>
    <t>HLAPBAT00389423</t>
  </si>
  <si>
    <t>Loan start date</t>
  </si>
  <si>
    <t>HLAPBAT00389172</t>
  </si>
  <si>
    <t>HLAPBAT00389177</t>
  </si>
  <si>
    <t>Renu Goyal</t>
  </si>
  <si>
    <t>LASAN00035485701</t>
  </si>
</sst>
</file>

<file path=xl/styles.xml><?xml version="1.0" encoding="utf-8"?>
<styleSheet xmlns="http://schemas.openxmlformats.org/spreadsheetml/2006/main">
  <numFmts count="5">
    <numFmt numFmtId="164" formatCode="#,##0.00\ ;&quot; (&quot;#,##0.00\);&quot; -&quot;#\ ;@\ "/>
    <numFmt numFmtId="165" formatCode="0\ ;&quot; (&quot;0\);&quot; -&quot;#\ ;@\ "/>
    <numFmt numFmtId="166" formatCode="0\ ;\(0\)"/>
    <numFmt numFmtId="167" formatCode="#,###"/>
    <numFmt numFmtId="168" formatCode="[$-409]d\-mmm\-yy;@"/>
  </numFmts>
  <fonts count="14">
    <font>
      <sz val="10"/>
      <name val="Arial"/>
      <family val="2"/>
    </font>
    <font>
      <sz val="10"/>
      <name val="Arial1"/>
    </font>
    <font>
      <sz val="11"/>
      <name val="Zurich BT"/>
      <family val="2"/>
    </font>
    <font>
      <b/>
      <sz val="11"/>
      <color indexed="9"/>
      <name val="Zurich BT"/>
      <family val="2"/>
    </font>
    <font>
      <b/>
      <sz val="10"/>
      <color indexed="9"/>
      <name val="Arial"/>
      <family val="2"/>
    </font>
    <font>
      <sz val="11"/>
      <name val="Rupee Foradian"/>
      <family val="2"/>
    </font>
    <font>
      <sz val="11"/>
      <name val="Arial"/>
      <family val="2"/>
    </font>
    <font>
      <sz val="10"/>
      <name val="Arial"/>
      <family val="2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2"/>
      <color rgb="FFFF0000"/>
      <name val="Calibri"/>
      <family val="2"/>
      <scheme val="minor"/>
    </font>
    <font>
      <sz val="8"/>
      <color indexed="8"/>
      <name val="Calibri"/>
      <family val="2"/>
      <scheme val="minor"/>
    </font>
    <font>
      <sz val="8"/>
      <name val="Calibri"/>
      <family val="2"/>
      <scheme val="minor"/>
    </font>
    <font>
      <b/>
      <u/>
      <sz val="8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31"/>
        <bgColor indexed="22"/>
      </patternFill>
    </fill>
    <fill>
      <patternFill patternType="solid">
        <fgColor indexed="16"/>
        <bgColor indexed="37"/>
      </patternFill>
    </fill>
    <fill>
      <patternFill patternType="solid">
        <fgColor indexed="12"/>
        <bgColor indexed="39"/>
      </patternFill>
    </fill>
    <fill>
      <patternFill patternType="solid">
        <fgColor theme="0" tint="-4.9989318521683403E-2"/>
        <bgColor indexed="31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indexed="26"/>
      </patternFill>
    </fill>
    <fill>
      <patternFill patternType="solid">
        <fgColor theme="0"/>
        <bgColor indexed="26"/>
      </patternFill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22"/>
      </patternFill>
    </fill>
    <fill>
      <patternFill patternType="solid">
        <fgColor theme="0" tint="-0.14999847407452621"/>
        <bgColor indexed="31"/>
      </patternFill>
    </fill>
    <fill>
      <patternFill patternType="solid">
        <fgColor theme="0" tint="-0.14999847407452621"/>
        <bgColor indexed="26"/>
      </patternFill>
    </fill>
  </fills>
  <borders count="4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164" fontId="7" fillId="0" borderId="0" applyFill="0" applyAlignment="0" applyProtection="0"/>
    <xf numFmtId="9" fontId="7" fillId="0" borderId="0" applyFill="0" applyBorder="0" applyAlignment="0" applyProtection="0"/>
    <xf numFmtId="0" fontId="7" fillId="0" borderId="0"/>
    <xf numFmtId="164" fontId="1" fillId="0" borderId="0" applyBorder="0" applyProtection="0"/>
  </cellStyleXfs>
  <cellXfs count="83">
    <xf numFmtId="0" fontId="0" fillId="0" borderId="0" xfId="0"/>
    <xf numFmtId="0" fontId="3" fillId="4" borderId="1" xfId="0" applyFont="1" applyFill="1" applyBorder="1" applyAlignment="1" applyProtection="1">
      <alignment horizontal="center" vertical="top" wrapText="1"/>
      <protection hidden="1"/>
    </xf>
    <xf numFmtId="0" fontId="0" fillId="0" borderId="0" xfId="0" applyProtection="1">
      <protection locked="0"/>
    </xf>
    <xf numFmtId="0" fontId="4" fillId="4" borderId="1" xfId="0" applyFont="1" applyFill="1" applyBorder="1" applyAlignment="1" applyProtection="1">
      <alignment vertical="top" wrapText="1"/>
      <protection hidden="1"/>
    </xf>
    <xf numFmtId="0" fontId="3" fillId="4" borderId="1" xfId="0" applyFont="1" applyFill="1" applyBorder="1" applyAlignment="1" applyProtection="1">
      <alignment vertical="top" wrapText="1"/>
      <protection hidden="1"/>
    </xf>
    <xf numFmtId="0" fontId="3" fillId="4" borderId="1" xfId="0" applyFont="1" applyFill="1" applyBorder="1" applyAlignment="1" applyProtection="1">
      <alignment horizontal="center" vertical="top" wrapText="1"/>
      <protection locked="0" hidden="1"/>
    </xf>
    <xf numFmtId="0" fontId="2" fillId="0" borderId="1" xfId="0" applyFont="1" applyBorder="1" applyAlignment="1" applyProtection="1">
      <alignment vertical="top" wrapText="1"/>
      <protection hidden="1"/>
    </xf>
    <xf numFmtId="0" fontId="2" fillId="0" borderId="1" xfId="0" applyFont="1" applyBorder="1" applyAlignment="1">
      <alignment horizontal="justify" vertical="top"/>
    </xf>
    <xf numFmtId="0" fontId="2" fillId="0" borderId="1" xfId="0" applyFont="1" applyBorder="1" applyAlignment="1">
      <alignment horizontal="left" vertical="top" wrapText="1"/>
    </xf>
    <xf numFmtId="0" fontId="2" fillId="0" borderId="1" xfId="0" applyNumberFormat="1" applyFont="1" applyBorder="1" applyAlignment="1" applyProtection="1">
      <alignment horizontal="left" vertical="top" wrapText="1"/>
      <protection locked="0"/>
    </xf>
    <xf numFmtId="10" fontId="2" fillId="0" borderId="1" xfId="0" applyNumberFormat="1" applyFont="1" applyBorder="1" applyAlignment="1">
      <alignment horizontal="left" vertical="top" wrapText="1"/>
    </xf>
    <xf numFmtId="0" fontId="2" fillId="0" borderId="1" xfId="0" applyNumberFormat="1" applyFont="1" applyBorder="1" applyAlignment="1" applyProtection="1">
      <alignment horizontal="left" vertical="top"/>
      <protection locked="0"/>
    </xf>
    <xf numFmtId="0" fontId="2" fillId="0" borderId="1" xfId="0" applyFont="1" applyBorder="1" applyAlignment="1">
      <alignment horizontal="justify" vertical="top" wrapText="1"/>
    </xf>
    <xf numFmtId="0" fontId="2" fillId="0" borderId="1" xfId="0" applyFont="1" applyFill="1" applyBorder="1" applyAlignment="1" applyProtection="1">
      <alignment vertical="top" wrapText="1"/>
      <protection hidden="1"/>
    </xf>
    <xf numFmtId="0" fontId="6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4" fillId="5" borderId="1" xfId="0" applyFont="1" applyFill="1" applyBorder="1" applyAlignment="1" applyProtection="1">
      <alignment vertical="top" wrapText="1"/>
      <protection hidden="1"/>
    </xf>
    <xf numFmtId="0" fontId="3" fillId="5" borderId="1" xfId="0" applyFont="1" applyFill="1" applyBorder="1" applyAlignment="1" applyProtection="1">
      <alignment vertical="top" wrapText="1"/>
      <protection hidden="1"/>
    </xf>
    <xf numFmtId="0" fontId="3" fillId="5" borderId="1" xfId="2" applyNumberFormat="1" applyFont="1" applyFill="1" applyBorder="1" applyAlignment="1" applyProtection="1">
      <alignment horizontal="left" vertical="top" wrapText="1"/>
      <protection locked="0" hidden="1"/>
    </xf>
    <xf numFmtId="10" fontId="3" fillId="5" borderId="1" xfId="2" applyNumberFormat="1" applyFont="1" applyFill="1" applyBorder="1" applyAlignment="1" applyProtection="1">
      <alignment horizontal="left" vertical="top" wrapText="1"/>
      <protection hidden="1"/>
    </xf>
    <xf numFmtId="165" fontId="8" fillId="6" borderId="2" xfId="1" applyNumberFormat="1" applyFont="1" applyFill="1" applyBorder="1" applyAlignment="1" applyProtection="1">
      <alignment horizontal="left" vertical="center" wrapText="1"/>
    </xf>
    <xf numFmtId="0" fontId="9" fillId="2" borderId="0" xfId="3" applyFont="1" applyFill="1" applyBorder="1" applyAlignment="1">
      <alignment horizontal="left" vertical="top" wrapText="1"/>
    </xf>
    <xf numFmtId="0" fontId="9" fillId="0" borderId="0" xfId="0" applyFont="1" applyBorder="1" applyAlignment="1">
      <alignment horizontal="left" wrapText="1"/>
    </xf>
    <xf numFmtId="0" fontId="9" fillId="0" borderId="0" xfId="0" applyFont="1" applyAlignment="1">
      <alignment horizontal="left" wrapText="1"/>
    </xf>
    <xf numFmtId="0" fontId="9" fillId="0" borderId="0" xfId="0" applyFont="1" applyAlignment="1">
      <alignment horizontal="left"/>
    </xf>
    <xf numFmtId="165" fontId="8" fillId="12" borderId="2" xfId="1" applyNumberFormat="1" applyFont="1" applyFill="1" applyBorder="1" applyAlignment="1" applyProtection="1">
      <alignment horizontal="left" vertical="center" wrapText="1"/>
    </xf>
    <xf numFmtId="165" fontId="8" fillId="3" borderId="2" xfId="1" applyNumberFormat="1" applyFont="1" applyFill="1" applyBorder="1" applyAlignment="1" applyProtection="1">
      <alignment horizontal="left" vertical="center" wrapText="1"/>
    </xf>
    <xf numFmtId="9" fontId="8" fillId="3" borderId="2" xfId="1" applyNumberFormat="1" applyFont="1" applyFill="1" applyBorder="1" applyAlignment="1" applyProtection="1">
      <alignment horizontal="left" vertical="center" wrapText="1"/>
    </xf>
    <xf numFmtId="0" fontId="9" fillId="2" borderId="2" xfId="3" applyFont="1" applyFill="1" applyBorder="1" applyAlignment="1">
      <alignment horizontal="left" vertical="top" wrapText="1"/>
    </xf>
    <xf numFmtId="165" fontId="9" fillId="2" borderId="2" xfId="1" applyNumberFormat="1" applyFont="1" applyFill="1" applyBorder="1" applyAlignment="1" applyProtection="1">
      <alignment horizontal="left" vertical="center" wrapText="1"/>
    </xf>
    <xf numFmtId="166" fontId="9" fillId="8" borderId="2" xfId="1" applyNumberFormat="1" applyFont="1" applyFill="1" applyBorder="1" applyAlignment="1" applyProtection="1">
      <alignment horizontal="left" vertical="center"/>
    </xf>
    <xf numFmtId="166" fontId="9" fillId="7" borderId="2" xfId="1" applyNumberFormat="1" applyFont="1" applyFill="1" applyBorder="1" applyAlignment="1" applyProtection="1">
      <alignment horizontal="left" vertical="center"/>
    </xf>
    <xf numFmtId="165" fontId="9" fillId="2" borderId="2" xfId="1" applyNumberFormat="1" applyFont="1" applyFill="1" applyBorder="1" applyAlignment="1" applyProtection="1">
      <alignment horizontal="left" vertical="top"/>
    </xf>
    <xf numFmtId="9" fontId="9" fillId="2" borderId="2" xfId="1" applyNumberFormat="1" applyFont="1" applyFill="1" applyBorder="1" applyAlignment="1" applyProtection="1">
      <alignment horizontal="left" vertical="top"/>
    </xf>
    <xf numFmtId="0" fontId="9" fillId="8" borderId="2" xfId="3" applyFont="1" applyFill="1" applyBorder="1" applyAlignment="1">
      <alignment horizontal="left" vertical="center" wrapText="1"/>
    </xf>
    <xf numFmtId="165" fontId="9" fillId="9" borderId="2" xfId="1" applyNumberFormat="1" applyFont="1" applyFill="1" applyBorder="1" applyAlignment="1" applyProtection="1">
      <alignment horizontal="left" vertical="center" wrapText="1"/>
    </xf>
    <xf numFmtId="164" fontId="8" fillId="11" borderId="2" xfId="1" applyFont="1" applyFill="1" applyBorder="1" applyAlignment="1" applyProtection="1">
      <alignment horizontal="left" vertical="top" wrapText="1"/>
    </xf>
    <xf numFmtId="167" fontId="8" fillId="11" borderId="2" xfId="1" applyNumberFormat="1" applyFont="1" applyFill="1" applyBorder="1" applyAlignment="1" applyProtection="1">
      <alignment horizontal="left" vertical="top"/>
    </xf>
    <xf numFmtId="165" fontId="9" fillId="0" borderId="2" xfId="1" applyNumberFormat="1" applyFont="1" applyFill="1" applyBorder="1" applyAlignment="1" applyProtection="1">
      <alignment horizontal="left" vertical="top" wrapText="1"/>
    </xf>
    <xf numFmtId="167" fontId="8" fillId="3" borderId="2" xfId="1" applyNumberFormat="1" applyFont="1" applyFill="1" applyBorder="1" applyAlignment="1" applyProtection="1">
      <alignment horizontal="left" vertical="top"/>
    </xf>
    <xf numFmtId="10" fontId="9" fillId="0" borderId="2" xfId="1" applyNumberFormat="1" applyFont="1" applyFill="1" applyBorder="1" applyAlignment="1" applyProtection="1">
      <alignment horizontal="left" vertical="top"/>
    </xf>
    <xf numFmtId="165" fontId="9" fillId="3" borderId="2" xfId="1" applyNumberFormat="1" applyFont="1" applyFill="1" applyBorder="1" applyAlignment="1" applyProtection="1">
      <alignment horizontal="left" vertical="top"/>
    </xf>
    <xf numFmtId="165" fontId="9" fillId="0" borderId="2" xfId="1" applyNumberFormat="1" applyFont="1" applyFill="1" applyBorder="1" applyAlignment="1" applyProtection="1">
      <alignment horizontal="left" vertical="top"/>
    </xf>
    <xf numFmtId="2" fontId="9" fillId="3" borderId="2" xfId="4" applyNumberFormat="1" applyFont="1" applyFill="1" applyBorder="1" applyAlignment="1" applyProtection="1">
      <alignment horizontal="left" vertical="top"/>
    </xf>
    <xf numFmtId="164" fontId="9" fillId="3" borderId="2" xfId="4" applyNumberFormat="1" applyFont="1" applyFill="1" applyBorder="1" applyAlignment="1" applyProtection="1">
      <alignment horizontal="left" vertical="top"/>
    </xf>
    <xf numFmtId="0" fontId="9" fillId="2" borderId="3" xfId="3" applyFont="1" applyFill="1" applyBorder="1" applyAlignment="1">
      <alignment horizontal="left" vertical="top" wrapText="1"/>
    </xf>
    <xf numFmtId="0" fontId="9" fillId="13" borderId="2" xfId="3" applyFont="1" applyFill="1" applyBorder="1" applyAlignment="1">
      <alignment horizontal="left" vertical="top" wrapText="1"/>
    </xf>
    <xf numFmtId="0" fontId="8" fillId="2" borderId="2" xfId="3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9" fontId="10" fillId="2" borderId="2" xfId="1" applyNumberFormat="1" applyFont="1" applyFill="1" applyBorder="1" applyAlignment="1" applyProtection="1">
      <alignment horizontal="left" vertical="top"/>
    </xf>
    <xf numFmtId="0" fontId="11" fillId="6" borderId="2" xfId="0" applyFont="1" applyFill="1" applyBorder="1" applyAlignment="1">
      <alignment horizontal="left" vertical="center" wrapText="1"/>
    </xf>
    <xf numFmtId="0" fontId="11" fillId="6" borderId="2" xfId="0" applyFont="1" applyFill="1" applyBorder="1" applyAlignment="1">
      <alignment horizontal="center" vertical="center" wrapText="1"/>
    </xf>
    <xf numFmtId="0" fontId="12" fillId="0" borderId="0" xfId="0" applyFont="1" applyBorder="1" applyAlignment="1">
      <alignment horizontal="center" wrapText="1"/>
    </xf>
    <xf numFmtId="0" fontId="12" fillId="0" borderId="0" xfId="0" applyFont="1" applyAlignment="1">
      <alignment wrapText="1"/>
    </xf>
    <xf numFmtId="1" fontId="11" fillId="0" borderId="2" xfId="0" applyNumberFormat="1" applyFont="1" applyBorder="1" applyAlignment="1">
      <alignment horizontal="left" vertical="center" wrapText="1"/>
    </xf>
    <xf numFmtId="0" fontId="11" fillId="0" borderId="2" xfId="0" applyFont="1" applyFill="1" applyBorder="1" applyAlignment="1">
      <alignment horizontal="left" vertical="center" wrapText="1"/>
    </xf>
    <xf numFmtId="2" fontId="12" fillId="2" borderId="2" xfId="0" applyNumberFormat="1" applyFont="1" applyFill="1" applyBorder="1" applyAlignment="1">
      <alignment horizontal="center" wrapText="1"/>
    </xf>
    <xf numFmtId="0" fontId="12" fillId="2" borderId="2" xfId="0" applyFont="1" applyFill="1" applyBorder="1" applyAlignment="1">
      <alignment horizontal="left" wrapText="1"/>
    </xf>
    <xf numFmtId="2" fontId="12" fillId="2" borderId="2" xfId="0" applyNumberFormat="1" applyFont="1" applyFill="1" applyBorder="1" applyAlignment="1">
      <alignment horizontal="left" wrapText="1"/>
    </xf>
    <xf numFmtId="1" fontId="12" fillId="2" borderId="2" xfId="0" applyNumberFormat="1" applyFont="1" applyFill="1" applyBorder="1" applyAlignment="1">
      <alignment horizontal="left" wrapText="1"/>
    </xf>
    <xf numFmtId="0" fontId="12" fillId="2" borderId="2" xfId="0" applyFont="1" applyFill="1" applyBorder="1" applyAlignment="1">
      <alignment horizontal="left" vertical="center" wrapText="1"/>
    </xf>
    <xf numFmtId="0" fontId="12" fillId="9" borderId="2" xfId="0" applyFont="1" applyFill="1" applyBorder="1" applyAlignment="1">
      <alignment horizontal="left" wrapText="1"/>
    </xf>
    <xf numFmtId="0" fontId="11" fillId="10" borderId="2" xfId="0" applyFont="1" applyFill="1" applyBorder="1" applyAlignment="1">
      <alignment horizontal="left" vertical="center" wrapText="1"/>
    </xf>
    <xf numFmtId="2" fontId="12" fillId="9" borderId="2" xfId="0" applyNumberFormat="1" applyFont="1" applyFill="1" applyBorder="1" applyAlignment="1">
      <alignment horizontal="left" wrapText="1"/>
    </xf>
    <xf numFmtId="1" fontId="12" fillId="9" borderId="2" xfId="0" applyNumberFormat="1" applyFont="1" applyFill="1" applyBorder="1" applyAlignment="1">
      <alignment horizontal="left" wrapText="1"/>
    </xf>
    <xf numFmtId="0" fontId="12" fillId="9" borderId="2" xfId="0" applyFont="1" applyFill="1" applyBorder="1" applyAlignment="1">
      <alignment horizontal="left" vertical="center" wrapText="1"/>
    </xf>
    <xf numFmtId="1" fontId="11" fillId="0" borderId="2" xfId="0" applyNumberFormat="1" applyFont="1" applyBorder="1" applyAlignment="1">
      <alignment horizontal="center" vertical="center" wrapText="1"/>
    </xf>
    <xf numFmtId="0" fontId="12" fillId="8" borderId="2" xfId="0" applyFont="1" applyFill="1" applyBorder="1" applyAlignment="1">
      <alignment horizontal="left" vertical="center" wrapText="1"/>
    </xf>
    <xf numFmtId="0" fontId="12" fillId="10" borderId="2" xfId="0" applyFont="1" applyFill="1" applyBorder="1" applyAlignment="1">
      <alignment horizontal="left" vertical="center" wrapText="1"/>
    </xf>
    <xf numFmtId="0" fontId="12" fillId="0" borderId="2" xfId="0" applyFont="1" applyBorder="1" applyAlignment="1">
      <alignment horizontal="left" vertical="center" wrapText="1"/>
    </xf>
    <xf numFmtId="1" fontId="11" fillId="0" borderId="2" xfId="0" applyNumberFormat="1" applyFont="1" applyFill="1" applyBorder="1" applyAlignment="1">
      <alignment horizontal="left" vertical="center" wrapText="1"/>
    </xf>
    <xf numFmtId="1" fontId="13" fillId="2" borderId="2" xfId="0" applyNumberFormat="1" applyFont="1" applyFill="1" applyBorder="1" applyAlignment="1">
      <alignment horizontal="center" vertical="center" wrapText="1"/>
    </xf>
    <xf numFmtId="0" fontId="12" fillId="0" borderId="0" xfId="0" applyFont="1" applyBorder="1" applyAlignment="1">
      <alignment horizontal="left" wrapText="1"/>
    </xf>
    <xf numFmtId="168" fontId="11" fillId="0" borderId="2" xfId="0" applyNumberFormat="1" applyFont="1" applyBorder="1" applyAlignment="1">
      <alignment horizontal="left" vertical="center" wrapText="1"/>
    </xf>
    <xf numFmtId="168" fontId="12" fillId="2" borderId="2" xfId="0" applyNumberFormat="1" applyFont="1" applyFill="1" applyBorder="1" applyAlignment="1">
      <alignment horizontal="left" wrapText="1"/>
    </xf>
    <xf numFmtId="168" fontId="12" fillId="9" borderId="2" xfId="0" applyNumberFormat="1" applyFont="1" applyFill="1" applyBorder="1" applyAlignment="1">
      <alignment horizontal="left" wrapText="1"/>
    </xf>
    <xf numFmtId="168" fontId="11" fillId="0" borderId="2" xfId="0" applyNumberFormat="1" applyFont="1" applyFill="1" applyBorder="1" applyAlignment="1">
      <alignment horizontal="left" vertical="center" wrapText="1"/>
    </xf>
    <xf numFmtId="0" fontId="12" fillId="13" borderId="2" xfId="0" applyFont="1" applyFill="1" applyBorder="1" applyAlignment="1">
      <alignment horizontal="left" vertical="center" wrapText="1"/>
    </xf>
    <xf numFmtId="165" fontId="8" fillId="6" borderId="2" xfId="1" applyNumberFormat="1" applyFont="1" applyFill="1" applyBorder="1" applyAlignment="1" applyProtection="1">
      <alignment horizontal="left" vertical="center" wrapText="1"/>
    </xf>
    <xf numFmtId="0" fontId="9" fillId="11" borderId="2" xfId="0" applyNumberFormat="1" applyFont="1" applyFill="1" applyBorder="1" applyAlignment="1">
      <alignment horizontal="left"/>
    </xf>
    <xf numFmtId="0" fontId="9" fillId="0" borderId="2" xfId="0" applyNumberFormat="1" applyFont="1" applyFill="1" applyBorder="1" applyAlignment="1">
      <alignment horizontal="left"/>
    </xf>
    <xf numFmtId="165" fontId="8" fillId="0" borderId="2" xfId="1" applyNumberFormat="1" applyFont="1" applyFill="1" applyBorder="1" applyAlignment="1" applyProtection="1">
      <alignment horizontal="left" vertical="center"/>
    </xf>
    <xf numFmtId="0" fontId="3" fillId="4" borderId="1" xfId="0" applyFont="1" applyFill="1" applyBorder="1" applyAlignment="1" applyProtection="1">
      <alignment horizontal="center" vertical="top" wrapText="1"/>
      <protection hidden="1"/>
    </xf>
  </cellXfs>
  <cellStyles count="5">
    <cellStyle name="Comma" xfId="1" builtinId="3"/>
    <cellStyle name="Excel_BuiltIn_Comma 2" xfId="4"/>
    <cellStyle name="Normal" xfId="0" builtinId="0"/>
    <cellStyle name="Normal_senp__eligibility" xfId="3"/>
    <cellStyle name="Percent" xfId="2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CC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BFBFB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B2B2B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G45"/>
  <sheetViews>
    <sheetView tabSelected="1" zoomScaleNormal="100" workbookViewId="0">
      <selection activeCell="E32" sqref="E32"/>
    </sheetView>
  </sheetViews>
  <sheetFormatPr defaultColWidth="31.28515625" defaultRowHeight="15.75"/>
  <cols>
    <col min="1" max="1" width="40" style="21" customWidth="1"/>
    <col min="2" max="2" width="10.28515625" style="21" customWidth="1"/>
    <col min="3" max="3" width="12" style="21" customWidth="1"/>
    <col min="4" max="4" width="14.140625" style="21" customWidth="1"/>
    <col min="5" max="5" width="13.28515625" style="21" customWidth="1"/>
    <col min="6" max="6" width="17" style="21" customWidth="1"/>
    <col min="7" max="7" width="13.140625" style="21" customWidth="1"/>
    <col min="8" max="8" width="34.42578125" style="21" customWidth="1"/>
    <col min="9" max="9" width="31" style="21" customWidth="1"/>
    <col min="10" max="10" width="33.5703125" style="21" customWidth="1"/>
    <col min="11" max="11" width="11" style="21" customWidth="1"/>
    <col min="12" max="12" width="11.5703125" style="21" customWidth="1"/>
    <col min="13" max="13" width="12" style="21" customWidth="1"/>
    <col min="14" max="231" width="31.28515625" style="21"/>
    <col min="232" max="239" width="31.28515625" style="22"/>
    <col min="240" max="241" width="31.28515625" style="23"/>
    <col min="242" max="16384" width="31.28515625" style="24"/>
  </cols>
  <sheetData>
    <row r="1" spans="1:241">
      <c r="A1" s="20" t="s">
        <v>58</v>
      </c>
      <c r="B1" s="78" t="s">
        <v>50</v>
      </c>
      <c r="C1" s="78"/>
      <c r="D1" s="78"/>
      <c r="E1" s="78"/>
      <c r="F1" s="78"/>
      <c r="I1" s="47" t="s">
        <v>65</v>
      </c>
      <c r="J1" s="47" t="s">
        <v>66</v>
      </c>
    </row>
    <row r="2" spans="1:241">
      <c r="A2" s="25" t="s">
        <v>58</v>
      </c>
      <c r="B2" s="26" t="s">
        <v>59</v>
      </c>
      <c r="C2" s="26" t="s">
        <v>51</v>
      </c>
      <c r="D2" s="26" t="s">
        <v>34</v>
      </c>
      <c r="E2" s="27" t="s">
        <v>0</v>
      </c>
      <c r="F2" s="26" t="s">
        <v>35</v>
      </c>
      <c r="H2" s="45" t="s">
        <v>62</v>
      </c>
      <c r="I2" s="28">
        <v>18257274</v>
      </c>
      <c r="J2" s="46"/>
    </row>
    <row r="3" spans="1:241">
      <c r="A3" s="29" t="s">
        <v>45</v>
      </c>
      <c r="B3" s="30">
        <v>-541042.75</v>
      </c>
      <c r="C3" s="31">
        <v>2676822</v>
      </c>
      <c r="D3" s="32">
        <f t="shared" ref="D3:D7" si="0">AVERAGE(B3:C3)</f>
        <v>1067889.625</v>
      </c>
      <c r="E3" s="33">
        <v>1</v>
      </c>
      <c r="F3" s="32">
        <f t="shared" ref="F3:F7" si="1">E3*D3</f>
        <v>1067889.625</v>
      </c>
      <c r="H3" s="45" t="s">
        <v>63</v>
      </c>
      <c r="I3" s="28">
        <v>34754785</v>
      </c>
      <c r="J3" s="46"/>
    </row>
    <row r="4" spans="1:241">
      <c r="A4" s="29" t="s">
        <v>46</v>
      </c>
      <c r="B4" s="30">
        <v>3289540</v>
      </c>
      <c r="C4" s="31">
        <v>3318270</v>
      </c>
      <c r="D4" s="32">
        <f t="shared" si="0"/>
        <v>3303905</v>
      </c>
      <c r="E4" s="33">
        <v>1</v>
      </c>
      <c r="F4" s="32">
        <f t="shared" si="1"/>
        <v>3303905</v>
      </c>
      <c r="H4" s="45" t="s">
        <v>64</v>
      </c>
      <c r="I4" s="28">
        <f>6000+6000+66000+20000+32000+176000+61937+320121+962169</f>
        <v>1650227</v>
      </c>
      <c r="J4" s="28">
        <f>189604+189604+189604+189604+189604+189604+189604+235604+235604+235604</f>
        <v>2034040</v>
      </c>
    </row>
    <row r="5" spans="1:241">
      <c r="A5" s="29" t="s">
        <v>53</v>
      </c>
      <c r="B5" s="30">
        <v>1107624</v>
      </c>
      <c r="C5" s="31">
        <v>1265043</v>
      </c>
      <c r="D5" s="32">
        <f t="shared" si="0"/>
        <v>1186333.5</v>
      </c>
      <c r="E5" s="33">
        <v>1</v>
      </c>
      <c r="F5" s="32">
        <f t="shared" si="1"/>
        <v>1186333.5</v>
      </c>
    </row>
    <row r="6" spans="1:241">
      <c r="A6" s="29" t="s">
        <v>52</v>
      </c>
      <c r="B6" s="34">
        <f>360000+450000+240000</f>
        <v>1050000</v>
      </c>
      <c r="C6" s="30">
        <f>50000+1440000+1800000+24285+960000+756</f>
        <v>4275041</v>
      </c>
      <c r="D6" s="32">
        <f t="shared" si="0"/>
        <v>2662520.5</v>
      </c>
      <c r="E6" s="33">
        <v>1</v>
      </c>
      <c r="F6" s="32">
        <f t="shared" si="1"/>
        <v>2662520.5</v>
      </c>
      <c r="H6" s="48" t="s">
        <v>58</v>
      </c>
      <c r="I6" s="48" t="s">
        <v>71</v>
      </c>
      <c r="J6" s="21" t="s">
        <v>75</v>
      </c>
    </row>
    <row r="7" spans="1:241">
      <c r="A7" s="35" t="s">
        <v>36</v>
      </c>
      <c r="B7" s="30">
        <v>-919870</v>
      </c>
      <c r="C7" s="30">
        <v>-515020</v>
      </c>
      <c r="D7" s="32">
        <f t="shared" si="0"/>
        <v>-717445</v>
      </c>
      <c r="E7" s="33">
        <v>1</v>
      </c>
      <c r="F7" s="32">
        <f t="shared" si="1"/>
        <v>-717445</v>
      </c>
      <c r="H7" s="28" t="s">
        <v>60</v>
      </c>
      <c r="I7" s="28" t="s">
        <v>72</v>
      </c>
      <c r="J7" s="21" t="s">
        <v>76</v>
      </c>
    </row>
    <row r="8" spans="1:241">
      <c r="A8" s="25" t="s">
        <v>60</v>
      </c>
      <c r="B8" s="26" t="s">
        <v>59</v>
      </c>
      <c r="C8" s="26" t="s">
        <v>51</v>
      </c>
      <c r="D8" s="26" t="s">
        <v>34</v>
      </c>
      <c r="E8" s="27" t="s">
        <v>0</v>
      </c>
      <c r="F8" s="26" t="s">
        <v>35</v>
      </c>
      <c r="H8" s="28" t="s">
        <v>67</v>
      </c>
      <c r="I8" s="28"/>
    </row>
    <row r="9" spans="1:241">
      <c r="A9" s="29" t="s">
        <v>45</v>
      </c>
      <c r="B9" s="30">
        <v>2534216.23</v>
      </c>
      <c r="C9" s="31">
        <v>2566583</v>
      </c>
      <c r="D9" s="32">
        <f t="shared" ref="D9:D11" si="2">AVERAGE(B9:C9)</f>
        <v>2550399.6150000002</v>
      </c>
      <c r="E9" s="33">
        <v>1</v>
      </c>
      <c r="F9" s="32">
        <f t="shared" ref="F9:F11" si="3">E9*D9</f>
        <v>2550399.6150000002</v>
      </c>
      <c r="H9" s="28" t="s">
        <v>68</v>
      </c>
      <c r="I9" s="28" t="s">
        <v>73</v>
      </c>
    </row>
    <row r="10" spans="1:241">
      <c r="A10" s="29" t="s">
        <v>61</v>
      </c>
      <c r="B10" s="30">
        <f>2163048+506000+112200</f>
        <v>2781248</v>
      </c>
      <c r="C10" s="31">
        <f>2163048+552000+104550</f>
        <v>2819598</v>
      </c>
      <c r="D10" s="32">
        <f t="shared" si="2"/>
        <v>2800423</v>
      </c>
      <c r="E10" s="49">
        <v>0</v>
      </c>
      <c r="F10" s="32">
        <f t="shared" si="3"/>
        <v>0</v>
      </c>
      <c r="H10" s="28" t="s">
        <v>69</v>
      </c>
      <c r="I10" s="28" t="s">
        <v>74</v>
      </c>
    </row>
    <row r="11" spans="1:241">
      <c r="A11" s="35" t="s">
        <v>36</v>
      </c>
      <c r="B11" s="30">
        <v>-476101</v>
      </c>
      <c r="C11" s="30">
        <v>-493811</v>
      </c>
      <c r="D11" s="32">
        <f t="shared" si="2"/>
        <v>-484956</v>
      </c>
      <c r="E11" s="33">
        <v>1</v>
      </c>
      <c r="F11" s="32">
        <f t="shared" si="3"/>
        <v>-484956</v>
      </c>
      <c r="H11" s="28" t="s">
        <v>70</v>
      </c>
      <c r="I11" s="28" t="s">
        <v>73</v>
      </c>
    </row>
    <row r="12" spans="1:241">
      <c r="A12" s="25" t="s">
        <v>67</v>
      </c>
      <c r="B12" s="26" t="s">
        <v>59</v>
      </c>
      <c r="C12" s="26" t="s">
        <v>51</v>
      </c>
      <c r="D12" s="26" t="s">
        <v>34</v>
      </c>
      <c r="E12" s="27" t="s">
        <v>0</v>
      </c>
      <c r="F12" s="26" t="s">
        <v>35</v>
      </c>
      <c r="HV12" s="22"/>
      <c r="HW12" s="22"/>
      <c r="ID12" s="23"/>
      <c r="IE12" s="23"/>
      <c r="IF12" s="24"/>
      <c r="IG12" s="24"/>
    </row>
    <row r="13" spans="1:241">
      <c r="A13" s="29" t="s">
        <v>77</v>
      </c>
      <c r="B13" s="30">
        <v>360000</v>
      </c>
      <c r="C13" s="31">
        <v>1440000</v>
      </c>
      <c r="D13" s="32">
        <f t="shared" ref="D13:D18" si="4">AVERAGE(B13:C13)</f>
        <v>900000</v>
      </c>
      <c r="E13" s="33">
        <v>0</v>
      </c>
      <c r="F13" s="32">
        <f t="shared" ref="F13:F18" si="5">E13*D13</f>
        <v>0</v>
      </c>
      <c r="HV13" s="22"/>
      <c r="HW13" s="22"/>
      <c r="ID13" s="23"/>
      <c r="IE13" s="23"/>
      <c r="IF13" s="24"/>
      <c r="IG13" s="24"/>
    </row>
    <row r="14" spans="1:241">
      <c r="A14" s="29" t="s">
        <v>61</v>
      </c>
      <c r="B14" s="30">
        <f>9000+12000+12000</f>
        <v>33000</v>
      </c>
      <c r="C14" s="31">
        <f>9000+12000+12000</f>
        <v>33000</v>
      </c>
      <c r="D14" s="32">
        <f t="shared" si="4"/>
        <v>33000</v>
      </c>
      <c r="E14" s="49">
        <v>0</v>
      </c>
      <c r="F14" s="32">
        <f t="shared" si="5"/>
        <v>0</v>
      </c>
      <c r="HV14" s="22"/>
      <c r="HW14" s="22"/>
      <c r="ID14" s="23"/>
      <c r="IE14" s="23"/>
      <c r="IF14" s="24"/>
      <c r="IG14" s="24"/>
    </row>
    <row r="15" spans="1:241">
      <c r="A15" s="29" t="s">
        <v>78</v>
      </c>
      <c r="B15" s="30">
        <v>1756099</v>
      </c>
      <c r="C15" s="31">
        <v>1288771</v>
      </c>
      <c r="D15" s="32">
        <f t="shared" ref="D15:D16" si="6">AVERAGE(B15:C15)</f>
        <v>1522435</v>
      </c>
      <c r="E15" s="33">
        <v>1</v>
      </c>
      <c r="F15" s="32">
        <f t="shared" ref="F15:F16" si="7">E15*D15</f>
        <v>1522435</v>
      </c>
      <c r="HV15" s="22"/>
      <c r="HW15" s="22"/>
      <c r="ID15" s="23"/>
      <c r="IE15" s="23"/>
      <c r="IF15" s="24"/>
      <c r="IG15" s="24"/>
    </row>
    <row r="16" spans="1:241">
      <c r="A16" s="35" t="s">
        <v>79</v>
      </c>
      <c r="B16" s="30">
        <v>12205</v>
      </c>
      <c r="C16" s="30">
        <v>20743</v>
      </c>
      <c r="D16" s="32">
        <f t="shared" si="6"/>
        <v>16474</v>
      </c>
      <c r="E16" s="33">
        <v>1</v>
      </c>
      <c r="F16" s="32">
        <f t="shared" si="7"/>
        <v>16474</v>
      </c>
      <c r="HV16" s="22"/>
      <c r="HW16" s="22"/>
      <c r="ID16" s="23"/>
      <c r="IE16" s="23"/>
      <c r="IF16" s="24"/>
      <c r="IG16" s="24"/>
    </row>
    <row r="17" spans="1:241">
      <c r="A17" s="35" t="s">
        <v>80</v>
      </c>
      <c r="B17" s="30">
        <f>24507+17951+3931</f>
        <v>46389</v>
      </c>
      <c r="C17" s="30">
        <f>9656+18000+50000</f>
        <v>77656</v>
      </c>
      <c r="D17" s="32">
        <f t="shared" ref="D17" si="8">AVERAGE(B17:C17)</f>
        <v>62022.5</v>
      </c>
      <c r="E17" s="33">
        <v>0.25</v>
      </c>
      <c r="F17" s="32">
        <f t="shared" ref="F17" si="9">E17*D17</f>
        <v>15505.625</v>
      </c>
      <c r="HV17" s="22"/>
      <c r="HW17" s="22"/>
      <c r="ID17" s="23"/>
      <c r="IE17" s="23"/>
      <c r="IF17" s="24"/>
      <c r="IG17" s="24"/>
    </row>
    <row r="18" spans="1:241">
      <c r="A18" s="35" t="s">
        <v>36</v>
      </c>
      <c r="B18" s="30">
        <v>-431241</v>
      </c>
      <c r="C18" s="30">
        <v>-591751</v>
      </c>
      <c r="D18" s="32">
        <f t="shared" si="4"/>
        <v>-511496</v>
      </c>
      <c r="E18" s="33">
        <v>1</v>
      </c>
      <c r="F18" s="32">
        <f t="shared" si="5"/>
        <v>-511496</v>
      </c>
      <c r="HV18" s="22"/>
      <c r="HW18" s="22"/>
      <c r="ID18" s="23"/>
      <c r="IE18" s="23"/>
      <c r="IF18" s="24"/>
      <c r="IG18" s="24"/>
    </row>
    <row r="19" spans="1:241">
      <c r="A19" s="25" t="s">
        <v>70</v>
      </c>
      <c r="B19" s="26" t="s">
        <v>59</v>
      </c>
      <c r="C19" s="26" t="s">
        <v>51</v>
      </c>
      <c r="D19" s="26" t="s">
        <v>34</v>
      </c>
      <c r="E19" s="27" t="s">
        <v>0</v>
      </c>
      <c r="F19" s="26" t="s">
        <v>35</v>
      </c>
      <c r="HV19" s="22"/>
      <c r="HW19" s="22"/>
      <c r="ID19" s="23"/>
      <c r="IE19" s="23"/>
      <c r="IF19" s="24"/>
      <c r="IG19" s="24"/>
    </row>
    <row r="20" spans="1:241">
      <c r="A20" s="29" t="s">
        <v>78</v>
      </c>
      <c r="B20" s="30">
        <v>1290736</v>
      </c>
      <c r="C20" s="31">
        <v>825236</v>
      </c>
      <c r="D20" s="32">
        <f t="shared" ref="D20:D23" si="10">AVERAGE(B20:C20)</f>
        <v>1057986</v>
      </c>
      <c r="E20" s="33">
        <v>1</v>
      </c>
      <c r="F20" s="32">
        <f t="shared" ref="F20:F23" si="11">E20*D20</f>
        <v>1057986</v>
      </c>
      <c r="HV20" s="22"/>
      <c r="HW20" s="22"/>
      <c r="ID20" s="23"/>
      <c r="IE20" s="23"/>
      <c r="IF20" s="24"/>
      <c r="IG20" s="24"/>
    </row>
    <row r="21" spans="1:241">
      <c r="A21" s="35" t="s">
        <v>46</v>
      </c>
      <c r="B21" s="30">
        <v>12729</v>
      </c>
      <c r="C21" s="30">
        <v>14975</v>
      </c>
      <c r="D21" s="32">
        <f t="shared" si="10"/>
        <v>13852</v>
      </c>
      <c r="E21" s="33">
        <v>1</v>
      </c>
      <c r="F21" s="32">
        <f t="shared" si="11"/>
        <v>13852</v>
      </c>
      <c r="HV21" s="22"/>
      <c r="HW21" s="22"/>
      <c r="ID21" s="23"/>
      <c r="IE21" s="23"/>
      <c r="IF21" s="24"/>
      <c r="IG21" s="24"/>
    </row>
    <row r="22" spans="1:241">
      <c r="A22" s="35" t="s">
        <v>80</v>
      </c>
      <c r="B22" s="30">
        <f>10760+1671+18000+2886</f>
        <v>33317</v>
      </c>
      <c r="C22" s="30">
        <v>3500</v>
      </c>
      <c r="D22" s="32">
        <f t="shared" si="10"/>
        <v>18408.5</v>
      </c>
      <c r="E22" s="33">
        <v>0.25</v>
      </c>
      <c r="F22" s="32">
        <f t="shared" si="11"/>
        <v>4602.125</v>
      </c>
      <c r="HV22" s="22"/>
      <c r="HW22" s="22"/>
      <c r="ID22" s="23"/>
      <c r="IE22" s="23"/>
      <c r="IF22" s="24"/>
      <c r="IG22" s="24"/>
    </row>
    <row r="23" spans="1:241">
      <c r="A23" s="35" t="s">
        <v>36</v>
      </c>
      <c r="B23" s="30">
        <v>-379005</v>
      </c>
      <c r="C23" s="30">
        <v>-358537</v>
      </c>
      <c r="D23" s="32">
        <f t="shared" si="10"/>
        <v>-368771</v>
      </c>
      <c r="E23" s="33">
        <v>1</v>
      </c>
      <c r="F23" s="32">
        <f t="shared" si="11"/>
        <v>-368771</v>
      </c>
      <c r="HV23" s="22"/>
      <c r="HW23" s="22"/>
      <c r="ID23" s="23"/>
      <c r="IE23" s="23"/>
      <c r="IF23" s="24"/>
      <c r="IG23" s="24"/>
    </row>
    <row r="24" spans="1:241">
      <c r="A24" s="25" t="s">
        <v>69</v>
      </c>
      <c r="B24" s="26" t="s">
        <v>59</v>
      </c>
      <c r="C24" s="26" t="s">
        <v>51</v>
      </c>
      <c r="D24" s="26" t="s">
        <v>34</v>
      </c>
      <c r="E24" s="27" t="s">
        <v>0</v>
      </c>
      <c r="F24" s="26" t="s">
        <v>35</v>
      </c>
      <c r="HV24" s="22"/>
      <c r="HW24" s="22"/>
      <c r="ID24" s="23"/>
      <c r="IE24" s="23"/>
      <c r="IF24" s="24"/>
      <c r="IG24" s="24"/>
    </row>
    <row r="25" spans="1:241">
      <c r="A25" s="29" t="s">
        <v>77</v>
      </c>
      <c r="B25" s="30">
        <v>240000</v>
      </c>
      <c r="C25" s="31">
        <v>960000</v>
      </c>
      <c r="D25" s="32">
        <f t="shared" ref="D25" si="12">AVERAGE(B25:C25)</f>
        <v>600000</v>
      </c>
      <c r="E25" s="33">
        <v>0</v>
      </c>
      <c r="F25" s="32">
        <f t="shared" ref="F25" si="13">E25*D25</f>
        <v>0</v>
      </c>
      <c r="HV25" s="22"/>
      <c r="HW25" s="22"/>
      <c r="ID25" s="23"/>
      <c r="IE25" s="23"/>
      <c r="IF25" s="24"/>
      <c r="IG25" s="24"/>
    </row>
    <row r="26" spans="1:241">
      <c r="A26" s="29" t="s">
        <v>61</v>
      </c>
      <c r="B26" s="30">
        <f>115440+388020+270000+360000+120000</f>
        <v>1253460</v>
      </c>
      <c r="C26" s="31">
        <f>115440+369540+240000+216000</f>
        <v>940980</v>
      </c>
      <c r="D26" s="32">
        <f t="shared" ref="D26:D29" si="14">AVERAGE(B26:C26)</f>
        <v>1097220</v>
      </c>
      <c r="E26" s="49">
        <v>0</v>
      </c>
      <c r="F26" s="32">
        <f t="shared" ref="F26:F29" si="15">E26*D26</f>
        <v>0</v>
      </c>
      <c r="HV26" s="22"/>
      <c r="HW26" s="22"/>
      <c r="ID26" s="23"/>
      <c r="IE26" s="23"/>
      <c r="IF26" s="24"/>
      <c r="IG26" s="24"/>
    </row>
    <row r="27" spans="1:241">
      <c r="A27" s="35" t="s">
        <v>78</v>
      </c>
      <c r="B27" s="30">
        <v>2078943</v>
      </c>
      <c r="C27" s="30">
        <v>2619283</v>
      </c>
      <c r="D27" s="32">
        <f t="shared" si="14"/>
        <v>2349113</v>
      </c>
      <c r="E27" s="33">
        <v>1</v>
      </c>
      <c r="F27" s="32">
        <f t="shared" si="15"/>
        <v>2349113</v>
      </c>
      <c r="HV27" s="22"/>
      <c r="HW27" s="22"/>
      <c r="ID27" s="23"/>
      <c r="IE27" s="23"/>
      <c r="IF27" s="24"/>
      <c r="IG27" s="24"/>
    </row>
    <row r="28" spans="1:241">
      <c r="A28" s="35" t="s">
        <v>80</v>
      </c>
      <c r="B28" s="30">
        <f>51955+20184+120000+11500+18000</f>
        <v>221639</v>
      </c>
      <c r="C28" s="30">
        <f>10513+61204+120000</f>
        <v>191717</v>
      </c>
      <c r="D28" s="32">
        <f t="shared" si="14"/>
        <v>206678</v>
      </c>
      <c r="E28" s="33">
        <v>0.25</v>
      </c>
      <c r="F28" s="32">
        <f t="shared" si="15"/>
        <v>51669.5</v>
      </c>
      <c r="HV28" s="22"/>
      <c r="HW28" s="22"/>
      <c r="ID28" s="23"/>
      <c r="IE28" s="23"/>
      <c r="IF28" s="24"/>
      <c r="IG28" s="24"/>
    </row>
    <row r="29" spans="1:241">
      <c r="A29" s="35" t="s">
        <v>36</v>
      </c>
      <c r="B29" s="30">
        <v>-234106</v>
      </c>
      <c r="C29" s="30">
        <v>-402245</v>
      </c>
      <c r="D29" s="32">
        <f t="shared" si="14"/>
        <v>-318175.5</v>
      </c>
      <c r="E29" s="33">
        <v>1</v>
      </c>
      <c r="F29" s="32">
        <f t="shared" si="15"/>
        <v>-318175.5</v>
      </c>
      <c r="HV29" s="22"/>
      <c r="HW29" s="22"/>
      <c r="ID29" s="23"/>
      <c r="IE29" s="23"/>
      <c r="IF29" s="24"/>
      <c r="IG29" s="24"/>
    </row>
    <row r="30" spans="1:241">
      <c r="A30" s="25" t="s">
        <v>81</v>
      </c>
      <c r="B30" s="26" t="s">
        <v>59</v>
      </c>
      <c r="C30" s="26" t="s">
        <v>51</v>
      </c>
      <c r="D30" s="26" t="s">
        <v>34</v>
      </c>
      <c r="E30" s="27" t="s">
        <v>0</v>
      </c>
      <c r="F30" s="26" t="s">
        <v>35</v>
      </c>
      <c r="HV30" s="22"/>
      <c r="HW30" s="22"/>
      <c r="ID30" s="23"/>
      <c r="IE30" s="23"/>
      <c r="IF30" s="24"/>
      <c r="IG30" s="24"/>
    </row>
    <row r="31" spans="1:241">
      <c r="A31" s="29" t="s">
        <v>77</v>
      </c>
      <c r="B31" s="30">
        <v>450000</v>
      </c>
      <c r="C31" s="31">
        <v>1800000</v>
      </c>
      <c r="D31" s="32">
        <f t="shared" ref="D31:D36" si="16">AVERAGE(B31:C31)</f>
        <v>1125000</v>
      </c>
      <c r="E31" s="33">
        <v>0</v>
      </c>
      <c r="F31" s="32">
        <f t="shared" ref="F31:F36" si="17">E31*D31</f>
        <v>0</v>
      </c>
      <c r="HV31" s="22"/>
      <c r="HW31" s="22"/>
      <c r="ID31" s="23"/>
      <c r="IE31" s="23"/>
      <c r="IF31" s="24"/>
      <c r="IG31" s="24"/>
    </row>
    <row r="32" spans="1:241">
      <c r="A32" s="35" t="s">
        <v>78</v>
      </c>
      <c r="B32" s="30">
        <v>1110820</v>
      </c>
      <c r="C32" s="30">
        <v>531923</v>
      </c>
      <c r="D32" s="32">
        <f t="shared" ref="D32" si="18">AVERAGE(B32:C32)</f>
        <v>821371.5</v>
      </c>
      <c r="E32" s="33">
        <v>1</v>
      </c>
      <c r="F32" s="32">
        <f t="shared" ref="F32" si="19">E32*D32</f>
        <v>821371.5</v>
      </c>
      <c r="HV32" s="22"/>
      <c r="HW32" s="22"/>
      <c r="ID32" s="23"/>
      <c r="IE32" s="23"/>
      <c r="IF32" s="24"/>
      <c r="IG32" s="24"/>
    </row>
    <row r="33" spans="1:241">
      <c r="A33" s="35" t="s">
        <v>46</v>
      </c>
      <c r="B33" s="30">
        <v>305444</v>
      </c>
      <c r="C33" s="30">
        <v>359346</v>
      </c>
      <c r="D33" s="32">
        <f t="shared" si="16"/>
        <v>332395</v>
      </c>
      <c r="E33" s="33">
        <v>1</v>
      </c>
      <c r="F33" s="32">
        <f t="shared" si="17"/>
        <v>332395</v>
      </c>
      <c r="HV33" s="22"/>
      <c r="HW33" s="22"/>
      <c r="ID33" s="23"/>
      <c r="IE33" s="23"/>
      <c r="IF33" s="24"/>
      <c r="IG33" s="24"/>
    </row>
    <row r="34" spans="1:241">
      <c r="A34" s="35" t="s">
        <v>82</v>
      </c>
      <c r="B34" s="30">
        <v>96808</v>
      </c>
      <c r="C34" s="30">
        <v>126979</v>
      </c>
      <c r="D34" s="32">
        <f t="shared" ref="D34" si="20">AVERAGE(B34:C34)</f>
        <v>111893.5</v>
      </c>
      <c r="E34" s="33">
        <v>1</v>
      </c>
      <c r="F34" s="32">
        <f t="shared" ref="F34" si="21">E34*D34</f>
        <v>111893.5</v>
      </c>
      <c r="HV34" s="22"/>
      <c r="HW34" s="22"/>
      <c r="ID34" s="23"/>
      <c r="IE34" s="23"/>
      <c r="IF34" s="24"/>
      <c r="IG34" s="24"/>
    </row>
    <row r="35" spans="1:241">
      <c r="A35" s="35" t="s">
        <v>80</v>
      </c>
      <c r="B35" s="30">
        <f>3301+37145+18000</f>
        <v>58446</v>
      </c>
      <c r="C35" s="30">
        <f>6705+45491+8000</f>
        <v>60196</v>
      </c>
      <c r="D35" s="32">
        <f t="shared" si="16"/>
        <v>59321</v>
      </c>
      <c r="E35" s="33">
        <v>0.25</v>
      </c>
      <c r="F35" s="32">
        <f t="shared" si="17"/>
        <v>14830.25</v>
      </c>
      <c r="HV35" s="22"/>
      <c r="HW35" s="22"/>
      <c r="ID35" s="23"/>
      <c r="IE35" s="23"/>
      <c r="IF35" s="24"/>
      <c r="IG35" s="24"/>
    </row>
    <row r="36" spans="1:241">
      <c r="A36" s="35" t="s">
        <v>36</v>
      </c>
      <c r="B36" s="30">
        <v>-256175</v>
      </c>
      <c r="C36" s="30">
        <v>-504111</v>
      </c>
      <c r="D36" s="32">
        <f t="shared" si="16"/>
        <v>-380143</v>
      </c>
      <c r="E36" s="33">
        <v>1</v>
      </c>
      <c r="F36" s="32">
        <f t="shared" si="17"/>
        <v>-380143</v>
      </c>
      <c r="HV36" s="22"/>
      <c r="HW36" s="22"/>
      <c r="ID36" s="23"/>
      <c r="IE36" s="23"/>
      <c r="IF36" s="24"/>
      <c r="IG36" s="24"/>
    </row>
    <row r="37" spans="1:241" ht="14.25" customHeight="1">
      <c r="A37" s="36" t="s">
        <v>37</v>
      </c>
      <c r="B37" s="79"/>
      <c r="C37" s="79"/>
      <c r="D37" s="79"/>
      <c r="E37" s="79"/>
      <c r="F37" s="37">
        <f>+SUM(F3:F36)</f>
        <v>14302189.24</v>
      </c>
      <c r="HV37" s="22"/>
      <c r="HW37" s="22"/>
      <c r="ID37" s="23"/>
      <c r="IE37" s="23"/>
      <c r="IF37" s="24"/>
      <c r="IG37" s="24"/>
    </row>
    <row r="38" spans="1:241" ht="16.350000000000001" customHeight="1">
      <c r="A38" s="38" t="s">
        <v>38</v>
      </c>
      <c r="B38" s="80"/>
      <c r="C38" s="80"/>
      <c r="D38" s="80"/>
      <c r="E38" s="80"/>
      <c r="F38" s="39">
        <f>F37/12</f>
        <v>1191849.1033333333</v>
      </c>
    </row>
    <row r="39" spans="1:241">
      <c r="A39" s="38" t="s">
        <v>39</v>
      </c>
      <c r="B39" s="80"/>
      <c r="C39" s="80"/>
      <c r="D39" s="80"/>
      <c r="E39" s="80"/>
      <c r="F39" s="32">
        <f>RTR!M7</f>
        <v>41034</v>
      </c>
    </row>
    <row r="40" spans="1:241" ht="12.75" customHeight="1">
      <c r="A40" s="38" t="s">
        <v>57</v>
      </c>
      <c r="B40" s="81"/>
      <c r="C40" s="81"/>
      <c r="D40" s="81"/>
      <c r="E40" s="81"/>
      <c r="F40" s="40">
        <v>0.6</v>
      </c>
    </row>
    <row r="41" spans="1:241" ht="16.350000000000001" customHeight="1">
      <c r="A41" s="38" t="s">
        <v>40</v>
      </c>
      <c r="B41" s="80"/>
      <c r="C41" s="80"/>
      <c r="D41" s="80"/>
      <c r="E41" s="80"/>
      <c r="F41" s="41">
        <f>(F38*F40)-F39</f>
        <v>674075.46199999994</v>
      </c>
    </row>
    <row r="42" spans="1:241" ht="12.75" customHeight="1">
      <c r="A42" s="38" t="s">
        <v>41</v>
      </c>
      <c r="B42" s="80"/>
      <c r="C42" s="80"/>
      <c r="D42" s="80"/>
      <c r="E42" s="80"/>
      <c r="F42" s="42">
        <v>180</v>
      </c>
    </row>
    <row r="43" spans="1:241" ht="13.5" customHeight="1">
      <c r="A43" s="38" t="s">
        <v>42</v>
      </c>
      <c r="B43" s="80"/>
      <c r="C43" s="80"/>
      <c r="D43" s="80"/>
      <c r="E43" s="80"/>
      <c r="F43" s="40">
        <v>0.09</v>
      </c>
    </row>
    <row r="44" spans="1:241">
      <c r="A44" s="38" t="s">
        <v>43</v>
      </c>
      <c r="B44" s="80"/>
      <c r="C44" s="80"/>
      <c r="D44" s="80"/>
      <c r="E44" s="80"/>
      <c r="F44" s="43">
        <f>PMT(F43/12,F42,-100000)</f>
        <v>1014.2665841617849</v>
      </c>
    </row>
    <row r="45" spans="1:241">
      <c r="A45" s="38" t="s">
        <v>44</v>
      </c>
      <c r="B45" s="80"/>
      <c r="C45" s="80"/>
      <c r="D45" s="80"/>
      <c r="E45" s="80"/>
      <c r="F45" s="44">
        <f>F41/F44</f>
        <v>664.59397610646181</v>
      </c>
    </row>
  </sheetData>
  <sheetProtection selectLockedCells="1" selectUnlockedCells="1"/>
  <mergeCells count="11">
    <mergeCell ref="B45:E45"/>
    <mergeCell ref="B40:E40"/>
    <mergeCell ref="B41:E41"/>
    <mergeCell ref="B42:E42"/>
    <mergeCell ref="B43:E43"/>
    <mergeCell ref="B44:E44"/>
    <mergeCell ref="D1:F1"/>
    <mergeCell ref="B1:C1"/>
    <mergeCell ref="B37:E37"/>
    <mergeCell ref="B38:E38"/>
    <mergeCell ref="B39:E39"/>
  </mergeCells>
  <pageMargins left="0.78749999999999998" right="0.78749999999999998" top="1.0527777777777778" bottom="1.0527777777777778" header="0.78749999999999998" footer="0.78749999999999998"/>
  <pageSetup firstPageNumber="0" orientation="portrait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indexed="24"/>
    <pageSetUpPr fitToPage="1"/>
  </sheetPr>
  <dimension ref="A1:IN18"/>
  <sheetViews>
    <sheetView zoomScale="136" zoomScaleNormal="136" workbookViewId="0">
      <selection activeCell="C16" sqref="C16"/>
    </sheetView>
  </sheetViews>
  <sheetFormatPr defaultColWidth="22.140625" defaultRowHeight="11.25"/>
  <cols>
    <col min="1" max="1" width="7.140625" style="52" customWidth="1"/>
    <col min="2" max="2" width="15.140625" style="52" customWidth="1"/>
    <col min="3" max="3" width="11.85546875" style="52" customWidth="1"/>
    <col min="4" max="4" width="8.85546875" style="52" customWidth="1"/>
    <col min="5" max="5" width="7.28515625" style="52" customWidth="1"/>
    <col min="6" max="6" width="10" style="52" customWidth="1"/>
    <col min="7" max="7" width="11" style="52" bestFit="1" customWidth="1"/>
    <col min="8" max="8" width="7" style="52" bestFit="1" customWidth="1"/>
    <col min="9" max="9" width="6.28515625" style="52" bestFit="1" customWidth="1"/>
    <col min="10" max="10" width="7.7109375" style="52" customWidth="1"/>
    <col min="11" max="11" width="9.42578125" style="52" bestFit="1" customWidth="1"/>
    <col min="12" max="12" width="8.140625" style="52" bestFit="1" customWidth="1"/>
    <col min="13" max="13" width="12.140625" style="52" customWidth="1"/>
    <col min="14" max="248" width="22.140625" style="52"/>
    <col min="249" max="16384" width="22.140625" style="53"/>
  </cols>
  <sheetData>
    <row r="1" spans="1:248" ht="22.5">
      <c r="A1" s="50" t="s">
        <v>1</v>
      </c>
      <c r="B1" s="50" t="s">
        <v>2</v>
      </c>
      <c r="C1" s="50" t="s">
        <v>3</v>
      </c>
      <c r="D1" s="50" t="s">
        <v>4</v>
      </c>
      <c r="E1" s="50" t="s">
        <v>5</v>
      </c>
      <c r="F1" s="50" t="s">
        <v>6</v>
      </c>
      <c r="G1" s="50" t="s">
        <v>87</v>
      </c>
      <c r="H1" s="50" t="s">
        <v>7</v>
      </c>
      <c r="I1" s="50" t="s">
        <v>8</v>
      </c>
      <c r="J1" s="50" t="s">
        <v>9</v>
      </c>
      <c r="K1" s="50" t="s">
        <v>54</v>
      </c>
      <c r="L1" s="50" t="s">
        <v>10</v>
      </c>
      <c r="M1" s="51" t="s">
        <v>48</v>
      </c>
    </row>
    <row r="2" spans="1:248">
      <c r="A2" s="62">
        <v>1</v>
      </c>
      <c r="B2" s="54" t="s">
        <v>83</v>
      </c>
      <c r="C2" s="55" t="s">
        <v>84</v>
      </c>
      <c r="D2" s="55" t="s">
        <v>85</v>
      </c>
      <c r="E2" s="54" t="s">
        <v>49</v>
      </c>
      <c r="F2" s="54">
        <v>12500000</v>
      </c>
      <c r="G2" s="73">
        <v>43105</v>
      </c>
      <c r="H2" s="54">
        <v>180</v>
      </c>
      <c r="I2" s="54">
        <v>38</v>
      </c>
      <c r="J2" s="54">
        <f>180-38</f>
        <v>142</v>
      </c>
      <c r="K2" s="54">
        <v>11085727</v>
      </c>
      <c r="L2" s="54">
        <v>129024</v>
      </c>
      <c r="M2" s="56" t="s">
        <v>56</v>
      </c>
    </row>
    <row r="3" spans="1:248">
      <c r="A3" s="62">
        <v>2</v>
      </c>
      <c r="B3" s="57" t="s">
        <v>86</v>
      </c>
      <c r="C3" s="55" t="s">
        <v>70</v>
      </c>
      <c r="D3" s="58" t="s">
        <v>85</v>
      </c>
      <c r="E3" s="58" t="s">
        <v>49</v>
      </c>
      <c r="F3" s="59">
        <v>2500000</v>
      </c>
      <c r="G3" s="74">
        <v>43105</v>
      </c>
      <c r="H3" s="60">
        <v>255</v>
      </c>
      <c r="I3" s="77"/>
      <c r="J3" s="77"/>
      <c r="K3" s="77"/>
      <c r="L3" s="59">
        <v>25805</v>
      </c>
      <c r="M3" s="56" t="s">
        <v>56</v>
      </c>
    </row>
    <row r="4" spans="1:248">
      <c r="A4" s="62">
        <v>3</v>
      </c>
      <c r="B4" s="61" t="s">
        <v>88</v>
      </c>
      <c r="C4" s="62" t="s">
        <v>68</v>
      </c>
      <c r="D4" s="63" t="s">
        <v>85</v>
      </c>
      <c r="E4" s="63" t="s">
        <v>49</v>
      </c>
      <c r="F4" s="64">
        <v>2500000</v>
      </c>
      <c r="G4" s="75">
        <v>43105</v>
      </c>
      <c r="H4" s="65">
        <v>255</v>
      </c>
      <c r="I4" s="77"/>
      <c r="J4" s="77"/>
      <c r="K4" s="77"/>
      <c r="L4" s="64">
        <v>25805</v>
      </c>
      <c r="M4" s="66" t="s">
        <v>56</v>
      </c>
    </row>
    <row r="5" spans="1:248">
      <c r="A5" s="62">
        <v>4</v>
      </c>
      <c r="B5" s="57" t="s">
        <v>89</v>
      </c>
      <c r="C5" s="55" t="s">
        <v>90</v>
      </c>
      <c r="D5" s="58" t="s">
        <v>85</v>
      </c>
      <c r="E5" s="58" t="s">
        <v>49</v>
      </c>
      <c r="F5" s="59">
        <v>2500000</v>
      </c>
      <c r="G5" s="74">
        <v>43105</v>
      </c>
      <c r="H5" s="67">
        <v>255</v>
      </c>
      <c r="I5" s="77"/>
      <c r="J5" s="77"/>
      <c r="K5" s="77"/>
      <c r="L5" s="59">
        <v>25805</v>
      </c>
      <c r="M5" s="66" t="s">
        <v>56</v>
      </c>
    </row>
    <row r="6" spans="1:248">
      <c r="A6" s="68">
        <v>5</v>
      </c>
      <c r="B6" s="54" t="s">
        <v>91</v>
      </c>
      <c r="C6" s="55" t="s">
        <v>68</v>
      </c>
      <c r="D6" s="55" t="s">
        <v>11</v>
      </c>
      <c r="E6" s="54" t="s">
        <v>55</v>
      </c>
      <c r="F6" s="54">
        <v>2000000</v>
      </c>
      <c r="G6" s="73">
        <v>42840</v>
      </c>
      <c r="H6" s="54">
        <v>60</v>
      </c>
      <c r="I6" s="54">
        <v>47</v>
      </c>
      <c r="J6" s="54">
        <f>60-47</f>
        <v>13</v>
      </c>
      <c r="K6" s="54">
        <v>500059</v>
      </c>
      <c r="L6" s="54">
        <v>41034</v>
      </c>
      <c r="M6" s="56" t="s">
        <v>47</v>
      </c>
    </row>
    <row r="7" spans="1:248" ht="8.25" customHeight="1">
      <c r="A7" s="69"/>
      <c r="B7" s="55"/>
      <c r="C7" s="55"/>
      <c r="D7" s="55"/>
      <c r="E7" s="55"/>
      <c r="F7" s="70"/>
      <c r="G7" s="76"/>
      <c r="H7" s="55"/>
      <c r="I7" s="55"/>
      <c r="J7" s="55"/>
      <c r="K7" s="55"/>
      <c r="L7" s="55"/>
      <c r="M7" s="71">
        <f>SUMIF(M2:M6,"Y",L2:L6)</f>
        <v>41034</v>
      </c>
    </row>
    <row r="8" spans="1:248">
      <c r="A8" s="72"/>
      <c r="B8" s="72"/>
      <c r="C8" s="72"/>
      <c r="D8" s="72"/>
      <c r="E8" s="72"/>
      <c r="F8" s="72"/>
      <c r="G8" s="72"/>
      <c r="H8" s="72"/>
      <c r="I8" s="72"/>
      <c r="J8" s="72"/>
      <c r="K8" s="72"/>
      <c r="L8" s="72"/>
    </row>
    <row r="10" spans="1:248">
      <c r="IL10" s="53"/>
      <c r="IM10" s="53"/>
      <c r="IN10" s="53"/>
    </row>
    <row r="11" spans="1:248">
      <c r="IL11" s="53"/>
      <c r="IM11" s="53"/>
      <c r="IN11" s="53"/>
    </row>
    <row r="12" spans="1:248">
      <c r="IL12" s="53"/>
      <c r="IM12" s="53"/>
      <c r="IN12" s="53"/>
    </row>
    <row r="13" spans="1:248">
      <c r="IL13" s="53"/>
      <c r="IM13" s="53"/>
      <c r="IN13" s="53"/>
    </row>
    <row r="14" spans="1:248">
      <c r="IL14" s="53"/>
      <c r="IM14" s="53"/>
      <c r="IN14" s="53"/>
    </row>
    <row r="15" spans="1:248">
      <c r="IL15" s="53"/>
      <c r="IM15" s="53"/>
      <c r="IN15" s="53"/>
    </row>
    <row r="16" spans="1:248">
      <c r="IL16" s="53"/>
      <c r="IM16" s="53"/>
      <c r="IN16" s="53"/>
    </row>
    <row r="17" spans="246:248">
      <c r="IL17" s="53"/>
      <c r="IM17" s="53"/>
      <c r="IN17" s="53"/>
    </row>
    <row r="18" spans="246:248">
      <c r="IL18" s="53"/>
      <c r="IM18" s="53"/>
      <c r="IN18" s="53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scale="59" firstPageNumber="0" orientation="landscape" horizontalDpi="300" verticalDpi="300" r:id="rId1"/>
  <headerFooter alignWithMargins="0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F13"/>
  <sheetViews>
    <sheetView workbookViewId="0"/>
  </sheetViews>
  <sheetFormatPr defaultRowHeight="12.75"/>
  <cols>
    <col min="2" max="2" width="23.28515625" customWidth="1"/>
    <col min="3" max="3" width="28.5703125" customWidth="1"/>
    <col min="4" max="4" width="10.5703125" customWidth="1"/>
    <col min="5" max="5" width="19" customWidth="1"/>
    <col min="6" max="6" width="14.85546875" customWidth="1"/>
  </cols>
  <sheetData>
    <row r="1" spans="1:6" ht="17.25" customHeight="1">
      <c r="A1" s="82" t="s">
        <v>12</v>
      </c>
      <c r="B1" s="82"/>
      <c r="C1" s="2"/>
    </row>
    <row r="2" spans="1:6" ht="14.25" customHeight="1">
      <c r="A2" s="82" t="s">
        <v>13</v>
      </c>
      <c r="B2" s="82"/>
      <c r="C2" s="2"/>
    </row>
    <row r="5" spans="1:6" ht="30">
      <c r="A5" s="3" t="s">
        <v>1</v>
      </c>
      <c r="B5" s="4" t="s">
        <v>14</v>
      </c>
      <c r="C5" s="4" t="s">
        <v>15</v>
      </c>
      <c r="D5" s="5" t="s">
        <v>16</v>
      </c>
      <c r="E5" s="1" t="s">
        <v>17</v>
      </c>
      <c r="F5" s="1" t="s">
        <v>18</v>
      </c>
    </row>
    <row r="6" spans="1:6" ht="42.75">
      <c r="A6" s="6">
        <v>1</v>
      </c>
      <c r="B6" s="7" t="s">
        <v>19</v>
      </c>
      <c r="C6" s="8" t="s">
        <v>20</v>
      </c>
      <c r="D6" s="9"/>
      <c r="E6" s="10">
        <v>0.2</v>
      </c>
      <c r="F6" s="10">
        <f t="shared" ref="F6:F12" si="0">E6/10*D6</f>
        <v>0</v>
      </c>
    </row>
    <row r="7" spans="1:6" ht="42.75">
      <c r="A7" s="6">
        <v>2</v>
      </c>
      <c r="B7" s="7" t="s">
        <v>21</v>
      </c>
      <c r="C7" s="8" t="s">
        <v>22</v>
      </c>
      <c r="D7" s="11"/>
      <c r="E7" s="10">
        <v>0.15</v>
      </c>
      <c r="F7" s="10">
        <f t="shared" si="0"/>
        <v>0</v>
      </c>
    </row>
    <row r="8" spans="1:6" ht="42.75">
      <c r="A8" s="6">
        <v>3</v>
      </c>
      <c r="B8" s="7" t="s">
        <v>23</v>
      </c>
      <c r="C8" s="8" t="s">
        <v>24</v>
      </c>
      <c r="D8" s="11"/>
      <c r="E8" s="10">
        <v>0.1</v>
      </c>
      <c r="F8" s="10">
        <f t="shared" si="0"/>
        <v>0</v>
      </c>
    </row>
    <row r="9" spans="1:6" ht="57">
      <c r="A9" s="6">
        <v>4</v>
      </c>
      <c r="B9" s="7" t="s">
        <v>25</v>
      </c>
      <c r="C9" s="12" t="s">
        <v>26</v>
      </c>
      <c r="D9" s="11"/>
      <c r="E9" s="10">
        <v>0.1</v>
      </c>
      <c r="F9" s="10">
        <f t="shared" si="0"/>
        <v>0</v>
      </c>
    </row>
    <row r="10" spans="1:6" ht="85.5">
      <c r="A10" s="6">
        <v>5</v>
      </c>
      <c r="B10" s="7" t="s">
        <v>27</v>
      </c>
      <c r="C10" s="8" t="s">
        <v>28</v>
      </c>
      <c r="D10" s="11"/>
      <c r="E10" s="10">
        <v>0.1</v>
      </c>
      <c r="F10" s="10">
        <f t="shared" si="0"/>
        <v>0</v>
      </c>
    </row>
    <row r="11" spans="1:6" ht="128.25">
      <c r="A11" s="6">
        <v>6</v>
      </c>
      <c r="B11" s="13" t="s">
        <v>29</v>
      </c>
      <c r="C11" s="14" t="s">
        <v>30</v>
      </c>
      <c r="D11" s="11"/>
      <c r="E11" s="10">
        <v>0.1</v>
      </c>
      <c r="F11" s="10">
        <f t="shared" si="0"/>
        <v>0</v>
      </c>
    </row>
    <row r="12" spans="1:6" ht="28.5">
      <c r="A12" s="6">
        <v>7</v>
      </c>
      <c r="B12" s="6" t="s">
        <v>31</v>
      </c>
      <c r="C12" s="15" t="s">
        <v>32</v>
      </c>
      <c r="D12" s="11"/>
      <c r="E12" s="10">
        <v>0.25</v>
      </c>
      <c r="F12" s="10">
        <f t="shared" si="0"/>
        <v>0</v>
      </c>
    </row>
    <row r="13" spans="1:6" ht="15">
      <c r="A13" s="16"/>
      <c r="B13" s="17" t="s">
        <v>33</v>
      </c>
      <c r="C13" s="17"/>
      <c r="D13" s="18"/>
      <c r="E13" s="19">
        <f>SUM(E6:E12)</f>
        <v>0.99999999999999989</v>
      </c>
      <c r="F13" s="19">
        <f>SUM(F6:F12)</f>
        <v>0</v>
      </c>
    </row>
  </sheetData>
  <sheetProtection sheet="1"/>
  <mergeCells count="2">
    <mergeCell ref="A1:B1"/>
    <mergeCell ref="A2:B2"/>
  </mergeCell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 alignWithMargins="0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Eligibility</vt:lpstr>
      <vt:lpstr>RTR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Alok Kumar Jaiswal</dc:creator>
  <cp:lastModifiedBy>Samsung</cp:lastModifiedBy>
  <cp:lastPrinted>2017-09-05T09:41:13Z</cp:lastPrinted>
  <dcterms:created xsi:type="dcterms:W3CDTF">2015-09-25T09:25:31Z</dcterms:created>
  <dcterms:modified xsi:type="dcterms:W3CDTF">2021-02-11T07:42:29Z</dcterms:modified>
</cp:coreProperties>
</file>