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00"/>
  </bookViews>
  <sheets>
    <sheet name="Модель расчета ROI" sheetId="4" r:id="rId1"/>
    <sheet name="График ипотечных платежей" sheetId="5" r:id="rId2"/>
  </sheets>
  <calcPr calcId="162913"/>
</workbook>
</file>

<file path=xl/calcChain.xml><?xml version="1.0" encoding="utf-8"?>
<calcChain xmlns="http://schemas.openxmlformats.org/spreadsheetml/2006/main">
  <c r="D17" i="4" l="1"/>
  <c r="O41" i="4" l="1"/>
  <c r="J41" i="4"/>
  <c r="C41" i="4"/>
  <c r="O35" i="4"/>
  <c r="O34" i="4"/>
  <c r="O38" i="4"/>
  <c r="O40" i="4"/>
  <c r="J40" i="4"/>
  <c r="C40" i="4"/>
  <c r="O39" i="4"/>
  <c r="J39" i="4"/>
  <c r="C39" i="4"/>
  <c r="J38" i="4"/>
  <c r="C38" i="4"/>
  <c r="I14" i="4"/>
  <c r="I15" i="4"/>
  <c r="O5" i="4" l="1"/>
  <c r="N5" i="4"/>
  <c r="C11" i="4"/>
  <c r="C10" i="4"/>
  <c r="O32" i="4" l="1"/>
  <c r="P27" i="4"/>
  <c r="J32" i="4"/>
  <c r="C32" i="4"/>
  <c r="F30" i="4" l="1"/>
  <c r="C34" i="4" s="1"/>
  <c r="J34" i="4"/>
  <c r="R6" i="4"/>
  <c r="P6" i="4"/>
  <c r="Q6" i="4"/>
  <c r="O6" i="4"/>
  <c r="N6" i="4"/>
  <c r="I8" i="4"/>
  <c r="I5" i="4"/>
  <c r="C36" i="4" l="1"/>
  <c r="J36" i="4"/>
  <c r="P5" i="4"/>
  <c r="R5" i="4"/>
  <c r="Q5" i="4"/>
  <c r="I6" i="4"/>
  <c r="C8" i="4" s="1"/>
  <c r="P28" i="4" s="1"/>
  <c r="O36" i="4" s="1"/>
  <c r="I9" i="4"/>
  <c r="P4" i="4" l="1"/>
  <c r="P7" i="4" s="1"/>
  <c r="R4" i="4"/>
  <c r="R7" i="4" s="1"/>
  <c r="Q4" i="4"/>
  <c r="Q7" i="4" s="1"/>
  <c r="O4" i="4"/>
  <c r="O7" i="4" s="1"/>
  <c r="O37" i="4"/>
  <c r="J35" i="4"/>
  <c r="J37" i="4" s="1"/>
  <c r="C35" i="4"/>
  <c r="C37" i="4" s="1"/>
  <c r="N4" i="4"/>
  <c r="N7" i="4" s="1"/>
  <c r="N8" i="4" s="1"/>
  <c r="L29" i="4"/>
  <c r="F29" i="4"/>
  <c r="F32" i="4" s="1"/>
  <c r="C33" i="4" s="1"/>
  <c r="I13" i="4"/>
  <c r="P30" i="4" s="1"/>
  <c r="P32" i="4" s="1"/>
  <c r="I11" i="4"/>
  <c r="I12" i="4" s="1"/>
  <c r="N10" i="4" l="1"/>
  <c r="C16" i="4" s="1"/>
  <c r="D16" i="4" s="1"/>
  <c r="O8" i="4"/>
  <c r="P8" i="4" s="1"/>
  <c r="Q8" i="4" s="1"/>
  <c r="R8" i="4" s="1"/>
  <c r="N11" i="4"/>
  <c r="O33" i="4"/>
  <c r="L32" i="4"/>
  <c r="J33" i="4" s="1"/>
</calcChain>
</file>

<file path=xl/sharedStrings.xml><?xml version="1.0" encoding="utf-8"?>
<sst xmlns="http://schemas.openxmlformats.org/spreadsheetml/2006/main" count="81" uniqueCount="71">
  <si>
    <t>СРОК ОКУПАЕМОСТИ, лет</t>
  </si>
  <si>
    <t>низкая норма доходности</t>
  </si>
  <si>
    <t>средняя доходность</t>
  </si>
  <si>
    <t>высокая доходность</t>
  </si>
  <si>
    <t>сверхприбыль!</t>
  </si>
  <si>
    <r>
      <t>Площадь</t>
    </r>
    <r>
      <rPr>
        <sz val="16"/>
        <color indexed="8"/>
        <rFont val="Calibri Light"/>
        <family val="2"/>
        <charset val="204"/>
      </rPr>
      <t>, кв.м.</t>
    </r>
  </si>
  <si>
    <t>Расчет основных финансовых показателей эффективности инвестиций проекта девелопмента</t>
  </si>
  <si>
    <r>
      <rPr>
        <b/>
        <sz val="16"/>
        <color indexed="8"/>
        <rFont val="Calibri Light"/>
        <family val="2"/>
        <charset val="204"/>
      </rPr>
      <t>Ставка аренды</t>
    </r>
    <r>
      <rPr>
        <sz val="16"/>
        <color indexed="8"/>
        <rFont val="Calibri Light"/>
        <family val="2"/>
        <charset val="204"/>
      </rPr>
      <t>, за 1 кв.м.</t>
    </r>
  </si>
  <si>
    <r>
      <t xml:space="preserve">Срок выплаты ипотечных платежей, </t>
    </r>
    <r>
      <rPr>
        <sz val="11"/>
        <color theme="1"/>
        <rFont val="Calibri Light"/>
        <family val="2"/>
        <charset val="204"/>
      </rPr>
      <t>в месяцах</t>
    </r>
  </si>
  <si>
    <t>Ипотечный калькулятор</t>
  </si>
  <si>
    <r>
      <t xml:space="preserve">Первоначальный взнос, </t>
    </r>
    <r>
      <rPr>
        <sz val="11"/>
        <color theme="1"/>
        <rFont val="Calibri Light"/>
        <family val="2"/>
        <charset val="204"/>
      </rPr>
      <t>в % от стоимости обьекта</t>
    </r>
  </si>
  <si>
    <r>
      <t>Первоначальный взнос,</t>
    </r>
    <r>
      <rPr>
        <sz val="11"/>
        <color theme="1"/>
        <rFont val="Calibri Light"/>
        <family val="2"/>
        <charset val="204"/>
      </rPr>
      <t xml:space="preserve"> в руб.</t>
    </r>
  </si>
  <si>
    <r>
      <t xml:space="preserve">Ипотечный займ, </t>
    </r>
    <r>
      <rPr>
        <sz val="11"/>
        <color theme="1"/>
        <rFont val="Calibri Light"/>
        <family val="2"/>
        <charset val="204"/>
      </rPr>
      <t>(тело ипотечного кредита в руб.)</t>
    </r>
  </si>
  <si>
    <r>
      <t xml:space="preserve">Срок выплаты ипотечных платежей, </t>
    </r>
    <r>
      <rPr>
        <sz val="11"/>
        <color theme="1"/>
        <rFont val="Calibri Light"/>
        <family val="2"/>
        <charset val="204"/>
      </rPr>
      <t>в годах</t>
    </r>
  </si>
  <si>
    <t>Процентная ставка банка</t>
  </si>
  <si>
    <r>
      <t xml:space="preserve">Общая стоимость обьекта </t>
    </r>
    <r>
      <rPr>
        <sz val="11"/>
        <color theme="1" tint="4.9989318521683403E-2"/>
        <rFont val="Calibri Light"/>
        <family val="2"/>
        <charset val="204"/>
      </rPr>
      <t>с учетом процентов</t>
    </r>
  </si>
  <si>
    <r>
      <t xml:space="preserve">Величина переплаты </t>
    </r>
    <r>
      <rPr>
        <sz val="11"/>
        <color theme="1" tint="4.9989318521683403E-2"/>
        <rFont val="Calibri Light"/>
        <family val="2"/>
        <charset val="204"/>
      </rPr>
      <t>с банковским плечом</t>
    </r>
  </si>
  <si>
    <t>Ежемесячные аннуитетные платежи</t>
  </si>
  <si>
    <t>Налог, в руб.</t>
  </si>
  <si>
    <t>Первые 5 ипотечных платежей, в руб.</t>
  </si>
  <si>
    <t>Финансовые показатели эффективности инвестиций по категориям стратегий</t>
  </si>
  <si>
    <t>Вторая стратегия. Долгосрочная сдача в аренду с делением на студии</t>
  </si>
  <si>
    <t>Третья стратегия. Покупка-улучшение-продажа</t>
  </si>
  <si>
    <t>Первая стратегия. Посуточная сдача в аренду в сезон с делением на студии</t>
  </si>
  <si>
    <t>Доходы</t>
  </si>
  <si>
    <t>Расходы</t>
  </si>
  <si>
    <t>Бронь, оформление, оценка, страховка, комиссия</t>
  </si>
  <si>
    <t>Перепланировка, ремонт</t>
  </si>
  <si>
    <t>Коммунальные услуги до старта проекта</t>
  </si>
  <si>
    <t>1 студия</t>
  </si>
  <si>
    <t>2 студия</t>
  </si>
  <si>
    <t>3 студия</t>
  </si>
  <si>
    <t>Общий итог</t>
  </si>
  <si>
    <t>Ипотека</t>
  </si>
  <si>
    <t>Ком.платежи дополнительно</t>
  </si>
  <si>
    <t xml:space="preserve"> 5 платежей</t>
  </si>
  <si>
    <t>Налог</t>
  </si>
  <si>
    <t>Общая цена продажи</t>
  </si>
  <si>
    <t>Ремонт/Перепланировка</t>
  </si>
  <si>
    <t>Доходность % годовых к инвестициям</t>
  </si>
  <si>
    <t>ROI (доходность на вложенный капитал), годовых в %</t>
  </si>
  <si>
    <t>ROЕ (доходность на собственный капитал),  годовых в %</t>
  </si>
  <si>
    <t>Горничная (в месяц)</t>
  </si>
  <si>
    <t>Ипотека ( в месяц)</t>
  </si>
  <si>
    <t>Заполняемость 80% (дней)</t>
  </si>
  <si>
    <t>Докупка мебели</t>
  </si>
  <si>
    <r>
      <t>Рыночная стоимость объекта недвижимости</t>
    </r>
    <r>
      <rPr>
        <sz val="16"/>
        <color indexed="8"/>
        <rFont val="Calibri Light"/>
        <family val="2"/>
        <charset val="204"/>
      </rPr>
      <t>, руб.</t>
    </r>
  </si>
  <si>
    <t>Личный Капитал (материнский капитал, накопления)</t>
  </si>
  <si>
    <t>Показатели</t>
  </si>
  <si>
    <t>Годы</t>
  </si>
  <si>
    <t>Общие затраты</t>
  </si>
  <si>
    <t>Эксплуатационные затраты</t>
  </si>
  <si>
    <t>Денежный поток</t>
  </si>
  <si>
    <t>годовой</t>
  </si>
  <si>
    <t>накопленный</t>
  </si>
  <si>
    <t>Управляющая компания ( в месяц)</t>
  </si>
  <si>
    <t>Эксплуатационные затраты (коммуналка, клининг,ремонт сантехники и мебели)</t>
  </si>
  <si>
    <t>Дополнительный залог при заселении</t>
  </si>
  <si>
    <t>Срок окупаемости вложений, лет</t>
  </si>
  <si>
    <t>округленный</t>
  </si>
  <si>
    <t>точный</t>
  </si>
  <si>
    <t>Чистая прибыль (ДПГ) ЛК</t>
  </si>
  <si>
    <t>Чистая прибыль (ДПГ) ИФ</t>
  </si>
  <si>
    <t>Денежный поток ДП</t>
  </si>
  <si>
    <t>Выплата банковского процента в месяц ВМ</t>
  </si>
  <si>
    <t>Выплата тела кредита в месяц ВФСМ</t>
  </si>
  <si>
    <t>Денежный поток в год ДПГ</t>
  </si>
  <si>
    <t>Количество мес до продажи</t>
  </si>
  <si>
    <t xml:space="preserve"> Фактор капитализации с привлеч финансированием</t>
  </si>
  <si>
    <t>Фактор личного капитала</t>
  </si>
  <si>
    <t xml:space="preserve">РЕНТАБЕЛЬНОСТЬ (ДОХОДНОСТЬ),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</si>
</sst>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#,##0\ &quot;₽&quot;;[Red]\-#,##0\ &quot;₽&quot;"/>
    <numFmt numFmtId="164" formatCode="#,##0.00\ &quot;₽&quot;"/>
    <numFmt numFmtId="165" formatCode="0.0"/>
    <numFmt numFmtId="166" formatCode="#,##0\ &quot;₽&quot;"/>
    <numFmt numFmtId="167" formatCode="0.000"/>
  </numFmts>
  <fonts count="35" x14ac:knownFonts="1">
    <font>
      <sz val="11"/>
      <color theme="1"/>
      <name val="Calibri"/>
      <family val="2"/>
      <scheme val="minor"/>
    </font>
    <font>
      <b/>
      <sz val="16"/>
      <color indexed="8"/>
      <name val="Calibri Light"/>
      <family val="2"/>
      <charset val="204"/>
    </font>
    <font>
      <sz val="16"/>
      <color indexed="8"/>
      <name val="Calibri Light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6"/>
      <color theme="1"/>
      <name val="Calibri Light"/>
      <family val="2"/>
      <charset val="204"/>
    </font>
    <font>
      <sz val="16"/>
      <color theme="1"/>
      <name val="Calibri Light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8"/>
      <color theme="0" tint="-4.9989318521683403E-2"/>
      <name val="Calibri Light"/>
      <family val="2"/>
      <charset val="204"/>
    </font>
    <font>
      <b/>
      <sz val="11"/>
      <color theme="1"/>
      <name val="Calibri Light"/>
      <family val="2"/>
      <charset val="204"/>
    </font>
    <font>
      <sz val="11"/>
      <color theme="1"/>
      <name val="Calibri Light"/>
      <family val="2"/>
      <charset val="204"/>
    </font>
    <font>
      <sz val="16"/>
      <color theme="1"/>
      <name val="Franklin Gothic Heavy"/>
      <family val="2"/>
      <charset val="204"/>
    </font>
    <font>
      <b/>
      <sz val="20"/>
      <color theme="0"/>
      <name val="Calibri Light"/>
      <family val="2"/>
      <charset val="204"/>
    </font>
    <font>
      <b/>
      <sz val="16"/>
      <color theme="1" tint="4.9989318521683403E-2"/>
      <name val="Calibri Light"/>
      <family val="2"/>
      <charset val="204"/>
    </font>
    <font>
      <sz val="11"/>
      <color theme="1" tint="4.9989318521683403E-2"/>
      <name val="Calibri Light"/>
      <family val="2"/>
      <charset val="204"/>
    </font>
    <font>
      <b/>
      <sz val="16"/>
      <color theme="0"/>
      <name val="Bahnschrift Light SemiCondensed"/>
      <family val="2"/>
      <charset val="204"/>
    </font>
    <font>
      <b/>
      <sz val="14"/>
      <color theme="1"/>
      <name val="Calibri Light"/>
      <family val="2"/>
      <charset val="204"/>
    </font>
    <font>
      <b/>
      <sz val="12"/>
      <color theme="1"/>
      <name val="Bauhaus 93"/>
      <family val="5"/>
    </font>
    <font>
      <b/>
      <sz val="12"/>
      <color theme="1"/>
      <name val="Bahnschrift SemiLight"/>
      <family val="2"/>
      <charset val="204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4"/>
      <name val="Calibri Light"/>
      <family val="2"/>
      <charset val="204"/>
    </font>
    <font>
      <b/>
      <i/>
      <sz val="14"/>
      <color theme="1"/>
      <name val="Calibri Light"/>
      <family val="2"/>
      <charset val="204"/>
    </font>
    <font>
      <b/>
      <sz val="14"/>
      <color theme="1"/>
      <name val="Bahnschrift Light SemiCondensed"/>
      <family val="2"/>
      <charset val="204"/>
    </font>
    <font>
      <sz val="14"/>
      <name val="Calibri Light"/>
      <family val="2"/>
      <charset val="204"/>
    </font>
    <font>
      <b/>
      <sz val="14"/>
      <color theme="0"/>
      <name val="Calibri Light"/>
      <family val="2"/>
      <charset val="204"/>
    </font>
    <font>
      <sz val="14"/>
      <color theme="1"/>
      <name val="Bahnschrift SemiBold"/>
      <family val="2"/>
      <charset val="204"/>
    </font>
    <font>
      <i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164" fontId="0" fillId="0" borderId="1" xfId="0" applyNumberFormat="1" applyBorder="1"/>
    <xf numFmtId="164" fontId="3" fillId="0" borderId="1" xfId="0" applyNumberFormat="1" applyFont="1" applyBorder="1"/>
    <xf numFmtId="0" fontId="0" fillId="2" borderId="0" xfId="0" applyFill="1"/>
    <xf numFmtId="0" fontId="9" fillId="5" borderId="5" xfId="0" applyFont="1" applyFill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0" fillId="5" borderId="4" xfId="0" applyFont="1" applyFill="1" applyBorder="1" applyAlignment="1">
      <alignment wrapText="1"/>
    </xf>
    <xf numFmtId="164" fontId="10" fillId="6" borderId="6" xfId="0" applyNumberFormat="1" applyFont="1" applyFill="1" applyBorder="1" applyAlignment="1">
      <alignment horizontal="right"/>
    </xf>
    <xf numFmtId="0" fontId="10" fillId="6" borderId="2" xfId="0" applyFont="1" applyFill="1" applyBorder="1" applyAlignment="1">
      <alignment horizontal="right"/>
    </xf>
    <xf numFmtId="164" fontId="10" fillId="6" borderId="2" xfId="0" applyNumberFormat="1" applyFont="1" applyFill="1" applyBorder="1" applyAlignment="1">
      <alignment horizontal="right"/>
    </xf>
    <xf numFmtId="9" fontId="10" fillId="6" borderId="2" xfId="0" applyNumberFormat="1" applyFont="1" applyFill="1" applyBorder="1" applyAlignment="1">
      <alignment horizontal="right"/>
    </xf>
    <xf numFmtId="0" fontId="11" fillId="7" borderId="7" xfId="0" applyFont="1" applyFill="1" applyBorder="1" applyAlignment="1">
      <alignment horizontal="right"/>
    </xf>
    <xf numFmtId="165" fontId="11" fillId="7" borderId="8" xfId="0" applyNumberFormat="1" applyFont="1" applyFill="1" applyBorder="1" applyAlignment="1">
      <alignment horizontal="center"/>
    </xf>
    <xf numFmtId="0" fontId="11" fillId="7" borderId="9" xfId="0" applyFont="1" applyFill="1" applyBorder="1" applyAlignment="1">
      <alignment horizontal="right"/>
    </xf>
    <xf numFmtId="0" fontId="2" fillId="5" borderId="4" xfId="0" applyFont="1" applyFill="1" applyBorder="1" applyAlignment="1">
      <alignment wrapText="1"/>
    </xf>
    <xf numFmtId="0" fontId="9" fillId="5" borderId="3" xfId="0" applyFont="1" applyFill="1" applyBorder="1" applyAlignment="1">
      <alignment wrapText="1"/>
    </xf>
    <xf numFmtId="166" fontId="10" fillId="6" borderId="21" xfId="0" applyNumberFormat="1" applyFont="1" applyFill="1" applyBorder="1" applyAlignment="1">
      <alignment horizontal="right"/>
    </xf>
    <xf numFmtId="0" fontId="0" fillId="9" borderId="4" xfId="0" applyFill="1" applyBorder="1"/>
    <xf numFmtId="0" fontId="0" fillId="9" borderId="1" xfId="0" applyFill="1" applyBorder="1"/>
    <xf numFmtId="0" fontId="5" fillId="9" borderId="1" xfId="0" applyFont="1" applyFill="1" applyBorder="1"/>
    <xf numFmtId="0" fontId="8" fillId="9" borderId="1" xfId="0" applyFont="1" applyFill="1" applyBorder="1"/>
    <xf numFmtId="0" fontId="6" fillId="9" borderId="1" xfId="0" applyFont="1" applyFill="1" applyBorder="1"/>
    <xf numFmtId="0" fontId="7" fillId="9" borderId="1" xfId="0" applyFont="1" applyFill="1" applyBorder="1"/>
    <xf numFmtId="0" fontId="4" fillId="9" borderId="1" xfId="0" applyFont="1" applyFill="1" applyBorder="1"/>
    <xf numFmtId="0" fontId="9" fillId="7" borderId="1" xfId="0" applyFont="1" applyFill="1" applyBorder="1"/>
    <xf numFmtId="0" fontId="21" fillId="9" borderId="4" xfId="0" applyFont="1" applyFill="1" applyBorder="1"/>
    <xf numFmtId="0" fontId="22" fillId="9" borderId="4" xfId="0" applyFont="1" applyFill="1" applyBorder="1"/>
    <xf numFmtId="0" fontId="20" fillId="13" borderId="7" xfId="0" applyFont="1" applyFill="1" applyBorder="1" applyAlignment="1"/>
    <xf numFmtId="166" fontId="30" fillId="0" borderId="1" xfId="0" applyNumberFormat="1" applyFont="1" applyBorder="1"/>
    <xf numFmtId="166" fontId="28" fillId="7" borderId="1" xfId="0" applyNumberFormat="1" applyFont="1" applyFill="1" applyBorder="1"/>
    <xf numFmtId="0" fontId="1" fillId="5" borderId="4" xfId="0" applyFont="1" applyFill="1" applyBorder="1" applyAlignment="1">
      <alignment wrapText="1"/>
    </xf>
    <xf numFmtId="166" fontId="10" fillId="6" borderId="2" xfId="0" applyNumberFormat="1" applyFont="1" applyFill="1" applyBorder="1" applyAlignment="1">
      <alignment horizontal="right"/>
    </xf>
    <xf numFmtId="0" fontId="32" fillId="9" borderId="30" xfId="0" applyFont="1" applyFill="1" applyBorder="1" applyAlignment="1">
      <alignment horizontal="left" vertical="center"/>
    </xf>
    <xf numFmtId="0" fontId="31" fillId="3" borderId="27" xfId="0" applyFont="1" applyFill="1" applyBorder="1" applyAlignment="1">
      <alignment horizontal="center" vertical="center"/>
    </xf>
    <xf numFmtId="166" fontId="33" fillId="9" borderId="0" xfId="0" applyNumberFormat="1" applyFont="1" applyFill="1" applyBorder="1"/>
    <xf numFmtId="166" fontId="33" fillId="15" borderId="0" xfId="0" applyNumberFormat="1" applyFont="1" applyFill="1" applyBorder="1"/>
    <xf numFmtId="166" fontId="33" fillId="16" borderId="0" xfId="0" applyNumberFormat="1" applyFont="1" applyFill="1" applyBorder="1"/>
    <xf numFmtId="0" fontId="31" fillId="3" borderId="29" xfId="0" applyFont="1" applyFill="1" applyBorder="1" applyAlignment="1">
      <alignment horizontal="center" vertical="center"/>
    </xf>
    <xf numFmtId="166" fontId="33" fillId="9" borderId="36" xfId="0" applyNumberFormat="1" applyFont="1" applyFill="1" applyBorder="1"/>
    <xf numFmtId="166" fontId="33" fillId="16" borderId="36" xfId="0" applyNumberFormat="1" applyFont="1" applyFill="1" applyBorder="1"/>
    <xf numFmtId="0" fontId="32" fillId="9" borderId="38" xfId="0" applyFont="1" applyFill="1" applyBorder="1" applyAlignment="1">
      <alignment horizontal="left" vertical="center"/>
    </xf>
    <xf numFmtId="0" fontId="0" fillId="3" borderId="35" xfId="0" applyFill="1" applyBorder="1"/>
    <xf numFmtId="0" fontId="0" fillId="3" borderId="0" xfId="0" applyFill="1" applyBorder="1"/>
    <xf numFmtId="0" fontId="0" fillId="3" borderId="36" xfId="0" applyFill="1" applyBorder="1"/>
    <xf numFmtId="0" fontId="9" fillId="4" borderId="35" xfId="0" applyFont="1" applyFill="1" applyBorder="1"/>
    <xf numFmtId="0" fontId="9" fillId="4" borderId="0" xfId="0" applyFont="1" applyFill="1" applyBorder="1"/>
    <xf numFmtId="9" fontId="9" fillId="9" borderId="36" xfId="0" applyNumberFormat="1" applyFont="1" applyFill="1" applyBorder="1"/>
    <xf numFmtId="166" fontId="9" fillId="9" borderId="36" xfId="0" applyNumberFormat="1" applyFont="1" applyFill="1" applyBorder="1"/>
    <xf numFmtId="1" fontId="9" fillId="9" borderId="36" xfId="0" applyNumberFormat="1" applyFont="1" applyFill="1" applyBorder="1"/>
    <xf numFmtId="0" fontId="9" fillId="9" borderId="36" xfId="0" applyFont="1" applyFill="1" applyBorder="1"/>
    <xf numFmtId="6" fontId="9" fillId="10" borderId="36" xfId="0" applyNumberFormat="1" applyFont="1" applyFill="1" applyBorder="1"/>
    <xf numFmtId="0" fontId="17" fillId="4" borderId="0" xfId="0" applyFont="1" applyFill="1" applyBorder="1"/>
    <xf numFmtId="0" fontId="9" fillId="4" borderId="12" xfId="0" applyFont="1" applyFill="1" applyBorder="1"/>
    <xf numFmtId="0" fontId="17" fillId="4" borderId="37" xfId="0" applyFont="1" applyFill="1" applyBorder="1"/>
    <xf numFmtId="166" fontId="9" fillId="9" borderId="13" xfId="0" applyNumberFormat="1" applyFont="1" applyFill="1" applyBorder="1"/>
    <xf numFmtId="0" fontId="32" fillId="9" borderId="35" xfId="0" applyFont="1" applyFill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2" fillId="0" borderId="35" xfId="0" applyFont="1" applyBorder="1" applyAlignment="1">
      <alignment horizontal="left" vertical="center"/>
    </xf>
    <xf numFmtId="0" fontId="16" fillId="3" borderId="33" xfId="0" applyFont="1" applyFill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2" fillId="9" borderId="35" xfId="0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1" fontId="34" fillId="9" borderId="31" xfId="0" applyNumberFormat="1" applyFont="1" applyFill="1" applyBorder="1" applyAlignment="1">
      <alignment horizontal="center" vertical="center"/>
    </xf>
    <xf numFmtId="1" fontId="34" fillId="0" borderId="0" xfId="0" applyNumberFormat="1" applyFont="1" applyBorder="1" applyAlignment="1">
      <alignment horizontal="center" vertical="center"/>
    </xf>
    <xf numFmtId="1" fontId="34" fillId="0" borderId="36" xfId="0" applyNumberFormat="1" applyFont="1" applyBorder="1" applyAlignment="1">
      <alignment horizontal="center" vertical="center"/>
    </xf>
    <xf numFmtId="167" fontId="34" fillId="9" borderId="39" xfId="0" applyNumberFormat="1" applyFont="1" applyFill="1" applyBorder="1" applyAlignment="1">
      <alignment horizontal="center" vertical="center"/>
    </xf>
    <xf numFmtId="167" fontId="34" fillId="0" borderId="37" xfId="0" applyNumberFormat="1" applyFont="1" applyBorder="1" applyAlignment="1">
      <alignment horizontal="center" vertical="center"/>
    </xf>
    <xf numFmtId="167" fontId="34" fillId="0" borderId="13" xfId="0" applyNumberFormat="1" applyFont="1" applyBorder="1" applyAlignment="1">
      <alignment horizontal="center" vertical="center"/>
    </xf>
    <xf numFmtId="166" fontId="23" fillId="0" borderId="26" xfId="0" applyNumberFormat="1" applyFont="1" applyBorder="1" applyAlignment="1">
      <alignment horizontal="center" vertical="center" wrapText="1"/>
    </xf>
    <xf numFmtId="166" fontId="24" fillId="0" borderId="27" xfId="0" applyNumberFormat="1" applyFont="1" applyBorder="1" applyAlignment="1">
      <alignment horizontal="center" vertical="center" wrapText="1"/>
    </xf>
    <xf numFmtId="10" fontId="9" fillId="7" borderId="26" xfId="0" applyNumberFormat="1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10" fontId="3" fillId="0" borderId="26" xfId="0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9" fillId="11" borderId="22" xfId="0" applyFont="1" applyFill="1" applyBorder="1" applyAlignment="1">
      <alignment horizontal="center" vertical="center" wrapText="1"/>
    </xf>
    <xf numFmtId="0" fontId="19" fillId="11" borderId="23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164" fontId="3" fillId="13" borderId="26" xfId="0" applyNumberFormat="1" applyFont="1" applyFill="1" applyBorder="1" applyAlignment="1"/>
    <xf numFmtId="0" fontId="0" fillId="13" borderId="27" xfId="0" applyFill="1" applyBorder="1" applyAlignment="1"/>
    <xf numFmtId="0" fontId="0" fillId="13" borderId="29" xfId="0" applyFill="1" applyBorder="1" applyAlignment="1"/>
    <xf numFmtId="0" fontId="4" fillId="2" borderId="0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12" fillId="8" borderId="12" xfId="0" applyFont="1" applyFill="1" applyBorder="1" applyAlignment="1">
      <alignment horizontal="center" wrapText="1"/>
    </xf>
    <xf numFmtId="0" fontId="12" fillId="8" borderId="13" xfId="0" applyFont="1" applyFill="1" applyBorder="1" applyAlignment="1">
      <alignment horizontal="center" wrapText="1"/>
    </xf>
    <xf numFmtId="0" fontId="13" fillId="6" borderId="14" xfId="0" applyNumberFormat="1" applyFont="1" applyFill="1" applyBorder="1" applyAlignment="1">
      <alignment horizontal="center" vertical="center"/>
    </xf>
    <xf numFmtId="0" fontId="13" fillId="6" borderId="15" xfId="0" applyNumberFormat="1" applyFont="1" applyFill="1" applyBorder="1" applyAlignment="1">
      <alignment horizontal="center" vertical="center"/>
    </xf>
    <xf numFmtId="0" fontId="13" fillId="6" borderId="16" xfId="0" applyNumberFormat="1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3" borderId="18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6" fillId="8" borderId="10" xfId="0" applyFont="1" applyFill="1" applyBorder="1" applyAlignment="1">
      <alignment horizontal="center" vertical="center" wrapText="1"/>
    </xf>
    <xf numFmtId="0" fontId="16" fillId="8" borderId="17" xfId="0" applyFont="1" applyFill="1" applyBorder="1" applyAlignment="1">
      <alignment horizontal="center" vertical="center" wrapText="1"/>
    </xf>
    <xf numFmtId="0" fontId="16" fillId="8" borderId="11" xfId="0" applyFont="1" applyFill="1" applyBorder="1" applyAlignment="1">
      <alignment horizontal="center" vertical="center" wrapText="1"/>
    </xf>
    <xf numFmtId="0" fontId="16" fillId="8" borderId="35" xfId="0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 vertical="center" wrapText="1"/>
    </xf>
    <xf numFmtId="0" fontId="16" fillId="8" borderId="36" xfId="0" applyFont="1" applyFill="1" applyBorder="1" applyAlignment="1">
      <alignment horizontal="center" vertical="center" wrapText="1"/>
    </xf>
    <xf numFmtId="166" fontId="24" fillId="0" borderId="28" xfId="0" applyNumberFormat="1" applyFont="1" applyBorder="1" applyAlignment="1">
      <alignment horizontal="center" vertical="center" wrapText="1"/>
    </xf>
    <xf numFmtId="166" fontId="25" fillId="7" borderId="26" xfId="0" applyNumberFormat="1" applyFont="1" applyFill="1" applyBorder="1" applyAlignment="1">
      <alignment horizontal="center" vertical="center" wrapText="1"/>
    </xf>
    <xf numFmtId="166" fontId="26" fillId="7" borderId="27" xfId="0" applyNumberFormat="1" applyFont="1" applyFill="1" applyBorder="1" applyAlignment="1">
      <alignment horizontal="center" vertical="center" wrapText="1"/>
    </xf>
    <xf numFmtId="166" fontId="26" fillId="7" borderId="28" xfId="0" applyNumberFormat="1" applyFont="1" applyFill="1" applyBorder="1" applyAlignment="1">
      <alignment horizontal="center" vertical="center" wrapText="1"/>
    </xf>
    <xf numFmtId="0" fontId="26" fillId="7" borderId="27" xfId="0" applyFont="1" applyFill="1" applyBorder="1" applyAlignment="1">
      <alignment horizontal="center" vertical="center" wrapText="1"/>
    </xf>
    <xf numFmtId="0" fontId="26" fillId="7" borderId="28" xfId="0" applyFont="1" applyFill="1" applyBorder="1" applyAlignment="1">
      <alignment horizontal="center" vertical="center" wrapText="1"/>
    </xf>
    <xf numFmtId="0" fontId="19" fillId="11" borderId="24" xfId="0" applyFont="1" applyFill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" fontId="23" fillId="0" borderId="26" xfId="0" applyNumberFormat="1" applyFont="1" applyBorder="1" applyAlignment="1">
      <alignment horizontal="center" vertical="center" wrapText="1"/>
    </xf>
    <xf numFmtId="1" fontId="24" fillId="0" borderId="27" xfId="0" applyNumberFormat="1" applyFont="1" applyBorder="1" applyAlignment="1">
      <alignment horizontal="center" vertical="center" wrapText="1"/>
    </xf>
    <xf numFmtId="1" fontId="24" fillId="0" borderId="28" xfId="0" applyNumberFormat="1" applyFont="1" applyBorder="1" applyAlignment="1">
      <alignment horizontal="center" vertical="center" wrapText="1"/>
    </xf>
    <xf numFmtId="0" fontId="0" fillId="0" borderId="27" xfId="0" applyBorder="1" applyAlignment="1"/>
    <xf numFmtId="0" fontId="0" fillId="0" borderId="29" xfId="0" applyBorder="1" applyAlignment="1"/>
    <xf numFmtId="164" fontId="0" fillId="12" borderId="26" xfId="0" applyNumberFormat="1" applyFill="1" applyBorder="1" applyAlignment="1"/>
    <xf numFmtId="0" fontId="0" fillId="0" borderId="28" xfId="0" applyBorder="1" applyAlignment="1"/>
    <xf numFmtId="0" fontId="0" fillId="9" borderId="26" xfId="0" applyFill="1" applyBorder="1" applyAlignment="1"/>
    <xf numFmtId="166" fontId="27" fillId="7" borderId="26" xfId="0" applyNumberFormat="1" applyFont="1" applyFill="1" applyBorder="1" applyAlignment="1">
      <alignment horizontal="center" vertical="center" wrapText="1"/>
    </xf>
    <xf numFmtId="166" fontId="28" fillId="7" borderId="27" xfId="0" applyNumberFormat="1" applyFont="1" applyFill="1" applyBorder="1" applyAlignment="1">
      <alignment horizontal="center" vertical="center" wrapText="1"/>
    </xf>
    <xf numFmtId="165" fontId="26" fillId="9" borderId="26" xfId="0" applyNumberFormat="1" applyFont="1" applyFill="1" applyBorder="1" applyAlignment="1">
      <alignment horizontal="center" vertical="center"/>
    </xf>
    <xf numFmtId="165" fontId="26" fillId="0" borderId="27" xfId="0" applyNumberFormat="1" applyFont="1" applyBorder="1" applyAlignment="1">
      <alignment horizontal="center" vertical="center"/>
    </xf>
    <xf numFmtId="165" fontId="26" fillId="0" borderId="28" xfId="0" applyNumberFormat="1" applyFont="1" applyBorder="1" applyAlignment="1">
      <alignment horizontal="center" vertical="center"/>
    </xf>
    <xf numFmtId="2" fontId="26" fillId="9" borderId="26" xfId="0" applyNumberFormat="1" applyFont="1" applyFill="1" applyBorder="1" applyAlignment="1">
      <alignment horizontal="center" vertical="center"/>
    </xf>
    <xf numFmtId="2" fontId="26" fillId="0" borderId="27" xfId="0" applyNumberFormat="1" applyFont="1" applyBorder="1" applyAlignment="1">
      <alignment horizontal="center" vertical="center"/>
    </xf>
    <xf numFmtId="166" fontId="23" fillId="0" borderId="26" xfId="0" applyNumberFormat="1" applyFont="1" applyBorder="1" applyAlignment="1">
      <alignment horizontal="center" vertical="center"/>
    </xf>
    <xf numFmtId="166" fontId="24" fillId="0" borderId="27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" fontId="26" fillId="0" borderId="28" xfId="0" applyNumberFormat="1" applyFont="1" applyBorder="1" applyAlignment="1">
      <alignment horizontal="center" vertical="center"/>
    </xf>
    <xf numFmtId="0" fontId="22" fillId="9" borderId="7" xfId="0" applyFont="1" applyFill="1" applyBorder="1"/>
    <xf numFmtId="0" fontId="9" fillId="7" borderId="1" xfId="0" applyFont="1" applyFill="1" applyBorder="1" applyAlignment="1">
      <alignment horizontal="center" vertical="center"/>
    </xf>
    <xf numFmtId="0" fontId="0" fillId="7" borderId="4" xfId="0" applyFill="1" applyBorder="1"/>
    <xf numFmtId="10" fontId="9" fillId="7" borderId="26" xfId="0" applyNumberFormat="1" applyFont="1" applyFill="1" applyBorder="1" applyAlignment="1">
      <alignment horizontal="center" vertical="center"/>
    </xf>
    <xf numFmtId="0" fontId="0" fillId="9" borderId="28" xfId="0" applyFill="1" applyBorder="1"/>
    <xf numFmtId="2" fontId="26" fillId="9" borderId="1" xfId="0" applyNumberFormat="1" applyFont="1" applyFill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9" borderId="26" xfId="0" applyFont="1" applyFill="1" applyBorder="1" applyAlignment="1"/>
    <xf numFmtId="1" fontId="11" fillId="7" borderId="8" xfId="0" applyNumberFormat="1" applyFont="1" applyFill="1" applyBorder="1" applyAlignment="1">
      <alignment horizontal="center"/>
    </xf>
    <xf numFmtId="0" fontId="19" fillId="11" borderId="40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9" fillId="7" borderId="2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6" fontId="24" fillId="0" borderId="29" xfId="0" applyNumberFormat="1" applyFont="1" applyBorder="1" applyAlignment="1">
      <alignment horizontal="center" vertical="center" wrapText="1"/>
    </xf>
    <xf numFmtId="1" fontId="24" fillId="0" borderId="29" xfId="0" applyNumberFormat="1" applyFont="1" applyBorder="1" applyAlignment="1">
      <alignment horizontal="center" vertical="center" wrapText="1"/>
    </xf>
    <xf numFmtId="0" fontId="9" fillId="7" borderId="4" xfId="0" applyFont="1" applyFill="1" applyBorder="1"/>
    <xf numFmtId="166" fontId="28" fillId="7" borderId="29" xfId="0" applyNumberFormat="1" applyFont="1" applyFill="1" applyBorder="1" applyAlignment="1">
      <alignment horizontal="center" vertical="center" wrapText="1"/>
    </xf>
    <xf numFmtId="0" fontId="29" fillId="14" borderId="4" xfId="0" applyFont="1" applyFill="1" applyBorder="1"/>
    <xf numFmtId="2" fontId="26" fillId="0" borderId="29" xfId="0" applyNumberFormat="1" applyFont="1" applyBorder="1" applyAlignment="1">
      <alignment horizontal="center" vertical="center"/>
    </xf>
    <xf numFmtId="166" fontId="24" fillId="0" borderId="29" xfId="0" applyNumberFormat="1" applyFont="1" applyBorder="1" applyAlignment="1">
      <alignment horizontal="center" vertical="center"/>
    </xf>
    <xf numFmtId="0" fontId="29" fillId="14" borderId="41" xfId="0" applyFont="1" applyFill="1" applyBorder="1"/>
    <xf numFmtId="2" fontId="26" fillId="9" borderId="42" xfId="0" applyNumberFormat="1" applyFont="1" applyFill="1" applyBorder="1" applyAlignment="1">
      <alignment horizontal="center" vertical="center"/>
    </xf>
    <xf numFmtId="2" fontId="26" fillId="0" borderId="42" xfId="0" applyNumberFormat="1" applyFont="1" applyBorder="1" applyAlignment="1">
      <alignment horizontal="center" vertical="center"/>
    </xf>
    <xf numFmtId="0" fontId="0" fillId="9" borderId="42" xfId="0" applyFill="1" applyBorder="1"/>
    <xf numFmtId="2" fontId="26" fillId="9" borderId="43" xfId="0" applyNumberFormat="1" applyFont="1" applyFill="1" applyBorder="1" applyAlignment="1">
      <alignment horizontal="center" vertical="center"/>
    </xf>
    <xf numFmtId="2" fontId="26" fillId="0" borderId="44" xfId="0" applyNumberFormat="1" applyFont="1" applyBorder="1" applyAlignment="1">
      <alignment horizontal="center" vertical="center"/>
    </xf>
    <xf numFmtId="2" fontId="26" fillId="0" borderId="45" xfId="0" applyNumberFormat="1" applyFont="1" applyBorder="1" applyAlignment="1">
      <alignment horizontal="center" vertical="center"/>
    </xf>
    <xf numFmtId="0" fontId="0" fillId="17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1"/>
  <sheetViews>
    <sheetView showGridLines="0" tabSelected="1" topLeftCell="A7" zoomScale="70" zoomScaleNormal="70" workbookViewId="0">
      <selection activeCell="E13" sqref="E13"/>
    </sheetView>
  </sheetViews>
  <sheetFormatPr defaultRowHeight="15" x14ac:dyDescent="0.25"/>
  <cols>
    <col min="1" max="1" width="3.28515625" customWidth="1"/>
    <col min="2" max="2" width="78.7109375" customWidth="1"/>
    <col min="3" max="3" width="23.5703125" customWidth="1"/>
    <col min="4" max="4" width="22.5703125" customWidth="1"/>
    <col min="5" max="5" width="21.85546875" customWidth="1"/>
    <col min="6" max="6" width="13.7109375" customWidth="1"/>
    <col min="7" max="7" width="8.5703125" customWidth="1"/>
    <col min="8" max="8" width="65.140625" customWidth="1"/>
    <col min="9" max="9" width="36.140625" customWidth="1"/>
    <col min="10" max="10" width="14.85546875" bestFit="1" customWidth="1"/>
    <col min="11" max="11" width="9" customWidth="1"/>
    <col min="12" max="12" width="27.5703125" customWidth="1"/>
    <col min="13" max="13" width="18.5703125" customWidth="1"/>
    <col min="14" max="14" width="31.140625" customWidth="1"/>
    <col min="15" max="15" width="21.85546875" customWidth="1"/>
    <col min="16" max="16" width="15.42578125" bestFit="1" customWidth="1"/>
    <col min="17" max="17" width="17.7109375" customWidth="1"/>
    <col min="18" max="18" width="23" customWidth="1"/>
    <col min="19" max="19" width="17.5703125" customWidth="1"/>
    <col min="20" max="20" width="21.5703125" customWidth="1"/>
    <col min="21" max="21" width="22.42578125" customWidth="1"/>
    <col min="22" max="22" width="19.7109375" customWidth="1"/>
    <col min="23" max="23" width="24.28515625" customWidth="1"/>
    <col min="24" max="24" width="18.5703125" customWidth="1"/>
  </cols>
  <sheetData>
    <row r="1" spans="1:42" ht="14.45" customHeight="1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46.5" customHeight="1" x14ac:dyDescent="0.25">
      <c r="A2" s="3"/>
      <c r="B2" s="95" t="s">
        <v>6</v>
      </c>
      <c r="C2" s="96"/>
      <c r="D2" s="3"/>
      <c r="E2" s="3"/>
      <c r="F2" s="3"/>
      <c r="G2" s="111" t="s">
        <v>9</v>
      </c>
      <c r="H2" s="112"/>
      <c r="I2" s="113"/>
      <c r="J2" s="3"/>
      <c r="K2" s="62" t="s">
        <v>48</v>
      </c>
      <c r="L2" s="63"/>
      <c r="M2" s="64"/>
      <c r="N2" s="58" t="s">
        <v>49</v>
      </c>
      <c r="O2" s="59"/>
      <c r="P2" s="60"/>
      <c r="Q2" s="60"/>
      <c r="R2" s="61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51" customHeight="1" thickBot="1" x14ac:dyDescent="0.3">
      <c r="A3" s="3"/>
      <c r="B3" s="97"/>
      <c r="C3" s="98"/>
      <c r="D3" s="3"/>
      <c r="E3" s="3"/>
      <c r="F3" s="3"/>
      <c r="G3" s="114"/>
      <c r="H3" s="115"/>
      <c r="I3" s="116"/>
      <c r="J3" s="3"/>
      <c r="K3" s="65"/>
      <c r="L3" s="66"/>
      <c r="M3" s="67"/>
      <c r="N3" s="33">
        <v>2022</v>
      </c>
      <c r="O3" s="33">
        <v>2023</v>
      </c>
      <c r="P3" s="33">
        <v>2024</v>
      </c>
      <c r="Q3" s="33">
        <v>2025</v>
      </c>
      <c r="R3" s="37">
        <v>2026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36" customHeight="1" x14ac:dyDescent="0.35">
      <c r="A4" s="3"/>
      <c r="B4" s="4" t="s">
        <v>46</v>
      </c>
      <c r="C4" s="7">
        <v>5000000</v>
      </c>
      <c r="D4" s="3"/>
      <c r="E4" s="3"/>
      <c r="F4" s="3"/>
      <c r="G4" s="44">
        <v>1</v>
      </c>
      <c r="H4" s="45" t="s">
        <v>10</v>
      </c>
      <c r="I4" s="46">
        <v>0.15</v>
      </c>
      <c r="J4" s="3"/>
      <c r="K4" s="55" t="s">
        <v>50</v>
      </c>
      <c r="L4" s="56"/>
      <c r="M4" s="32"/>
      <c r="N4" s="34">
        <f>I5+C5+C6+(I9*(-12))</f>
        <v>2697470.0516445162</v>
      </c>
      <c r="O4" s="34">
        <f>$I$9*(-12)</f>
        <v>297470.05164451641</v>
      </c>
      <c r="P4" s="34">
        <f t="shared" ref="P4:R4" si="0">$I$9*(-12)</f>
        <v>297470.05164451641</v>
      </c>
      <c r="Q4" s="34">
        <f t="shared" si="0"/>
        <v>297470.05164451641</v>
      </c>
      <c r="R4" s="38">
        <f t="shared" si="0"/>
        <v>297470.05164451641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ht="36" customHeight="1" x14ac:dyDescent="0.35">
      <c r="A5" s="3"/>
      <c r="B5" s="15" t="s">
        <v>26</v>
      </c>
      <c r="C5" s="16">
        <v>150000</v>
      </c>
      <c r="D5" s="3"/>
      <c r="E5" s="3"/>
      <c r="F5" s="3"/>
      <c r="G5" s="44">
        <v>2</v>
      </c>
      <c r="H5" s="45" t="s">
        <v>11</v>
      </c>
      <c r="I5" s="47">
        <f>C4*I4/100%</f>
        <v>750000</v>
      </c>
      <c r="J5" s="3"/>
      <c r="K5" s="55" t="s">
        <v>51</v>
      </c>
      <c r="L5" s="56"/>
      <c r="M5" s="32"/>
      <c r="N5" s="34">
        <f>C13*12+(L30*12)</f>
        <v>312000</v>
      </c>
      <c r="O5" s="34">
        <f>C13*12+(L30*6)</f>
        <v>252000</v>
      </c>
      <c r="P5" s="34">
        <f>$C$13*12+$F$30*12</f>
        <v>307500</v>
      </c>
      <c r="Q5" s="34">
        <f>$C$13*12+$F$30*12</f>
        <v>307500</v>
      </c>
      <c r="R5" s="38">
        <f>$C$13*12+$F$30*12</f>
        <v>307500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36" customHeight="1" x14ac:dyDescent="0.35">
      <c r="A6" s="3"/>
      <c r="B6" s="15" t="s">
        <v>27</v>
      </c>
      <c r="C6" s="16">
        <v>1500000</v>
      </c>
      <c r="D6" s="3"/>
      <c r="E6" s="3"/>
      <c r="F6" s="3"/>
      <c r="G6" s="44">
        <v>3</v>
      </c>
      <c r="H6" s="45" t="s">
        <v>12</v>
      </c>
      <c r="I6" s="47">
        <f>C4-I5-C12</f>
        <v>3726000</v>
      </c>
      <c r="J6" s="3"/>
      <c r="K6" s="55" t="s">
        <v>24</v>
      </c>
      <c r="L6" s="56"/>
      <c r="M6" s="32"/>
      <c r="N6" s="34">
        <f>J32+C11</f>
        <v>1533000</v>
      </c>
      <c r="O6" s="34">
        <f>J32</f>
        <v>1428000</v>
      </c>
      <c r="P6" s="34">
        <f>J32</f>
        <v>1428000</v>
      </c>
      <c r="Q6" s="34">
        <f>J32</f>
        <v>1428000</v>
      </c>
      <c r="R6" s="38">
        <f>J32</f>
        <v>1428000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ht="36" customHeight="1" x14ac:dyDescent="0.35">
      <c r="A7" s="3"/>
      <c r="B7" s="15" t="s">
        <v>28</v>
      </c>
      <c r="C7" s="16">
        <v>5000</v>
      </c>
      <c r="D7" s="3"/>
      <c r="E7" s="3"/>
      <c r="F7" s="3"/>
      <c r="G7" s="44">
        <v>4</v>
      </c>
      <c r="H7" s="45" t="s">
        <v>13</v>
      </c>
      <c r="I7" s="48">
        <v>30</v>
      </c>
      <c r="J7" s="3"/>
      <c r="K7" s="55" t="s">
        <v>52</v>
      </c>
      <c r="L7" s="56"/>
      <c r="M7" s="32" t="s">
        <v>53</v>
      </c>
      <c r="N7" s="34">
        <f>N6-(N4+N5)</f>
        <v>-1476470.0516445162</v>
      </c>
      <c r="O7" s="34">
        <f>O6-(O5+O4)</f>
        <v>878529.94835548359</v>
      </c>
      <c r="P7" s="34">
        <f>P6-(P5+P4)</f>
        <v>823029.94835548359</v>
      </c>
      <c r="Q7" s="34">
        <f>Q6-(Q5+Q4)</f>
        <v>823029.94835548359</v>
      </c>
      <c r="R7" s="38">
        <f>R6-(R5+R4)</f>
        <v>823029.94835548359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ht="36" customHeight="1" x14ac:dyDescent="0.35">
      <c r="A8" s="3"/>
      <c r="B8" s="15" t="s">
        <v>18</v>
      </c>
      <c r="C8" s="16">
        <f>I6*13%</f>
        <v>484380</v>
      </c>
      <c r="D8" s="3"/>
      <c r="E8" s="3"/>
      <c r="F8" s="3"/>
      <c r="G8" s="44">
        <v>5</v>
      </c>
      <c r="H8" s="45" t="s">
        <v>8</v>
      </c>
      <c r="I8" s="49">
        <f>I7*12</f>
        <v>360</v>
      </c>
      <c r="J8" s="3"/>
      <c r="K8" s="57"/>
      <c r="L8" s="56"/>
      <c r="M8" s="32" t="s">
        <v>54</v>
      </c>
      <c r="N8" s="35">
        <f>N7</f>
        <v>-1476470.0516445162</v>
      </c>
      <c r="O8" s="35">
        <f>N8+O7</f>
        <v>-597940.10328903259</v>
      </c>
      <c r="P8" s="36">
        <f>O8+P7</f>
        <v>225089.845066451</v>
      </c>
      <c r="Q8" s="36">
        <f>P8+Q7</f>
        <v>1048119.7934219346</v>
      </c>
      <c r="R8" s="39">
        <f>Q8+R7</f>
        <v>1871149.7417774182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ht="31.5" customHeight="1" x14ac:dyDescent="0.35">
      <c r="A9" s="3"/>
      <c r="B9" s="5" t="s">
        <v>5</v>
      </c>
      <c r="C9" s="8">
        <v>66</v>
      </c>
      <c r="D9" s="3"/>
      <c r="E9" s="3"/>
      <c r="F9" s="3"/>
      <c r="G9" s="44">
        <v>6</v>
      </c>
      <c r="H9" s="45" t="s">
        <v>17</v>
      </c>
      <c r="I9" s="50">
        <f>PMT(I10/12,I8,I6)</f>
        <v>-24789.170970376366</v>
      </c>
      <c r="J9" s="3"/>
      <c r="K9" s="41"/>
      <c r="L9" s="42"/>
      <c r="M9" s="42"/>
      <c r="N9" s="42"/>
      <c r="O9" s="42"/>
      <c r="P9" s="42"/>
      <c r="Q9" s="42"/>
      <c r="R9" s="4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ht="38.25" customHeight="1" x14ac:dyDescent="0.35">
      <c r="A10" s="3"/>
      <c r="B10" s="14" t="s">
        <v>7</v>
      </c>
      <c r="C10" s="9">
        <f>C4/C9</f>
        <v>75757.57575757576</v>
      </c>
      <c r="D10" s="3"/>
      <c r="E10" s="3"/>
      <c r="F10" s="3"/>
      <c r="G10" s="44">
        <v>7</v>
      </c>
      <c r="H10" s="45" t="s">
        <v>14</v>
      </c>
      <c r="I10" s="46">
        <v>7.0000000000000007E-2</v>
      </c>
      <c r="J10" s="3"/>
      <c r="K10" s="68" t="s">
        <v>58</v>
      </c>
      <c r="L10" s="69"/>
      <c r="M10" s="32" t="s">
        <v>59</v>
      </c>
      <c r="N10" s="72">
        <f>COUNTIF(N8:R8,"&lt;0")+1</f>
        <v>3</v>
      </c>
      <c r="O10" s="73"/>
      <c r="P10" s="73"/>
      <c r="Q10" s="73"/>
      <c r="R10" s="74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ht="38.25" customHeight="1" thickBot="1" x14ac:dyDescent="0.4">
      <c r="A11" s="3"/>
      <c r="B11" s="30" t="s">
        <v>57</v>
      </c>
      <c r="C11" s="31">
        <f>J24+J25+J26</f>
        <v>105000</v>
      </c>
      <c r="D11" s="3"/>
      <c r="E11" s="3"/>
      <c r="F11" s="3"/>
      <c r="G11" s="44">
        <v>8</v>
      </c>
      <c r="H11" s="51" t="s">
        <v>15</v>
      </c>
      <c r="I11" s="47">
        <f>((I9)*(-1))*I8</f>
        <v>8924101.5493354928</v>
      </c>
      <c r="J11" s="3"/>
      <c r="K11" s="70"/>
      <c r="L11" s="71"/>
      <c r="M11" s="40" t="s">
        <v>60</v>
      </c>
      <c r="N11" s="75">
        <f>COUNTIF(N8:R8,"&lt;0")+INDEX(N8:R8,1,COUNTIF(N8:R8,"&lt;0"))/((INDEX(N8:R8,1,COUNTIF(N8:R8,"&lt;0"))*(-1)+INDEX(N8:R8,1,COUNTIF(N8:R8,"&lt;0")+1)))*(-1)</f>
        <v>2.7265107478577075</v>
      </c>
      <c r="O11" s="76"/>
      <c r="P11" s="76"/>
      <c r="Q11" s="76"/>
      <c r="R11" s="77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ht="39" customHeight="1" x14ac:dyDescent="0.35">
      <c r="A12" s="3"/>
      <c r="B12" s="30" t="s">
        <v>47</v>
      </c>
      <c r="C12" s="31">
        <v>524000</v>
      </c>
      <c r="D12" s="3"/>
      <c r="E12" s="3"/>
      <c r="F12" s="3"/>
      <c r="G12" s="44">
        <v>9</v>
      </c>
      <c r="H12" s="51" t="s">
        <v>16</v>
      </c>
      <c r="I12" s="47">
        <f>I11-I6</f>
        <v>5198101.5493354928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ht="45" customHeight="1" x14ac:dyDescent="0.35">
      <c r="A13" s="3"/>
      <c r="B13" s="30" t="s">
        <v>56</v>
      </c>
      <c r="C13" s="31">
        <v>16000</v>
      </c>
      <c r="D13" s="3"/>
      <c r="E13" s="3"/>
      <c r="F13" s="3"/>
      <c r="G13" s="44">
        <v>10</v>
      </c>
      <c r="H13" s="51" t="s">
        <v>19</v>
      </c>
      <c r="I13" s="47">
        <f>(I9*(-1))*5</f>
        <v>123945.85485188183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ht="35.25" customHeight="1" x14ac:dyDescent="0.35">
      <c r="A14" s="3"/>
      <c r="B14" s="30"/>
      <c r="C14" s="31"/>
      <c r="D14" s="3"/>
      <c r="E14" s="3"/>
      <c r="F14" s="3"/>
      <c r="G14" s="44">
        <v>11</v>
      </c>
      <c r="H14" s="51" t="s">
        <v>64</v>
      </c>
      <c r="I14" s="47">
        <f>(I6/1.41*I10)/12</f>
        <v>15414.893617021278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ht="30.75" customHeight="1" thickBot="1" x14ac:dyDescent="0.4">
      <c r="A15" s="3"/>
      <c r="B15" s="6"/>
      <c r="C15" s="10"/>
      <c r="D15" s="3"/>
      <c r="E15" s="3"/>
      <c r="F15" s="3"/>
      <c r="G15" s="52">
        <v>12</v>
      </c>
      <c r="H15" s="53" t="s">
        <v>65</v>
      </c>
      <c r="I15" s="54">
        <f>I6/I8</f>
        <v>10350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ht="19.5" thickBot="1" x14ac:dyDescent="0.35">
      <c r="A16" s="3"/>
      <c r="B16" s="11" t="s">
        <v>0</v>
      </c>
      <c r="C16" s="12">
        <f>N10</f>
        <v>3</v>
      </c>
      <c r="D16" s="102" t="str">
        <f>IF(C16&lt;8,"кототкий срок окупаемости - отличная инвестиция!",IF(C16&lt;11,"средний срок окупаемости",IF(C16&gt;11,"долгий срок окупаемости","проверьте правильность введенных данных")))</f>
        <v>кототкий срок окупаемости - отличная инвестиция!</v>
      </c>
      <c r="E16" s="103"/>
      <c r="F16" s="10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ht="19.5" thickBot="1" x14ac:dyDescent="0.35">
      <c r="A17" s="3"/>
      <c r="B17" s="13" t="s">
        <v>70</v>
      </c>
      <c r="C17" s="157">
        <v>40</v>
      </c>
      <c r="D17" s="99" t="str">
        <f>IF(C17&lt;15,D31,IF(C17&lt;=35,E31,IF(C17&lt;=50,F31,IF(C17&gt;=50,G31,"проверьте правильность введенных данных"))))</f>
        <v>высокая доходность</v>
      </c>
      <c r="E17" s="100"/>
      <c r="F17" s="10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ht="15.75" thickBot="1" x14ac:dyDescent="0.3">
      <c r="A18" s="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x14ac:dyDescent="0.25">
      <c r="A19" s="3"/>
      <c r="B19" s="105" t="s">
        <v>20</v>
      </c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7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x14ac:dyDescent="0.25">
      <c r="A20" s="3"/>
      <c r="B20" s="108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10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ht="15" customHeight="1" x14ac:dyDescent="0.25">
      <c r="A21" s="3"/>
      <c r="B21" s="87" t="s">
        <v>23</v>
      </c>
      <c r="C21" s="88"/>
      <c r="D21" s="88"/>
      <c r="E21" s="88"/>
      <c r="F21" s="88"/>
      <c r="G21" s="88"/>
      <c r="H21" s="123"/>
      <c r="I21" s="87" t="s">
        <v>21</v>
      </c>
      <c r="J21" s="88"/>
      <c r="K21" s="88"/>
      <c r="L21" s="88"/>
      <c r="M21" s="88"/>
      <c r="N21" s="87" t="s">
        <v>22</v>
      </c>
      <c r="O21" s="88"/>
      <c r="P21" s="88"/>
      <c r="Q21" s="158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ht="25.5" customHeight="1" x14ac:dyDescent="0.25">
      <c r="A22" s="3"/>
      <c r="B22" s="89"/>
      <c r="C22" s="90"/>
      <c r="D22" s="90"/>
      <c r="E22" s="90"/>
      <c r="F22" s="90"/>
      <c r="G22" s="90"/>
      <c r="H22" s="124"/>
      <c r="I22" s="89"/>
      <c r="J22" s="90"/>
      <c r="K22" s="90"/>
      <c r="L22" s="90"/>
      <c r="M22" s="90"/>
      <c r="N22" s="89"/>
      <c r="O22" s="90"/>
      <c r="P22" s="90"/>
      <c r="Q22" s="159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ht="21" x14ac:dyDescent="0.25">
      <c r="A23" s="3"/>
      <c r="B23" s="147"/>
      <c r="C23" s="80" t="s">
        <v>24</v>
      </c>
      <c r="D23" s="81"/>
      <c r="E23" s="84"/>
      <c r="F23" s="80" t="s">
        <v>25</v>
      </c>
      <c r="G23" s="81"/>
      <c r="H23" s="84"/>
      <c r="I23" s="147"/>
      <c r="J23" s="85" t="s">
        <v>24</v>
      </c>
      <c r="K23" s="86"/>
      <c r="L23" s="80" t="s">
        <v>25</v>
      </c>
      <c r="M23" s="81"/>
      <c r="N23" s="148"/>
      <c r="O23" s="146" t="s">
        <v>24</v>
      </c>
      <c r="P23" s="80" t="s">
        <v>25</v>
      </c>
      <c r="Q23" s="160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ht="18.75" x14ac:dyDescent="0.3">
      <c r="A24" s="3"/>
      <c r="B24" s="26" t="s">
        <v>29</v>
      </c>
      <c r="C24" s="78">
        <v>2300</v>
      </c>
      <c r="D24" s="79"/>
      <c r="E24" s="117"/>
      <c r="F24" s="82"/>
      <c r="G24" s="83"/>
      <c r="H24" s="125"/>
      <c r="I24" s="26" t="s">
        <v>29</v>
      </c>
      <c r="J24" s="78">
        <v>30000</v>
      </c>
      <c r="K24" s="79"/>
      <c r="L24" s="82"/>
      <c r="M24" s="83"/>
      <c r="N24" s="145" t="s">
        <v>37</v>
      </c>
      <c r="O24" s="28">
        <v>12000000</v>
      </c>
      <c r="P24" s="82"/>
      <c r="Q24" s="161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ht="18.75" x14ac:dyDescent="0.25">
      <c r="A25" s="3"/>
      <c r="B25" s="26" t="s">
        <v>30</v>
      </c>
      <c r="C25" s="78">
        <v>2600</v>
      </c>
      <c r="D25" s="79"/>
      <c r="E25" s="117"/>
      <c r="F25" s="82"/>
      <c r="G25" s="83"/>
      <c r="H25" s="125"/>
      <c r="I25" s="26" t="s">
        <v>30</v>
      </c>
      <c r="J25" s="78">
        <v>35000</v>
      </c>
      <c r="K25" s="79"/>
      <c r="L25" s="82"/>
      <c r="M25" s="83"/>
      <c r="N25" s="145"/>
      <c r="O25" s="2"/>
      <c r="P25" s="82"/>
      <c r="Q25" s="161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ht="18.75" x14ac:dyDescent="0.25">
      <c r="A26" s="3"/>
      <c r="B26" s="26" t="s">
        <v>31</v>
      </c>
      <c r="C26" s="78">
        <v>2800</v>
      </c>
      <c r="D26" s="79"/>
      <c r="E26" s="117"/>
      <c r="F26" s="82"/>
      <c r="G26" s="83"/>
      <c r="H26" s="125"/>
      <c r="I26" s="26" t="s">
        <v>31</v>
      </c>
      <c r="J26" s="78">
        <v>40000</v>
      </c>
      <c r="K26" s="79"/>
      <c r="L26" s="82"/>
      <c r="M26" s="83"/>
      <c r="N26" s="91"/>
      <c r="O26" s="92"/>
      <c r="P26" s="92"/>
      <c r="Q26" s="9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ht="18.75" x14ac:dyDescent="0.3">
      <c r="A27" s="3"/>
      <c r="B27" s="27" t="s">
        <v>44</v>
      </c>
      <c r="C27" s="126">
        <v>25</v>
      </c>
      <c r="D27" s="127"/>
      <c r="E27" s="128"/>
      <c r="F27" s="129"/>
      <c r="G27" s="129"/>
      <c r="H27" s="130"/>
      <c r="I27" s="26" t="s">
        <v>34</v>
      </c>
      <c r="J27" s="78">
        <v>14000</v>
      </c>
      <c r="K27" s="79"/>
      <c r="L27" s="82"/>
      <c r="M27" s="83"/>
      <c r="N27" s="26" t="s">
        <v>38</v>
      </c>
      <c r="O27" s="1"/>
      <c r="P27" s="78">
        <f>C6</f>
        <v>1500000</v>
      </c>
      <c r="Q27" s="162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ht="18.75" x14ac:dyDescent="0.25">
      <c r="A28" s="3"/>
      <c r="B28" s="26" t="s">
        <v>42</v>
      </c>
      <c r="C28" s="82"/>
      <c r="D28" s="83"/>
      <c r="E28" s="125"/>
      <c r="F28" s="78">
        <v>10000</v>
      </c>
      <c r="G28" s="79"/>
      <c r="H28" s="117"/>
      <c r="I28" s="131"/>
      <c r="J28" s="129"/>
      <c r="K28" s="129"/>
      <c r="L28" s="129"/>
      <c r="M28" s="132"/>
      <c r="N28" s="26" t="s">
        <v>36</v>
      </c>
      <c r="O28" s="1"/>
      <c r="P28" s="78">
        <f>C8</f>
        <v>484380</v>
      </c>
      <c r="Q28" s="162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ht="18.75" x14ac:dyDescent="0.25">
      <c r="A29" s="3"/>
      <c r="B29" s="26" t="s">
        <v>43</v>
      </c>
      <c r="C29" s="82"/>
      <c r="D29" s="83"/>
      <c r="E29" s="125"/>
      <c r="F29" s="78">
        <f>I9</f>
        <v>-24789.170970376366</v>
      </c>
      <c r="G29" s="79"/>
      <c r="H29" s="117"/>
      <c r="I29" s="26" t="s">
        <v>33</v>
      </c>
      <c r="J29" s="82"/>
      <c r="K29" s="83"/>
      <c r="L29" s="78">
        <f>I9</f>
        <v>-24789.170970376366</v>
      </c>
      <c r="M29" s="79"/>
      <c r="N29" s="26" t="s">
        <v>67</v>
      </c>
      <c r="O29" s="1"/>
      <c r="P29" s="126">
        <v>5</v>
      </c>
      <c r="Q29" s="16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ht="18.75" x14ac:dyDescent="0.25">
      <c r="A30" s="3"/>
      <c r="B30" s="26" t="s">
        <v>55</v>
      </c>
      <c r="C30" s="82"/>
      <c r="D30" s="83"/>
      <c r="E30" s="125"/>
      <c r="F30" s="78">
        <f>(C32*5%)/12</f>
        <v>9625</v>
      </c>
      <c r="G30" s="79"/>
      <c r="H30" s="117"/>
      <c r="I30" s="26" t="s">
        <v>45</v>
      </c>
      <c r="J30" s="82"/>
      <c r="K30" s="83"/>
      <c r="L30" s="78">
        <v>10000</v>
      </c>
      <c r="M30" s="79"/>
      <c r="N30" s="26" t="s">
        <v>35</v>
      </c>
      <c r="O30" s="18"/>
      <c r="P30" s="78">
        <f>I13</f>
        <v>123945.85485188183</v>
      </c>
      <c r="Q30" s="162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ht="17.25" hidden="1" customHeight="1" x14ac:dyDescent="0.35">
      <c r="A31" s="3"/>
      <c r="B31" s="17"/>
      <c r="C31" s="18"/>
      <c r="D31" s="19" t="s">
        <v>1</v>
      </c>
      <c r="E31" s="20" t="s">
        <v>2</v>
      </c>
      <c r="F31" s="21" t="s">
        <v>3</v>
      </c>
      <c r="G31" s="22" t="s">
        <v>4</v>
      </c>
      <c r="H31" s="23"/>
      <c r="I31" s="25"/>
      <c r="J31" s="156"/>
      <c r="K31" s="132"/>
      <c r="L31" s="133"/>
      <c r="M31" s="132"/>
      <c r="N31" s="18"/>
      <c r="O31" s="18"/>
      <c r="P31" s="133"/>
      <c r="Q31" s="130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ht="21" x14ac:dyDescent="0.35">
      <c r="A32" s="3"/>
      <c r="B32" s="164" t="s">
        <v>32</v>
      </c>
      <c r="C32" s="118">
        <f>((C24+C25+C26)*C27)*12</f>
        <v>2310000</v>
      </c>
      <c r="D32" s="119"/>
      <c r="E32" s="120"/>
      <c r="F32" s="118">
        <f>((F28)*12)-((F29)*12)+((F30)*12)+C6+C5+C7+I5</f>
        <v>2937970.0516445162</v>
      </c>
      <c r="G32" s="121"/>
      <c r="H32" s="122"/>
      <c r="I32" s="24" t="s">
        <v>32</v>
      </c>
      <c r="J32" s="134">
        <f>(J24+J25+J26+J27)*12</f>
        <v>1428000</v>
      </c>
      <c r="K32" s="135"/>
      <c r="L32" s="134">
        <f>((L29*(-1))*12)+(L30*6)+C6+C5+C7+I5</f>
        <v>2762470.0516445162</v>
      </c>
      <c r="M32" s="135"/>
      <c r="N32" s="24" t="s">
        <v>32</v>
      </c>
      <c r="O32" s="29">
        <f>O24</f>
        <v>12000000</v>
      </c>
      <c r="P32" s="134">
        <f>P27+P28+P30+C5+(C7*5)+I5</f>
        <v>3033325.854851882</v>
      </c>
      <c r="Q32" s="165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ht="18.75" x14ac:dyDescent="0.25">
      <c r="A33" s="3"/>
      <c r="B33" s="166" t="s">
        <v>39</v>
      </c>
      <c r="C33" s="136">
        <f>(C32/F32)*10</f>
        <v>7.8625716375392845</v>
      </c>
      <c r="D33" s="137"/>
      <c r="E33" s="137"/>
      <c r="F33" s="137"/>
      <c r="G33" s="137"/>
      <c r="H33" s="138"/>
      <c r="I33" s="18"/>
      <c r="J33" s="139">
        <f>J32/L32*10</f>
        <v>5.1692868096430669</v>
      </c>
      <c r="K33" s="140"/>
      <c r="L33" s="140"/>
      <c r="M33" s="144"/>
      <c r="N33" s="149"/>
      <c r="O33" s="139">
        <f>O32/P32*10</f>
        <v>39.560537094310831</v>
      </c>
      <c r="P33" s="140"/>
      <c r="Q33" s="167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ht="18.75" x14ac:dyDescent="0.25">
      <c r="A34" s="3"/>
      <c r="B34" s="166" t="s">
        <v>61</v>
      </c>
      <c r="C34" s="141">
        <f>C32-((F28*12)+(F30*12)+(C13*12))</f>
        <v>1882500</v>
      </c>
      <c r="D34" s="142"/>
      <c r="E34" s="142"/>
      <c r="F34" s="143"/>
      <c r="G34" s="143"/>
      <c r="H34" s="86"/>
      <c r="I34" s="18"/>
      <c r="J34" s="141">
        <f>J32-(L30*12)+(C13*12)</f>
        <v>1500000</v>
      </c>
      <c r="K34" s="142"/>
      <c r="L34" s="142"/>
      <c r="M34" s="86"/>
      <c r="N34" s="149"/>
      <c r="O34" s="141">
        <f>O32-(C13*12)</f>
        <v>11808000</v>
      </c>
      <c r="P34" s="142"/>
      <c r="Q34" s="168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ht="18.75" x14ac:dyDescent="0.25">
      <c r="A35" s="3"/>
      <c r="B35" s="166" t="s">
        <v>62</v>
      </c>
      <c r="C35" s="152">
        <f>C34+(I9*12)</f>
        <v>1585029.9483554836</v>
      </c>
      <c r="D35" s="153"/>
      <c r="E35" s="153"/>
      <c r="F35" s="155"/>
      <c r="G35" s="155"/>
      <c r="H35" s="155"/>
      <c r="I35" s="18"/>
      <c r="J35" s="141">
        <f>J34+(I9*12)</f>
        <v>1202529.9483554836</v>
      </c>
      <c r="K35" s="142"/>
      <c r="L35" s="142"/>
      <c r="M35" s="86"/>
      <c r="N35" s="149"/>
      <c r="O35" s="141">
        <f>O34+(I9*P29)</f>
        <v>11684054.145148119</v>
      </c>
      <c r="P35" s="142"/>
      <c r="Q35" s="168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ht="18.75" x14ac:dyDescent="0.25">
      <c r="A36" s="3"/>
      <c r="B36" s="166" t="s">
        <v>41</v>
      </c>
      <c r="C36" s="150">
        <f>C34/(C4+C5+C6)*100</f>
        <v>28.308270676691727</v>
      </c>
      <c r="D36" s="151"/>
      <c r="E36" s="151"/>
      <c r="F36" s="151"/>
      <c r="G36" s="151"/>
      <c r="H36" s="151"/>
      <c r="I36" s="18"/>
      <c r="J36" s="150">
        <f>J34/(C4+C5+C6)*100</f>
        <v>22.556390977443609</v>
      </c>
      <c r="K36" s="151"/>
      <c r="L36" s="151"/>
      <c r="M36" s="151"/>
      <c r="N36" s="18"/>
      <c r="O36" s="139">
        <f>O34/(C4+C5+C6+P28)*100</f>
        <v>165.50842539926384</v>
      </c>
      <c r="P36" s="140"/>
      <c r="Q36" s="167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ht="18.75" x14ac:dyDescent="0.25">
      <c r="A37" s="3"/>
      <c r="B37" s="166" t="s">
        <v>40</v>
      </c>
      <c r="C37" s="150">
        <f>C35/(I5+C5+C6)*100</f>
        <v>66.042914514811812</v>
      </c>
      <c r="D37" s="151"/>
      <c r="E37" s="151"/>
      <c r="F37" s="151"/>
      <c r="G37" s="151"/>
      <c r="H37" s="151"/>
      <c r="I37" s="18"/>
      <c r="J37" s="150">
        <f>J35/(I5+C5+C6)*100</f>
        <v>50.10541451481182</v>
      </c>
      <c r="K37" s="151"/>
      <c r="L37" s="151"/>
      <c r="M37" s="151"/>
      <c r="N37" s="18"/>
      <c r="O37" s="139">
        <f>O35/(I5+C5+P27+P28)*100</f>
        <v>405.08026491475181</v>
      </c>
      <c r="P37" s="140"/>
      <c r="Q37" s="167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8.75" x14ac:dyDescent="0.25">
      <c r="A38" s="3"/>
      <c r="B38" s="166" t="s">
        <v>63</v>
      </c>
      <c r="C38" s="152">
        <f>C32-I14-I15</f>
        <v>2284235.1063829786</v>
      </c>
      <c r="D38" s="153"/>
      <c r="E38" s="153"/>
      <c r="F38" s="154"/>
      <c r="G38" s="154"/>
      <c r="H38" s="154"/>
      <c r="I38" s="18"/>
      <c r="J38" s="152">
        <f>J32-I14-I15</f>
        <v>1402235.1063829786</v>
      </c>
      <c r="K38" s="153"/>
      <c r="L38" s="153"/>
      <c r="M38" s="154"/>
      <c r="N38" s="18"/>
      <c r="O38" s="141">
        <f>((O32/P29)-I14-I15)</f>
        <v>2374235.1063829786</v>
      </c>
      <c r="P38" s="142"/>
      <c r="Q38" s="168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18.75" x14ac:dyDescent="0.25">
      <c r="A39" s="3"/>
      <c r="B39" s="166" t="s">
        <v>66</v>
      </c>
      <c r="C39" s="152">
        <f>C38*12</f>
        <v>27410821.276595742</v>
      </c>
      <c r="D39" s="153"/>
      <c r="E39" s="153"/>
      <c r="F39" s="155"/>
      <c r="G39" s="155"/>
      <c r="H39" s="155"/>
      <c r="I39" s="18"/>
      <c r="J39" s="152">
        <f>J38*12</f>
        <v>16826821.276595742</v>
      </c>
      <c r="K39" s="153"/>
      <c r="L39" s="153"/>
      <c r="M39" s="154"/>
      <c r="N39" s="18"/>
      <c r="O39" s="141">
        <f>O38*12</f>
        <v>28490821.276595742</v>
      </c>
      <c r="P39" s="142"/>
      <c r="Q39" s="168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18.75" x14ac:dyDescent="0.25">
      <c r="A40" s="3"/>
      <c r="B40" s="166" t="s">
        <v>68</v>
      </c>
      <c r="C40" s="150">
        <f>C4/C39</f>
        <v>0.18240971146198981</v>
      </c>
      <c r="D40" s="151"/>
      <c r="E40" s="151"/>
      <c r="F40" s="151"/>
      <c r="G40" s="151"/>
      <c r="H40" s="151"/>
      <c r="I40" s="18"/>
      <c r="J40" s="150">
        <f>C4/J39</f>
        <v>0.29714465482286012</v>
      </c>
      <c r="K40" s="151"/>
      <c r="L40" s="151"/>
      <c r="M40" s="151"/>
      <c r="N40" s="18"/>
      <c r="O40" s="139">
        <f>C4/O39</f>
        <v>0.17549511653099775</v>
      </c>
      <c r="P40" s="140"/>
      <c r="Q40" s="167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9.5" thickBot="1" x14ac:dyDescent="0.3">
      <c r="A41" s="3"/>
      <c r="B41" s="169" t="s">
        <v>69</v>
      </c>
      <c r="C41" s="170">
        <f>C39/(I5+C12+C6+C5)</f>
        <v>9.374425881188694</v>
      </c>
      <c r="D41" s="171"/>
      <c r="E41" s="171"/>
      <c r="F41" s="171"/>
      <c r="G41" s="171"/>
      <c r="H41" s="171"/>
      <c r="I41" s="172"/>
      <c r="J41" s="170">
        <f>J39/(I5+C5+C6+C12)</f>
        <v>5.7547268387810337</v>
      </c>
      <c r="K41" s="171"/>
      <c r="L41" s="171"/>
      <c r="M41" s="171"/>
      <c r="N41" s="172"/>
      <c r="O41" s="173">
        <f>O39/(I5+C5+C6+C12+C8+P30)</f>
        <v>8.0657398120452921</v>
      </c>
      <c r="P41" s="174"/>
      <c r="Q41" s="175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4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4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1:4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spans="1:4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 spans="1:4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spans="1:4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spans="1:4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spans="1:4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 spans="1:4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 spans="1:4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 spans="1:4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 spans="1:4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</row>
    <row r="131" spans="1:4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</row>
    <row r="163" spans="1:4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</row>
    <row r="164" spans="1:4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</row>
    <row r="167" spans="1:4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</row>
    <row r="169" spans="1:4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</row>
    <row r="171" spans="1:4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</row>
    <row r="173" spans="1:4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</row>
    <row r="174" spans="1:4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</row>
    <row r="175" spans="1:4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</row>
    <row r="176" spans="1:4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</row>
    <row r="177" spans="1:4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</row>
    <row r="178" spans="1:4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</row>
    <row r="179" spans="1:4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</row>
    <row r="180" spans="1:4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</row>
    <row r="181" spans="1:4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</row>
    <row r="182" spans="1:4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</row>
    <row r="183" spans="1:4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</row>
    <row r="184" spans="1:4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</row>
    <row r="185" spans="1:4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</row>
    <row r="186" spans="1:4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</row>
    <row r="187" spans="1:4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</row>
    <row r="188" spans="1:4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</row>
    <row r="189" spans="1:4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</row>
    <row r="190" spans="1:4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</row>
    <row r="191" spans="1:4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</row>
    <row r="192" spans="1:4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</row>
    <row r="193" spans="1:4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</row>
    <row r="197" spans="1:4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</row>
    <row r="203" spans="1:4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</row>
    <row r="204" spans="1:4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</row>
    <row r="213" spans="1:4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</row>
    <row r="214" spans="1:4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</row>
    <row r="215" spans="1:4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</row>
    <row r="216" spans="1:4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</row>
    <row r="217" spans="1:4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</row>
    <row r="218" spans="1:4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</row>
    <row r="219" spans="1:4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</row>
    <row r="220" spans="1:4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</row>
    <row r="221" spans="1:4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</row>
    <row r="222" spans="1:4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</row>
    <row r="233" spans="1:4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</row>
    <row r="234" spans="1:4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</row>
    <row r="235" spans="1:4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</row>
    <row r="236" spans="1:4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</row>
    <row r="237" spans="1:4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</row>
    <row r="238" spans="1:4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</row>
    <row r="239" spans="1:4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</row>
    <row r="240" spans="1:4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</row>
    <row r="241" spans="1:4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</row>
    <row r="242" spans="1:4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</row>
    <row r="253" spans="1:4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</row>
    <row r="254" spans="1:4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</row>
    <row r="255" spans="1:4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</row>
    <row r="256" spans="1:4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</row>
    <row r="257" spans="1:4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</row>
    <row r="258" spans="1:4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</row>
    <row r="259" spans="1:4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</row>
    <row r="260" spans="1:4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</row>
    <row r="261" spans="1:4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</row>
    <row r="262" spans="1:4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</row>
    <row r="263" spans="1:4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</row>
    <row r="264" spans="1:4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</row>
    <row r="265" spans="1:4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</row>
    <row r="266" spans="1:4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</row>
    <row r="267" spans="1:4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</row>
    <row r="268" spans="1:4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</row>
    <row r="269" spans="1:4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</row>
    <row r="270" spans="1:4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</row>
    <row r="271" spans="1:4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</row>
  </sheetData>
  <mergeCells count="92">
    <mergeCell ref="J31:K31"/>
    <mergeCell ref="L31:M31"/>
    <mergeCell ref="P31:Q31"/>
    <mergeCell ref="O40:Q40"/>
    <mergeCell ref="C41:H41"/>
    <mergeCell ref="J41:M41"/>
    <mergeCell ref="O41:Q41"/>
    <mergeCell ref="C40:H40"/>
    <mergeCell ref="J40:M40"/>
    <mergeCell ref="C39:H39"/>
    <mergeCell ref="J39:M39"/>
    <mergeCell ref="O33:Q33"/>
    <mergeCell ref="O34:Q34"/>
    <mergeCell ref="O35:Q35"/>
    <mergeCell ref="O36:Q36"/>
    <mergeCell ref="O37:Q37"/>
    <mergeCell ref="O38:Q38"/>
    <mergeCell ref="O39:Q39"/>
    <mergeCell ref="J34:M34"/>
    <mergeCell ref="J35:M35"/>
    <mergeCell ref="J36:M36"/>
    <mergeCell ref="J37:M37"/>
    <mergeCell ref="J38:M38"/>
    <mergeCell ref="C34:H34"/>
    <mergeCell ref="C35:H35"/>
    <mergeCell ref="C36:H36"/>
    <mergeCell ref="C37:H37"/>
    <mergeCell ref="C38:H38"/>
    <mergeCell ref="P28:Q28"/>
    <mergeCell ref="P29:Q29"/>
    <mergeCell ref="P30:Q30"/>
    <mergeCell ref="P32:Q32"/>
    <mergeCell ref="C33:H33"/>
    <mergeCell ref="J33:M33"/>
    <mergeCell ref="J29:K29"/>
    <mergeCell ref="J30:K30"/>
    <mergeCell ref="J32:K32"/>
    <mergeCell ref="L30:M30"/>
    <mergeCell ref="L32:M32"/>
    <mergeCell ref="C29:E29"/>
    <mergeCell ref="C30:E30"/>
    <mergeCell ref="L29:M29"/>
    <mergeCell ref="I28:M28"/>
    <mergeCell ref="J24:K24"/>
    <mergeCell ref="J25:K25"/>
    <mergeCell ref="J26:K26"/>
    <mergeCell ref="J27:K27"/>
    <mergeCell ref="F29:H29"/>
    <mergeCell ref="F30:H30"/>
    <mergeCell ref="C32:E32"/>
    <mergeCell ref="F32:H32"/>
    <mergeCell ref="B21:H22"/>
    <mergeCell ref="C28:E28"/>
    <mergeCell ref="F24:H24"/>
    <mergeCell ref="F25:H25"/>
    <mergeCell ref="F26:H26"/>
    <mergeCell ref="F28:H28"/>
    <mergeCell ref="C24:E24"/>
    <mergeCell ref="C25:E25"/>
    <mergeCell ref="C26:E26"/>
    <mergeCell ref="C27:E27"/>
    <mergeCell ref="F27:H27"/>
    <mergeCell ref="C23:E23"/>
    <mergeCell ref="B18:Q18"/>
    <mergeCell ref="B2:C3"/>
    <mergeCell ref="D17:F17"/>
    <mergeCell ref="D16:F16"/>
    <mergeCell ref="B19:Q20"/>
    <mergeCell ref="G2:I3"/>
    <mergeCell ref="K4:L4"/>
    <mergeCell ref="K5:L5"/>
    <mergeCell ref="K6:L6"/>
    <mergeCell ref="F23:H23"/>
    <mergeCell ref="J23:K23"/>
    <mergeCell ref="I21:M22"/>
    <mergeCell ref="N21:Q22"/>
    <mergeCell ref="N26:Q26"/>
    <mergeCell ref="P24:Q24"/>
    <mergeCell ref="P25:Q25"/>
    <mergeCell ref="P27:Q27"/>
    <mergeCell ref="L23:M23"/>
    <mergeCell ref="P23:Q23"/>
    <mergeCell ref="L24:M24"/>
    <mergeCell ref="L25:M25"/>
    <mergeCell ref="L26:M26"/>
    <mergeCell ref="L27:M27"/>
    <mergeCell ref="K7:L8"/>
    <mergeCell ref="N2:R2"/>
    <mergeCell ref="K2:M3"/>
    <mergeCell ref="K10:L11"/>
    <mergeCell ref="N10:R10"/>
    <mergeCell ref="N11:R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H24" sqref="H24"/>
    </sheetView>
  </sheetViews>
  <sheetFormatPr defaultRowHeight="15" x14ac:dyDescent="0.25"/>
  <cols>
    <col min="1" max="16384" width="9.140625" style="176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Модель расчета ROI</vt:lpstr>
      <vt:lpstr>График ипотечных платежей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2022-11-10T15:18:05Z</dcterms:modified>
</cp:coreProperties>
</file>